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Noord-Hollands Archief/Schoonmaak 2025/4. Leidraad/"/>
    </mc:Choice>
  </mc:AlternateContent>
  <xr:revisionPtr revIDLastSave="1321" documentId="8_{B720F3D8-E847-4F94-83F0-3CED317F4D25}" xr6:coauthVersionLast="47" xr6:coauthVersionMax="47" xr10:uidLastSave="{28A2BA2A-FD0D-4D9F-8F48-52489AC8F0D3}"/>
  <bookViews>
    <workbookView xWindow="57480" yWindow="-120" windowWidth="29040" windowHeight="15720" tabRatio="848" firstSheet="3" activeTab="8" xr2:uid="{00000000-000D-0000-FFFF-FFFF00000000}"/>
  </bookViews>
  <sheets>
    <sheet name="Overnamegegevens" sheetId="28" r:id="rId1"/>
    <sheet name="Legenda Handelingen" sheetId="29" r:id="rId2"/>
    <sheet name="Werkprogramma dieptereiniging" sheetId="41" r:id="rId3"/>
    <sheet name="Programma" sheetId="39" r:id="rId4"/>
    <sheet name="Tariefsopbouw" sheetId="31" r:id="rId5"/>
    <sheet name="Prestatiefactoren" sheetId="11" r:id="rId6"/>
    <sheet name="Ruimtestaat" sheetId="13" r:id="rId7"/>
    <sheet name="Vloeronderhoud" sheetId="38" r:id="rId8"/>
    <sheet name="Glasbewassing" sheetId="22" r:id="rId9"/>
    <sheet name="Extra werkzaamheden" sheetId="32" r:id="rId10"/>
    <sheet name="Sanitaire voorzieningen" sheetId="40" r:id="rId11"/>
    <sheet name="Regie en afroep" sheetId="24" r:id="rId12"/>
    <sheet name="Totalisatie" sheetId="19" r:id="rId13"/>
  </sheets>
  <externalReferences>
    <externalReference r:id="rId14"/>
    <externalReference r:id="rId15"/>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2"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Glasbewassing!$A$1:$I$32</definedName>
    <definedName name="_xlnm.Print_Area" localSheetId="1">'Legenda Handelingen'!$A$1:$B$136</definedName>
    <definedName name="_xlnm.Print_Area" localSheetId="5">Prestatiefactoren!$A$1:$F$52</definedName>
    <definedName name="_xlnm.Print_Area" localSheetId="11">'Regie en afroep'!$A$1:$I$79</definedName>
    <definedName name="_xlnm.Print_Area" localSheetId="6">'Ruimtestaat'!$A$1:$BV$108</definedName>
    <definedName name="_xlnm.Print_Area" localSheetId="4">Tariefsopbouw!$A$1:$Q$42</definedName>
    <definedName name="_xlnm.Print_Area" localSheetId="12">Totalisatie!$A$1:$I$25</definedName>
    <definedName name="_xlnm.Print_Area" localSheetId="7">Vloeronderhoud!$A$1:$J$33</definedName>
    <definedName name="_xlnm.Print_Area" localSheetId="2">'Werkprogramma dieptereiniging'!$A$1:$B$35</definedName>
    <definedName name="_xlnm.Print_Titles" localSheetId="6">'Ruimtestaat'!$2:$4</definedName>
    <definedName name="Glas" hidden="1">[1]Psychiatrie!#REF!</definedName>
    <definedName name="Invulglas1">Glasbewassing!$A$9:$I$19</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40" l="1"/>
  <c r="B19" i="32" l="1"/>
  <c r="D19" i="32"/>
  <c r="G19" i="32"/>
  <c r="H19" i="32" s="1"/>
  <c r="D18" i="32"/>
  <c r="D17" i="32"/>
  <c r="D16" i="32"/>
  <c r="C13" i="32"/>
  <c r="E13" i="32" s="1"/>
  <c r="F13" i="32" s="1"/>
  <c r="G13" i="32" s="1"/>
  <c r="H13" i="32" s="1"/>
  <c r="I13" i="32" s="1"/>
  <c r="E12" i="32"/>
  <c r="F12" i="32" s="1"/>
  <c r="G12" i="32" s="1"/>
  <c r="H12" i="32" s="1"/>
  <c r="I12" i="32" s="1"/>
  <c r="AI64" i="13"/>
  <c r="AJ64" i="13"/>
  <c r="AK64" i="13"/>
  <c r="AL64" i="13"/>
  <c r="AM64" i="13"/>
  <c r="AN64" i="13"/>
  <c r="AO64" i="13"/>
  <c r="AP64" i="13"/>
  <c r="AQ64" i="13"/>
  <c r="AR64" i="13"/>
  <c r="AS64" i="13"/>
  <c r="AT64" i="13"/>
  <c r="AU64" i="13"/>
  <c r="AV64" i="13"/>
  <c r="AW64" i="13"/>
  <c r="AX64" i="13"/>
  <c r="AY64" i="13"/>
  <c r="AZ64" i="13"/>
  <c r="BA64" i="13"/>
  <c r="BC64" i="13"/>
  <c r="BH64" i="13" s="1"/>
  <c r="BD64" i="13"/>
  <c r="BE64" i="13"/>
  <c r="BF64" i="13"/>
  <c r="BG64" i="13"/>
  <c r="BO64" i="13"/>
  <c r="BP64" i="13"/>
  <c r="BQ64" i="13"/>
  <c r="BR64" i="13"/>
  <c r="BS64" i="13"/>
  <c r="AI65" i="13"/>
  <c r="AJ65" i="13"/>
  <c r="AK65" i="13"/>
  <c r="AL65" i="13"/>
  <c r="AM65" i="13"/>
  <c r="AN65" i="13"/>
  <c r="AO65" i="13"/>
  <c r="AP65" i="13"/>
  <c r="AQ65" i="13"/>
  <c r="AR65" i="13"/>
  <c r="AS65" i="13"/>
  <c r="AT65" i="13"/>
  <c r="AU65" i="13"/>
  <c r="AV65" i="13"/>
  <c r="AW65" i="13"/>
  <c r="AX65" i="13"/>
  <c r="AY65" i="13"/>
  <c r="AZ65" i="13"/>
  <c r="BA65" i="13"/>
  <c r="BC65" i="13"/>
  <c r="BE65" i="13" s="1"/>
  <c r="BD65" i="13"/>
  <c r="BO65" i="13"/>
  <c r="BP65" i="13"/>
  <c r="AI66" i="13"/>
  <c r="AJ66" i="13"/>
  <c r="AK66" i="13"/>
  <c r="AL66" i="13"/>
  <c r="AM66" i="13"/>
  <c r="AN66" i="13"/>
  <c r="AO66" i="13"/>
  <c r="AP66" i="13"/>
  <c r="AQ66" i="13"/>
  <c r="AR66" i="13"/>
  <c r="AS66" i="13"/>
  <c r="AT66" i="13"/>
  <c r="AU66" i="13"/>
  <c r="AV66" i="13"/>
  <c r="AW66" i="13"/>
  <c r="AX66" i="13"/>
  <c r="AY66" i="13"/>
  <c r="AZ66" i="13"/>
  <c r="BA66" i="13"/>
  <c r="BC66" i="13"/>
  <c r="BD66" i="13" s="1"/>
  <c r="BE66" i="13"/>
  <c r="BF66" i="13"/>
  <c r="BG66" i="13"/>
  <c r="BH66" i="13"/>
  <c r="BI66" i="13"/>
  <c r="BJ66" i="13"/>
  <c r="BK66" i="13"/>
  <c r="BL66" i="13"/>
  <c r="BM66" i="13"/>
  <c r="BN66" i="13"/>
  <c r="BO66" i="13"/>
  <c r="BQ66" i="13"/>
  <c r="BR66" i="13"/>
  <c r="BS66" i="13"/>
  <c r="BT66" i="13"/>
  <c r="BU66" i="13"/>
  <c r="BV66" i="13"/>
  <c r="AI67" i="13"/>
  <c r="AJ67" i="13"/>
  <c r="AK67" i="13"/>
  <c r="AL67" i="13"/>
  <c r="AM67" i="13"/>
  <c r="AN67" i="13"/>
  <c r="AO67" i="13"/>
  <c r="AP67" i="13"/>
  <c r="AQ67" i="13"/>
  <c r="AR67" i="13"/>
  <c r="AS67" i="13"/>
  <c r="AT67" i="13"/>
  <c r="AU67" i="13"/>
  <c r="AV67" i="13"/>
  <c r="AW67" i="13"/>
  <c r="AX67" i="13"/>
  <c r="AY67" i="13"/>
  <c r="AZ67" i="13"/>
  <c r="BA67" i="13"/>
  <c r="BC67" i="13"/>
  <c r="BK67" i="13" s="1"/>
  <c r="BD67" i="13"/>
  <c r="BE67" i="13"/>
  <c r="BF67" i="13"/>
  <c r="BG67" i="13"/>
  <c r="BH67" i="13"/>
  <c r="BI67" i="13"/>
  <c r="BJ67" i="13"/>
  <c r="BN67" i="13"/>
  <c r="BO67" i="13"/>
  <c r="BP67" i="13"/>
  <c r="BQ67" i="13"/>
  <c r="BR67" i="13"/>
  <c r="BS67" i="13"/>
  <c r="BT67" i="13"/>
  <c r="BU67" i="13"/>
  <c r="BV67" i="13"/>
  <c r="AI68" i="13"/>
  <c r="AJ68" i="13"/>
  <c r="AK68" i="13"/>
  <c r="AL68" i="13"/>
  <c r="AM68" i="13"/>
  <c r="AN68" i="13"/>
  <c r="AO68" i="13"/>
  <c r="AP68" i="13"/>
  <c r="AQ68" i="13"/>
  <c r="AR68" i="13"/>
  <c r="AS68" i="13"/>
  <c r="AT68" i="13"/>
  <c r="AU68" i="13"/>
  <c r="AV68" i="13"/>
  <c r="AW68" i="13"/>
  <c r="AX68" i="13"/>
  <c r="AY68" i="13"/>
  <c r="AZ68" i="13"/>
  <c r="BA68" i="13"/>
  <c r="BC68" i="13"/>
  <c r="BH68" i="13" s="1"/>
  <c r="BD68" i="13"/>
  <c r="BE68" i="13"/>
  <c r="BF68" i="13"/>
  <c r="BG68" i="13"/>
  <c r="BO68" i="13"/>
  <c r="BP68" i="13"/>
  <c r="BQ68" i="13"/>
  <c r="BR68" i="13"/>
  <c r="BS68" i="13"/>
  <c r="BC69" i="13"/>
  <c r="BE69" i="13" s="1"/>
  <c r="AJ70" i="13"/>
  <c r="AK70" i="13"/>
  <c r="AV70" i="13"/>
  <c r="AW70" i="13"/>
  <c r="BC70" i="13"/>
  <c r="BD70" i="13" s="1"/>
  <c r="BE70" i="13"/>
  <c r="BF70" i="13"/>
  <c r="BG70" i="13"/>
  <c r="BH70" i="13"/>
  <c r="BI70" i="13"/>
  <c r="BJ70" i="13"/>
  <c r="BK70" i="13"/>
  <c r="BQ70" i="13"/>
  <c r="BR70" i="13"/>
  <c r="BS70" i="13"/>
  <c r="BT70" i="13"/>
  <c r="BU70" i="13"/>
  <c r="BV70" i="13"/>
  <c r="BC71" i="13"/>
  <c r="BL71" i="13" s="1"/>
  <c r="AN72" i="13"/>
  <c r="AZ72" i="13"/>
  <c r="BC72" i="13"/>
  <c r="BJ72" i="13" s="1"/>
  <c r="BP72" i="13"/>
  <c r="BQ72" i="13"/>
  <c r="BR72" i="13"/>
  <c r="BT72" i="13"/>
  <c r="AP73" i="13"/>
  <c r="AQ73" i="13"/>
  <c r="AS73" i="13"/>
  <c r="BC73" i="13"/>
  <c r="BG73" i="13" s="1"/>
  <c r="BD73" i="13"/>
  <c r="BF73" i="13"/>
  <c r="AL74" i="13"/>
  <c r="AM74" i="13"/>
  <c r="AN74" i="13"/>
  <c r="AP74" i="13"/>
  <c r="AX74" i="13"/>
  <c r="AY74" i="13"/>
  <c r="AZ74" i="13"/>
  <c r="BC74" i="13"/>
  <c r="BD74" i="13" s="1"/>
  <c r="AE68" i="13"/>
  <c r="AF68" i="13"/>
  <c r="AE70" i="13"/>
  <c r="Z68" i="13"/>
  <c r="AB68" i="13" s="1"/>
  <c r="AC68" i="13" s="1"/>
  <c r="AA68" i="13"/>
  <c r="AD68" i="13"/>
  <c r="Z69" i="13"/>
  <c r="AA69" i="13"/>
  <c r="AB69" i="13"/>
  <c r="AE69" i="13" s="1"/>
  <c r="AC69" i="13"/>
  <c r="AF69" i="13" s="1"/>
  <c r="AD69" i="13"/>
  <c r="Z70" i="13"/>
  <c r="AA70" i="13"/>
  <c r="AD70" i="13" s="1"/>
  <c r="AB70" i="13"/>
  <c r="AC70" i="13" s="1"/>
  <c r="AF70" i="13" s="1"/>
  <c r="Z71" i="13"/>
  <c r="AB71" i="13" s="1"/>
  <c r="AC71" i="13" s="1"/>
  <c r="AA71" i="13"/>
  <c r="AD71" i="13" s="1"/>
  <c r="Z72" i="13"/>
  <c r="AB72" i="13" s="1"/>
  <c r="AA72" i="13"/>
  <c r="AD72" i="13"/>
  <c r="Z73" i="13"/>
  <c r="AA73" i="13"/>
  <c r="AD73" i="13" s="1"/>
  <c r="AB73" i="13"/>
  <c r="AE73" i="13" s="1"/>
  <c r="AC73" i="13"/>
  <c r="AF73" i="13" s="1"/>
  <c r="Z74" i="13"/>
  <c r="AB74" i="13" s="1"/>
  <c r="AA74" i="13"/>
  <c r="AD74" i="13"/>
  <c r="T69" i="13"/>
  <c r="V69" i="13" s="1"/>
  <c r="W69" i="13" s="1"/>
  <c r="U69" i="13"/>
  <c r="T70" i="13"/>
  <c r="V70" i="13" s="1"/>
  <c r="W70" i="13" s="1"/>
  <c r="U70" i="13"/>
  <c r="T71" i="13"/>
  <c r="V71" i="13" s="1"/>
  <c r="W71" i="13" s="1"/>
  <c r="U71" i="13"/>
  <c r="T72" i="13"/>
  <c r="U72" i="13"/>
  <c r="V72" i="13"/>
  <c r="W72" i="13" s="1"/>
  <c r="T73" i="13"/>
  <c r="V73" i="13" s="1"/>
  <c r="W73" i="13" s="1"/>
  <c r="U73" i="13"/>
  <c r="T74" i="13"/>
  <c r="V74" i="13" s="1"/>
  <c r="W74" i="13" s="1"/>
  <c r="U74" i="13"/>
  <c r="B74" i="13"/>
  <c r="B73" i="13"/>
  <c r="B72" i="13"/>
  <c r="B71" i="13"/>
  <c r="B70" i="13"/>
  <c r="B69" i="13"/>
  <c r="C69" i="13"/>
  <c r="D69" i="13"/>
  <c r="E69" i="13"/>
  <c r="K69" i="13"/>
  <c r="P69" i="13"/>
  <c r="S69" i="13"/>
  <c r="Y69" i="13"/>
  <c r="AH69" i="13"/>
  <c r="AK69" i="13" s="1"/>
  <c r="C70" i="13"/>
  <c r="D70" i="13"/>
  <c r="E70" i="13"/>
  <c r="K70" i="13"/>
  <c r="P70" i="13"/>
  <c r="S70" i="13"/>
  <c r="Y70" i="13"/>
  <c r="AH70" i="13"/>
  <c r="AL70" i="13" s="1"/>
  <c r="C71" i="13"/>
  <c r="D71" i="13"/>
  <c r="E71" i="13"/>
  <c r="K71" i="13"/>
  <c r="P71" i="13"/>
  <c r="S71" i="13"/>
  <c r="Y71" i="13"/>
  <c r="AH71" i="13"/>
  <c r="AP71" i="13" s="1"/>
  <c r="C72" i="13"/>
  <c r="D72" i="13"/>
  <c r="E72" i="13"/>
  <c r="K72" i="13"/>
  <c r="P72" i="13"/>
  <c r="S72" i="13"/>
  <c r="Y72" i="13"/>
  <c r="AH72" i="13"/>
  <c r="AO72" i="13" s="1"/>
  <c r="C73" i="13"/>
  <c r="D73" i="13"/>
  <c r="E73" i="13"/>
  <c r="K73" i="13"/>
  <c r="P73" i="13"/>
  <c r="S73" i="13"/>
  <c r="Y73" i="13"/>
  <c r="AH73" i="13"/>
  <c r="AR73" i="13" s="1"/>
  <c r="C74" i="13"/>
  <c r="D74" i="13"/>
  <c r="E74" i="13"/>
  <c r="K74" i="13"/>
  <c r="P74" i="13"/>
  <c r="S74" i="13"/>
  <c r="Y74" i="13"/>
  <c r="AH74" i="13"/>
  <c r="AO74" i="13" s="1"/>
  <c r="B18" i="32"/>
  <c r="C11" i="32"/>
  <c r="E11" i="32" s="1"/>
  <c r="F11" i="32" s="1"/>
  <c r="G11" i="32" s="1"/>
  <c r="H11" i="32" s="1"/>
  <c r="I11" i="32" s="1"/>
  <c r="B93" i="13"/>
  <c r="C93" i="13"/>
  <c r="D93" i="13"/>
  <c r="E93" i="13"/>
  <c r="K93" i="13"/>
  <c r="P93" i="13"/>
  <c r="S93" i="13"/>
  <c r="T93" i="13" s="1"/>
  <c r="B94" i="13"/>
  <c r="C94" i="13"/>
  <c r="D94" i="13"/>
  <c r="E94" i="13"/>
  <c r="K94" i="13"/>
  <c r="P94" i="13"/>
  <c r="S94" i="13"/>
  <c r="T94" i="13" s="1"/>
  <c r="B95" i="13"/>
  <c r="C95" i="13"/>
  <c r="D95" i="13"/>
  <c r="E95" i="13"/>
  <c r="K95" i="13"/>
  <c r="P95" i="13"/>
  <c r="S95" i="13"/>
  <c r="T95" i="13" s="1"/>
  <c r="B96" i="13"/>
  <c r="C96" i="13"/>
  <c r="D96" i="13"/>
  <c r="E96" i="13"/>
  <c r="K96" i="13"/>
  <c r="P96" i="13"/>
  <c r="S96" i="13"/>
  <c r="T96" i="13" s="1"/>
  <c r="U96" i="13"/>
  <c r="B97" i="13"/>
  <c r="C97" i="13"/>
  <c r="D97" i="13"/>
  <c r="E97" i="13"/>
  <c r="K97" i="13"/>
  <c r="P97" i="13"/>
  <c r="S97" i="13"/>
  <c r="T97" i="13" s="1"/>
  <c r="B98" i="13"/>
  <c r="C98" i="13"/>
  <c r="D98" i="13"/>
  <c r="E98" i="13"/>
  <c r="K98" i="13"/>
  <c r="P98" i="13"/>
  <c r="S98" i="13"/>
  <c r="T98" i="13" s="1"/>
  <c r="B99" i="13"/>
  <c r="C99" i="13"/>
  <c r="D99" i="13"/>
  <c r="E99" i="13"/>
  <c r="K99" i="13"/>
  <c r="P99" i="13"/>
  <c r="S99" i="13"/>
  <c r="T99" i="13" s="1"/>
  <c r="B100" i="13"/>
  <c r="C100" i="13"/>
  <c r="D100" i="13"/>
  <c r="E100" i="13"/>
  <c r="K100" i="13"/>
  <c r="P100" i="13"/>
  <c r="S100" i="13"/>
  <c r="T100" i="13" s="1"/>
  <c r="B101" i="13"/>
  <c r="C101" i="13"/>
  <c r="D101" i="13"/>
  <c r="E101" i="13"/>
  <c r="K101" i="13"/>
  <c r="P101" i="13"/>
  <c r="S101" i="13"/>
  <c r="T101" i="13" s="1"/>
  <c r="B102" i="13"/>
  <c r="C102" i="13"/>
  <c r="D102" i="13"/>
  <c r="E102" i="13"/>
  <c r="K102" i="13"/>
  <c r="P102" i="13"/>
  <c r="S102" i="13"/>
  <c r="T102" i="13" s="1"/>
  <c r="B103" i="13"/>
  <c r="C103" i="13"/>
  <c r="D103" i="13"/>
  <c r="E103" i="13"/>
  <c r="K103" i="13"/>
  <c r="P103" i="13"/>
  <c r="S103" i="13"/>
  <c r="T103" i="13" s="1"/>
  <c r="B104" i="13"/>
  <c r="C104" i="13"/>
  <c r="D104" i="13"/>
  <c r="E104" i="13"/>
  <c r="K104" i="13"/>
  <c r="P104" i="13"/>
  <c r="S104" i="13"/>
  <c r="T104" i="13" s="1"/>
  <c r="B105" i="13"/>
  <c r="C105" i="13"/>
  <c r="D105" i="13"/>
  <c r="E105" i="13"/>
  <c r="K105" i="13"/>
  <c r="P105" i="13"/>
  <c r="S105" i="13"/>
  <c r="T105" i="13" s="1"/>
  <c r="B106" i="13"/>
  <c r="C106" i="13"/>
  <c r="D106" i="13"/>
  <c r="E106" i="13"/>
  <c r="K106" i="13"/>
  <c r="P106" i="13"/>
  <c r="S106" i="13"/>
  <c r="T106" i="13" s="1"/>
  <c r="B107" i="13"/>
  <c r="C107" i="13"/>
  <c r="D107" i="13"/>
  <c r="E107" i="13"/>
  <c r="K107" i="13"/>
  <c r="P107" i="13"/>
  <c r="S107" i="13"/>
  <c r="T107" i="13" s="1"/>
  <c r="B108" i="13"/>
  <c r="C108" i="13"/>
  <c r="D108" i="13"/>
  <c r="E108" i="13"/>
  <c r="K108" i="13"/>
  <c r="P108" i="13"/>
  <c r="S108" i="13"/>
  <c r="U108" i="13" s="1"/>
  <c r="G18" i="32" l="1"/>
  <c r="H18" i="32" s="1"/>
  <c r="AE74" i="13"/>
  <c r="AC74" i="13"/>
  <c r="AF74" i="13" s="1"/>
  <c r="AC72" i="13"/>
  <c r="AF72" i="13" s="1"/>
  <c r="AE72" i="13"/>
  <c r="AY72" i="13"/>
  <c r="AM72" i="13"/>
  <c r="AL72" i="13"/>
  <c r="BA73" i="13"/>
  <c r="AO73" i="13"/>
  <c r="AX72" i="13"/>
  <c r="AW74" i="13"/>
  <c r="AK74" i="13"/>
  <c r="AZ73" i="13"/>
  <c r="AN73" i="13"/>
  <c r="BO72" i="13"/>
  <c r="AW72" i="13"/>
  <c r="AK72" i="13"/>
  <c r="AV74" i="13"/>
  <c r="AJ74" i="13"/>
  <c r="AY73" i="13"/>
  <c r="AM73" i="13"/>
  <c r="BI72" i="13"/>
  <c r="AV72" i="13"/>
  <c r="AJ72" i="13"/>
  <c r="AU74" i="13"/>
  <c r="AI74" i="13"/>
  <c r="AX73" i="13"/>
  <c r="AL73" i="13"/>
  <c r="BH72" i="13"/>
  <c r="AU72" i="13"/>
  <c r="AI72" i="13"/>
  <c r="AT74" i="13"/>
  <c r="BR73" i="13"/>
  <c r="AW73" i="13"/>
  <c r="AK73" i="13"/>
  <c r="BG72" i="13"/>
  <c r="AT72" i="13"/>
  <c r="AS74" i="13"/>
  <c r="BQ73" i="13"/>
  <c r="AV73" i="13"/>
  <c r="AJ73" i="13"/>
  <c r="BF72" i="13"/>
  <c r="AS72" i="13"/>
  <c r="AR74" i="13"/>
  <c r="BP73" i="13"/>
  <c r="AU73" i="13"/>
  <c r="AI73" i="13"/>
  <c r="BE72" i="13"/>
  <c r="AR72" i="13"/>
  <c r="BO74" i="13"/>
  <c r="AQ74" i="13"/>
  <c r="BO73" i="13"/>
  <c r="AT73" i="13"/>
  <c r="BU72" i="13"/>
  <c r="BD72" i="13"/>
  <c r="AQ72" i="13"/>
  <c r="AP72" i="13"/>
  <c r="BA74" i="13"/>
  <c r="BE73" i="13"/>
  <c r="BS72" i="13"/>
  <c r="BA72" i="13"/>
  <c r="AF71" i="13"/>
  <c r="BQ71" i="13"/>
  <c r="AZ71" i="13"/>
  <c r="AL71" i="13"/>
  <c r="BP71" i="13"/>
  <c r="BJ71" i="13"/>
  <c r="AK71" i="13"/>
  <c r="AE71" i="13"/>
  <c r="BH71" i="13"/>
  <c r="AU71" i="13"/>
  <c r="AI71" i="13"/>
  <c r="BO71" i="13"/>
  <c r="BV71" i="13"/>
  <c r="AT71" i="13"/>
  <c r="BU71" i="13"/>
  <c r="BF71" i="13"/>
  <c r="AS71" i="13"/>
  <c r="BR71" i="13"/>
  <c r="AO71" i="13"/>
  <c r="AN71" i="13"/>
  <c r="AM71" i="13"/>
  <c r="AX71" i="13"/>
  <c r="BI71" i="13"/>
  <c r="AJ71" i="13"/>
  <c r="BG71" i="13"/>
  <c r="BT71" i="13"/>
  <c r="BE71" i="13"/>
  <c r="AR71" i="13"/>
  <c r="BA71" i="13"/>
  <c r="AY71" i="13"/>
  <c r="BK71" i="13"/>
  <c r="AW71" i="13"/>
  <c r="AV71" i="13"/>
  <c r="BS71" i="13"/>
  <c r="BD71" i="13"/>
  <c r="AQ71" i="13"/>
  <c r="AV69" i="13"/>
  <c r="AJ69" i="13"/>
  <c r="AU69" i="13"/>
  <c r="AI69" i="13"/>
  <c r="AT69" i="13"/>
  <c r="BP69" i="13"/>
  <c r="AS69" i="13"/>
  <c r="AR69" i="13"/>
  <c r="BD69" i="13"/>
  <c r="AQ69" i="13"/>
  <c r="AP69" i="13"/>
  <c r="BA69" i="13"/>
  <c r="AO69" i="13"/>
  <c r="AN69" i="13"/>
  <c r="AY69" i="13"/>
  <c r="AM69" i="13"/>
  <c r="AX69" i="13"/>
  <c r="AL69" i="13"/>
  <c r="BO69" i="13"/>
  <c r="AZ69" i="13"/>
  <c r="AW69" i="13"/>
  <c r="AR70" i="13"/>
  <c r="AI70" i="13"/>
  <c r="AQ70" i="13"/>
  <c r="AU70" i="13"/>
  <c r="AT70" i="13"/>
  <c r="AS70" i="13"/>
  <c r="AM70" i="13"/>
  <c r="AP70" i="13"/>
  <c r="BO70" i="13"/>
  <c r="BA70" i="13"/>
  <c r="AO70" i="13"/>
  <c r="BN70" i="13"/>
  <c r="AZ70" i="13"/>
  <c r="AN70" i="13"/>
  <c r="BM70" i="13"/>
  <c r="AY70" i="13"/>
  <c r="BL70" i="13"/>
  <c r="AX70" i="13"/>
  <c r="BK69" i="13"/>
  <c r="BN68" i="13"/>
  <c r="BK65" i="13"/>
  <c r="BN64" i="13"/>
  <c r="BV69" i="13"/>
  <c r="BJ69" i="13"/>
  <c r="BM68" i="13"/>
  <c r="BV65" i="13"/>
  <c r="BJ65" i="13"/>
  <c r="BM64" i="13"/>
  <c r="BU69" i="13"/>
  <c r="BI69" i="13"/>
  <c r="BL68" i="13"/>
  <c r="BU65" i="13"/>
  <c r="BI65" i="13"/>
  <c r="BL64" i="13"/>
  <c r="BN74" i="13"/>
  <c r="BM74" i="13"/>
  <c r="BL74" i="13"/>
  <c r="BK74" i="13"/>
  <c r="BN73" i="13"/>
  <c r="BN69" i="13"/>
  <c r="BN65" i="13"/>
  <c r="BV74" i="13"/>
  <c r="BJ74" i="13"/>
  <c r="BM73" i="13"/>
  <c r="BM69" i="13"/>
  <c r="BM65" i="13"/>
  <c r="BU74" i="13"/>
  <c r="BI74" i="13"/>
  <c r="BL73" i="13"/>
  <c r="BL69" i="13"/>
  <c r="BL65" i="13"/>
  <c r="BT74" i="13"/>
  <c r="BH74" i="13"/>
  <c r="BK73" i="13"/>
  <c r="BN72" i="13"/>
  <c r="BS74" i="13"/>
  <c r="BG74" i="13"/>
  <c r="BV73" i="13"/>
  <c r="BJ73" i="13"/>
  <c r="BM72" i="13"/>
  <c r="BR74" i="13"/>
  <c r="BF74" i="13"/>
  <c r="BU73" i="13"/>
  <c r="BI73" i="13"/>
  <c r="BL72" i="13"/>
  <c r="BQ74" i="13"/>
  <c r="BE74" i="13"/>
  <c r="BT73" i="13"/>
  <c r="BH73" i="13"/>
  <c r="BK72" i="13"/>
  <c r="BN71" i="13"/>
  <c r="BT69" i="13"/>
  <c r="BH69" i="13"/>
  <c r="BK68" i="13"/>
  <c r="BT65" i="13"/>
  <c r="BH65" i="13"/>
  <c r="BK64" i="13"/>
  <c r="BP74" i="13"/>
  <c r="BS73" i="13"/>
  <c r="BV72" i="13"/>
  <c r="BM71" i="13"/>
  <c r="BP70" i="13"/>
  <c r="BS69" i="13"/>
  <c r="BG69" i="13"/>
  <c r="BV68" i="13"/>
  <c r="BJ68" i="13"/>
  <c r="BM67" i="13"/>
  <c r="BP66" i="13"/>
  <c r="BS65" i="13"/>
  <c r="BG65" i="13"/>
  <c r="BV64" i="13"/>
  <c r="BJ64" i="13"/>
  <c r="BR69" i="13"/>
  <c r="BF69" i="13"/>
  <c r="BU68" i="13"/>
  <c r="BI68" i="13"/>
  <c r="BL67" i="13"/>
  <c r="BR65" i="13"/>
  <c r="BF65" i="13"/>
  <c r="BU64" i="13"/>
  <c r="BI64" i="13"/>
  <c r="BQ69" i="13"/>
  <c r="BT68" i="13"/>
  <c r="BQ65" i="13"/>
  <c r="BT64" i="13"/>
  <c r="T108" i="13"/>
  <c r="U97" i="13"/>
  <c r="U101" i="13"/>
  <c r="U104" i="13"/>
  <c r="U93" i="13"/>
  <c r="U100" i="13"/>
  <c r="U105" i="13"/>
  <c r="U106" i="13"/>
  <c r="U102" i="13"/>
  <c r="U98" i="13"/>
  <c r="U94" i="13"/>
  <c r="U107" i="13"/>
  <c r="U103" i="13"/>
  <c r="U99" i="13"/>
  <c r="U95" i="13"/>
  <c r="C9" i="32"/>
  <c r="C10" i="32"/>
  <c r="E10" i="32" l="1"/>
  <c r="F10" i="32" s="1"/>
  <c r="G10" i="32" s="1"/>
  <c r="H10" i="32" s="1"/>
  <c r="I10" i="32" s="1"/>
  <c r="G17" i="32"/>
  <c r="H17" i="32" s="1"/>
  <c r="B17" i="32"/>
  <c r="V107" i="13"/>
  <c r="W107" i="13" s="1"/>
  <c r="Y107" i="13"/>
  <c r="AA107" i="13" s="1"/>
  <c r="Y108" i="13"/>
  <c r="AA108" i="13" s="1"/>
  <c r="AH107" i="13"/>
  <c r="AL107" i="13" s="1"/>
  <c r="AH108" i="13"/>
  <c r="AI108" i="13" s="1"/>
  <c r="BC107" i="13"/>
  <c r="BH107" i="13" s="1"/>
  <c r="BC108" i="13"/>
  <c r="BE108" i="13" s="1"/>
  <c r="AI107" i="13" l="1"/>
  <c r="Z108" i="13"/>
  <c r="AB108" i="13" s="1"/>
  <c r="AO107" i="13"/>
  <c r="AT107" i="13"/>
  <c r="AQ108" i="13"/>
  <c r="BA107" i="13"/>
  <c r="AZ108" i="13"/>
  <c r="AY107" i="13"/>
  <c r="AU107" i="13"/>
  <c r="AQ107" i="13"/>
  <c r="AY108" i="13"/>
  <c r="AP108" i="13"/>
  <c r="AV108" i="13"/>
  <c r="AJ108" i="13"/>
  <c r="BR108" i="13"/>
  <c r="BP108" i="13"/>
  <c r="BI108" i="13"/>
  <c r="BG108" i="13"/>
  <c r="AP107" i="13"/>
  <c r="BP107" i="13"/>
  <c r="BO108" i="13"/>
  <c r="AT108" i="13"/>
  <c r="AN108" i="13"/>
  <c r="BJ108" i="13"/>
  <c r="BG107" i="13"/>
  <c r="BM108" i="13"/>
  <c r="BU108" i="13"/>
  <c r="BF108" i="13"/>
  <c r="AM108" i="13"/>
  <c r="BU107" i="13"/>
  <c r="BD108" i="13"/>
  <c r="AS108" i="13"/>
  <c r="BV108" i="13"/>
  <c r="BL108" i="13"/>
  <c r="AW108" i="13"/>
  <c r="AS107" i="13"/>
  <c r="AK108" i="13"/>
  <c r="BS108" i="13"/>
  <c r="BL107" i="13"/>
  <c r="AW107" i="13"/>
  <c r="AR107" i="13"/>
  <c r="AK107" i="13"/>
  <c r="AD107" i="13"/>
  <c r="V108" i="13"/>
  <c r="W108" i="13" s="1"/>
  <c r="BT107" i="13"/>
  <c r="BK107" i="13"/>
  <c r="AD108" i="13"/>
  <c r="BS107" i="13"/>
  <c r="BO107" i="13"/>
  <c r="BJ107" i="13"/>
  <c r="BF107" i="13"/>
  <c r="BN107" i="13"/>
  <c r="BE107" i="13"/>
  <c r="AZ107" i="13"/>
  <c r="AN107" i="13"/>
  <c r="AV107" i="13"/>
  <c r="AJ107" i="13"/>
  <c r="BV107" i="13"/>
  <c r="BM107" i="13"/>
  <c r="BD107" i="13"/>
  <c r="BQ107" i="13"/>
  <c r="AM107" i="13"/>
  <c r="BR107" i="13"/>
  <c r="BI107" i="13"/>
  <c r="AX107" i="13"/>
  <c r="AC108" i="13"/>
  <c r="Z107" i="13"/>
  <c r="AB107" i="13" s="1"/>
  <c r="BT108" i="13"/>
  <c r="BQ108" i="13"/>
  <c r="BN108" i="13"/>
  <c r="BK108" i="13"/>
  <c r="BH108" i="13"/>
  <c r="BA108" i="13"/>
  <c r="AX108" i="13"/>
  <c r="AU108" i="13"/>
  <c r="AR108" i="13"/>
  <c r="AO108" i="13"/>
  <c r="AL108" i="13"/>
  <c r="V105" i="13"/>
  <c r="W105" i="13" s="1"/>
  <c r="V106" i="13"/>
  <c r="W106" i="13" s="1"/>
  <c r="Y105" i="13"/>
  <c r="Z105" i="13" s="1"/>
  <c r="AB105" i="13" s="1"/>
  <c r="Y106" i="13"/>
  <c r="Z106" i="13" s="1"/>
  <c r="AB106" i="13" s="1"/>
  <c r="AH105" i="13"/>
  <c r="AL105" i="13" s="1"/>
  <c r="AH106" i="13"/>
  <c r="AI106" i="13" s="1"/>
  <c r="BC105" i="13"/>
  <c r="BM105" i="13" s="1"/>
  <c r="BC106" i="13"/>
  <c r="BH106" i="13" s="1"/>
  <c r="V104" i="13"/>
  <c r="W104" i="13" s="1"/>
  <c r="Y104" i="13"/>
  <c r="Z104" i="13" s="1"/>
  <c r="AB104" i="13" s="1"/>
  <c r="AH104" i="13"/>
  <c r="AL104" i="13" s="1"/>
  <c r="BC104" i="13"/>
  <c r="BF104" i="13" s="1"/>
  <c r="V103" i="13"/>
  <c r="W103" i="13" s="1"/>
  <c r="Y103" i="13"/>
  <c r="AA103" i="13" s="1"/>
  <c r="AH103" i="13"/>
  <c r="AI103" i="13" s="1"/>
  <c r="BC103" i="13"/>
  <c r="BD103" i="13" s="1"/>
  <c r="V102" i="13"/>
  <c r="Y102" i="13"/>
  <c r="AA102" i="13" s="1"/>
  <c r="AH102" i="13"/>
  <c r="AK102" i="13" s="1"/>
  <c r="BC102" i="13"/>
  <c r="BD102" i="13" s="1"/>
  <c r="V101" i="13"/>
  <c r="W101" i="13" s="1"/>
  <c r="Y101" i="13"/>
  <c r="Z101" i="13" s="1"/>
  <c r="AB101" i="13" s="1"/>
  <c r="AH101" i="13"/>
  <c r="AN101" i="13" s="1"/>
  <c r="BC101" i="13"/>
  <c r="BD101" i="13" s="1"/>
  <c r="V100" i="13"/>
  <c r="Y100" i="13"/>
  <c r="Z100" i="13" s="1"/>
  <c r="AB100" i="13" s="1"/>
  <c r="AC100" i="13" s="1"/>
  <c r="AH100" i="13"/>
  <c r="AJ100" i="13" s="1"/>
  <c r="BC100" i="13"/>
  <c r="BI100" i="13" s="1"/>
  <c r="Y99" i="13"/>
  <c r="AA99" i="13" s="1"/>
  <c r="AH99" i="13"/>
  <c r="AK99" i="13" s="1"/>
  <c r="BC99" i="13"/>
  <c r="BJ99" i="13" s="1"/>
  <c r="D32" i="38"/>
  <c r="D31" i="38"/>
  <c r="D26" i="38"/>
  <c r="D25" i="38"/>
  <c r="D27" i="38"/>
  <c r="D28" i="38"/>
  <c r="D29" i="38"/>
  <c r="D30" i="38"/>
  <c r="D24" i="38"/>
  <c r="D23" i="38"/>
  <c r="D22" i="38"/>
  <c r="D21" i="38"/>
  <c r="E18" i="38"/>
  <c r="F18" i="38" s="1"/>
  <c r="G18" i="38" s="1"/>
  <c r="H18" i="38" s="1"/>
  <c r="I18" i="38" s="1"/>
  <c r="AE108" i="13" l="1"/>
  <c r="AF108" i="13"/>
  <c r="AE107" i="13"/>
  <c r="AC107" i="13"/>
  <c r="AF107" i="13" s="1"/>
  <c r="BI103" i="13"/>
  <c r="AZ105" i="13"/>
  <c r="BA103" i="13"/>
  <c r="BS100" i="13"/>
  <c r="BK101" i="13"/>
  <c r="BJ103" i="13"/>
  <c r="AZ106" i="13"/>
  <c r="AY104" i="13"/>
  <c r="AW104" i="13"/>
  <c r="AR104" i="13"/>
  <c r="AQ104" i="13"/>
  <c r="AN104" i="13"/>
  <c r="AP104" i="13"/>
  <c r="AK104" i="13"/>
  <c r="BO106" i="13"/>
  <c r="BR101" i="13"/>
  <c r="AZ104" i="13"/>
  <c r="AV104" i="13"/>
  <c r="AT104" i="13"/>
  <c r="Z102" i="13"/>
  <c r="AB102" i="13" s="1"/>
  <c r="AC102" i="13" s="1"/>
  <c r="BO105" i="13"/>
  <c r="AW106" i="13"/>
  <c r="AN103" i="13"/>
  <c r="AW105" i="13"/>
  <c r="BT105" i="13"/>
  <c r="AV105" i="13"/>
  <c r="AT105" i="13"/>
  <c r="AS105" i="13"/>
  <c r="AA106" i="13"/>
  <c r="BO101" i="13"/>
  <c r="AZ103" i="13"/>
  <c r="AJ104" i="13"/>
  <c r="AA105" i="13"/>
  <c r="BN101" i="13"/>
  <c r="BV103" i="13"/>
  <c r="AX103" i="13"/>
  <c r="BA104" i="13"/>
  <c r="AU104" i="13"/>
  <c r="AO104" i="13"/>
  <c r="AI104" i="13"/>
  <c r="BM101" i="13"/>
  <c r="BU103" i="13"/>
  <c r="AW103" i="13"/>
  <c r="BT104" i="13"/>
  <c r="BH105" i="13"/>
  <c r="BA106" i="13"/>
  <c r="AN105" i="13"/>
  <c r="BT100" i="13"/>
  <c r="BL101" i="13"/>
  <c r="BQ103" i="13"/>
  <c r="AV103" i="13"/>
  <c r="BP104" i="13"/>
  <c r="BO103" i="13"/>
  <c r="BN103" i="13"/>
  <c r="AI100" i="13"/>
  <c r="AJ101" i="13"/>
  <c r="BO102" i="13"/>
  <c r="BM103" i="13"/>
  <c r="Z103" i="13"/>
  <c r="AB103" i="13" s="1"/>
  <c r="AC103" i="13" s="1"/>
  <c r="AF103" i="13" s="1"/>
  <c r="BL104" i="13"/>
  <c r="AX104" i="13"/>
  <c r="AS104" i="13"/>
  <c r="AM104" i="13"/>
  <c r="Z99" i="13"/>
  <c r="AB99" i="13" s="1"/>
  <c r="AC99" i="13" s="1"/>
  <c r="AI101" i="13"/>
  <c r="BL103" i="13"/>
  <c r="BH104" i="13"/>
  <c r="AU106" i="13"/>
  <c r="AR105" i="13"/>
  <c r="AQ105" i="13"/>
  <c r="AR106" i="13"/>
  <c r="AM105" i="13"/>
  <c r="AY105" i="13"/>
  <c r="AK106" i="13"/>
  <c r="AK105" i="13"/>
  <c r="AX106" i="13"/>
  <c r="AP106" i="13"/>
  <c r="AJ105" i="13"/>
  <c r="AY106" i="13"/>
  <c r="AU105" i="13"/>
  <c r="AQ106" i="13"/>
  <c r="AX105" i="13"/>
  <c r="AT106" i="13"/>
  <c r="AP105" i="13"/>
  <c r="AI105" i="13"/>
  <c r="AE106" i="13"/>
  <c r="AC106" i="13"/>
  <c r="AF106" i="13" s="1"/>
  <c r="AC105" i="13"/>
  <c r="AF105" i="13" s="1"/>
  <c r="AE105" i="13"/>
  <c r="AC104" i="13"/>
  <c r="AF104" i="13" s="1"/>
  <c r="AE104" i="13"/>
  <c r="BV106" i="13"/>
  <c r="BJ105" i="13"/>
  <c r="BS104" i="13"/>
  <c r="BK104" i="13"/>
  <c r="BG104" i="13"/>
  <c r="AA104" i="13"/>
  <c r="BQ105" i="13"/>
  <c r="BL106" i="13"/>
  <c r="BE105" i="13"/>
  <c r="AM106" i="13"/>
  <c r="BJ106" i="13"/>
  <c r="BG106" i="13"/>
  <c r="BE106" i="13"/>
  <c r="AM103" i="13"/>
  <c r="BO104" i="13"/>
  <c r="BS106" i="13"/>
  <c r="AX101" i="13"/>
  <c r="AK103" i="13"/>
  <c r="BN106" i="13"/>
  <c r="BG105" i="13"/>
  <c r="AO106" i="13"/>
  <c r="BL105" i="13"/>
  <c r="BS105" i="13"/>
  <c r="AV101" i="13"/>
  <c r="BK103" i="13"/>
  <c r="AJ103" i="13"/>
  <c r="BV104" i="13"/>
  <c r="BN104" i="13"/>
  <c r="BJ104" i="13"/>
  <c r="BU106" i="13"/>
  <c r="BN105" i="13"/>
  <c r="BI106" i="13"/>
  <c r="BA105" i="13"/>
  <c r="AV106" i="13"/>
  <c r="AO105" i="13"/>
  <c r="AJ106" i="13"/>
  <c r="BV105" i="13"/>
  <c r="BQ106" i="13"/>
  <c r="BU105" i="13"/>
  <c r="BP106" i="13"/>
  <c r="BI105" i="13"/>
  <c r="BD106" i="13"/>
  <c r="BP105" i="13"/>
  <c r="BK106" i="13"/>
  <c r="BD105" i="13"/>
  <c r="AL106" i="13"/>
  <c r="AU101" i="13"/>
  <c r="BR104" i="13"/>
  <c r="BE104" i="13"/>
  <c r="AT101" i="13"/>
  <c r="BU101" i="13"/>
  <c r="AR101" i="13"/>
  <c r="BQ104" i="13"/>
  <c r="BM104" i="13"/>
  <c r="BR106" i="13"/>
  <c r="BK105" i="13"/>
  <c r="BF106" i="13"/>
  <c r="AS106" i="13"/>
  <c r="AO101" i="13"/>
  <c r="BU104" i="13"/>
  <c r="BI104" i="13"/>
  <c r="BD104" i="13"/>
  <c r="BR105" i="13"/>
  <c r="BM106" i="13"/>
  <c r="BF105" i="13"/>
  <c r="AN106" i="13"/>
  <c r="BT106" i="13"/>
  <c r="AT103" i="13"/>
  <c r="AS103" i="13"/>
  <c r="AR103" i="13"/>
  <c r="AQ103" i="13"/>
  <c r="BE103" i="13"/>
  <c r="AP103" i="13"/>
  <c r="AO103" i="13"/>
  <c r="AY103" i="13"/>
  <c r="AL103" i="13"/>
  <c r="BT103" i="13"/>
  <c r="BH103" i="13"/>
  <c r="AU103" i="13"/>
  <c r="AD103" i="13"/>
  <c r="BA101" i="13"/>
  <c r="BS103" i="13"/>
  <c r="BG103" i="13"/>
  <c r="AY101" i="13"/>
  <c r="BR103" i="13"/>
  <c r="BF103" i="13"/>
  <c r="BV101" i="13"/>
  <c r="AW101" i="13"/>
  <c r="BP103" i="13"/>
  <c r="V99" i="13"/>
  <c r="W99" i="13" s="1"/>
  <c r="AJ102" i="13"/>
  <c r="AI102" i="13"/>
  <c r="AV102" i="13"/>
  <c r="AU102" i="13"/>
  <c r="BI101" i="13"/>
  <c r="AM101" i="13"/>
  <c r="BJ101" i="13"/>
  <c r="BF101" i="13"/>
  <c r="AL101" i="13"/>
  <c r="AK101" i="13"/>
  <c r="BL102" i="13"/>
  <c r="BN102" i="13"/>
  <c r="BK102" i="13"/>
  <c r="BV102" i="13"/>
  <c r="BJ102" i="13"/>
  <c r="AS101" i="13"/>
  <c r="BU102" i="13"/>
  <c r="BI102" i="13"/>
  <c r="BM102" i="13"/>
  <c r="BT102" i="13"/>
  <c r="BH102" i="13"/>
  <c r="AQ101" i="13"/>
  <c r="BS102" i="13"/>
  <c r="BG102" i="13"/>
  <c r="AP101" i="13"/>
  <c r="BR102" i="13"/>
  <c r="BF102" i="13"/>
  <c r="BQ102" i="13"/>
  <c r="BE102" i="13"/>
  <c r="AZ101" i="13"/>
  <c r="BP102" i="13"/>
  <c r="AC101" i="13"/>
  <c r="AF101" i="13" s="1"/>
  <c r="AE101" i="13"/>
  <c r="AS102" i="13"/>
  <c r="AT102" i="13"/>
  <c r="BR100" i="13"/>
  <c r="AR102" i="13"/>
  <c r="BQ100" i="13"/>
  <c r="AA100" i="13"/>
  <c r="BT101" i="13"/>
  <c r="BH101" i="13"/>
  <c r="AQ102" i="13"/>
  <c r="AD99" i="13"/>
  <c r="BH100" i="13"/>
  <c r="BS101" i="13"/>
  <c r="BG101" i="13"/>
  <c r="AP102" i="13"/>
  <c r="BA102" i="13"/>
  <c r="BF100" i="13"/>
  <c r="BQ101" i="13"/>
  <c r="BE101" i="13"/>
  <c r="AZ102" i="13"/>
  <c r="AN102" i="13"/>
  <c r="BG100" i="13"/>
  <c r="AO102" i="13"/>
  <c r="BE100" i="13"/>
  <c r="BP101" i="13"/>
  <c r="AY102" i="13"/>
  <c r="AM102" i="13"/>
  <c r="AA101" i="13"/>
  <c r="AX102" i="13"/>
  <c r="AL102" i="13"/>
  <c r="AD102" i="13"/>
  <c r="AU100" i="13"/>
  <c r="AW102" i="13"/>
  <c r="W100" i="13"/>
  <c r="AF100" i="13" s="1"/>
  <c r="AE100" i="13"/>
  <c r="BK100" i="13"/>
  <c r="AX100" i="13"/>
  <c r="AL100" i="13"/>
  <c r="AR100" i="13"/>
  <c r="BP100" i="13"/>
  <c r="BD100" i="13"/>
  <c r="AQ100" i="13"/>
  <c r="BN100" i="13"/>
  <c r="AZ100" i="13"/>
  <c r="AT100" i="13"/>
  <c r="AS100" i="13"/>
  <c r="BO100" i="13"/>
  <c r="AP100" i="13"/>
  <c r="BA100" i="13"/>
  <c r="AO100" i="13"/>
  <c r="BM100" i="13"/>
  <c r="AN100" i="13"/>
  <c r="BL100" i="13"/>
  <c r="AY100" i="13"/>
  <c r="AM100" i="13"/>
  <c r="BV100" i="13"/>
  <c r="BJ100" i="13"/>
  <c r="AW100" i="13"/>
  <c r="AK100" i="13"/>
  <c r="BU100" i="13"/>
  <c r="AV100" i="13"/>
  <c r="AU99" i="13"/>
  <c r="BF99" i="13"/>
  <c r="BS99" i="13"/>
  <c r="BU99" i="13"/>
  <c r="BR99" i="13"/>
  <c r="AJ99" i="13"/>
  <c r="AI99" i="13"/>
  <c r="BT99" i="13"/>
  <c r="BI99" i="13"/>
  <c r="AV99" i="13"/>
  <c r="BH99" i="13"/>
  <c r="BG99" i="13"/>
  <c r="AP99" i="13"/>
  <c r="BO99" i="13"/>
  <c r="AN99" i="13"/>
  <c r="BL99" i="13"/>
  <c r="AY99" i="13"/>
  <c r="AM99" i="13"/>
  <c r="AT99" i="13"/>
  <c r="BQ99" i="13"/>
  <c r="BE99" i="13"/>
  <c r="AR99" i="13"/>
  <c r="BP99" i="13"/>
  <c r="AQ99" i="13"/>
  <c r="BN99" i="13"/>
  <c r="AO99" i="13"/>
  <c r="BK99" i="13"/>
  <c r="AL99" i="13"/>
  <c r="AS99" i="13"/>
  <c r="BD99" i="13"/>
  <c r="BA99" i="13"/>
  <c r="BM99" i="13"/>
  <c r="AZ99" i="13"/>
  <c r="AX99" i="13"/>
  <c r="BV99" i="13"/>
  <c r="AW99" i="13"/>
  <c r="W102" i="13"/>
  <c r="D27" i="22"/>
  <c r="D28" i="22"/>
  <c r="D29" i="22"/>
  <c r="D30" i="22"/>
  <c r="D31" i="22"/>
  <c r="G27" i="22"/>
  <c r="G28" i="22"/>
  <c r="H28" i="22" s="1"/>
  <c r="G29" i="22"/>
  <c r="H29" i="22" s="1"/>
  <c r="G30" i="22"/>
  <c r="H30" i="22" s="1"/>
  <c r="G31" i="22"/>
  <c r="H31" i="22" s="1"/>
  <c r="F32" i="38"/>
  <c r="H32" i="38" s="1"/>
  <c r="I32" i="38" s="1"/>
  <c r="B32" i="38"/>
  <c r="F31" i="38"/>
  <c r="H31" i="38" s="1"/>
  <c r="I31" i="38" s="1"/>
  <c r="B31" i="38"/>
  <c r="F26" i="38"/>
  <c r="H26" i="38" s="1"/>
  <c r="I26" i="38" s="1"/>
  <c r="B26" i="38"/>
  <c r="B16" i="32"/>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75" i="13"/>
  <c r="P76" i="13"/>
  <c r="P77" i="13"/>
  <c r="P78" i="13"/>
  <c r="P79" i="13"/>
  <c r="P80" i="13"/>
  <c r="P81" i="13"/>
  <c r="P82" i="13"/>
  <c r="P83" i="13"/>
  <c r="P84" i="13"/>
  <c r="P85" i="13"/>
  <c r="P86" i="13"/>
  <c r="P87" i="13"/>
  <c r="P88" i="13"/>
  <c r="P89" i="13"/>
  <c r="P90" i="13"/>
  <c r="P91" i="13"/>
  <c r="P92" i="13"/>
  <c r="Y98" i="13"/>
  <c r="AA98" i="13" s="1"/>
  <c r="Y97" i="13"/>
  <c r="Z97" i="13" s="1"/>
  <c r="AB97" i="13" s="1"/>
  <c r="Y96" i="13"/>
  <c r="AA96" i="13" s="1"/>
  <c r="Y95" i="13"/>
  <c r="Z95" i="13" s="1"/>
  <c r="AB95" i="13" s="1"/>
  <c r="V95" i="13"/>
  <c r="Y94" i="13"/>
  <c r="AA94" i="13" s="1"/>
  <c r="Y93" i="13"/>
  <c r="Y92" i="13"/>
  <c r="AA92" i="13" s="1"/>
  <c r="S92" i="13"/>
  <c r="Y91" i="13"/>
  <c r="AA91" i="13" s="1"/>
  <c r="S91" i="13"/>
  <c r="U91" i="13" s="1"/>
  <c r="Y90" i="13"/>
  <c r="AA90" i="13" s="1"/>
  <c r="S90" i="13"/>
  <c r="U90" i="13" s="1"/>
  <c r="Y89" i="13"/>
  <c r="Z89" i="13" s="1"/>
  <c r="AB89" i="13" s="1"/>
  <c r="S89" i="13"/>
  <c r="U89" i="13" s="1"/>
  <c r="Y88" i="13"/>
  <c r="AA88" i="13" s="1"/>
  <c r="S88" i="13"/>
  <c r="U88" i="13" s="1"/>
  <c r="Y87" i="13"/>
  <c r="S87" i="13"/>
  <c r="U87" i="13" s="1"/>
  <c r="Y86" i="13"/>
  <c r="AA86" i="13" s="1"/>
  <c r="S86" i="13"/>
  <c r="Y85" i="13"/>
  <c r="AA85" i="13" s="1"/>
  <c r="S85" i="13"/>
  <c r="U85" i="13" s="1"/>
  <c r="Y84" i="13"/>
  <c r="Z84" i="13" s="1"/>
  <c r="AB84" i="13" s="1"/>
  <c r="S84" i="13"/>
  <c r="U84" i="13" s="1"/>
  <c r="Y83" i="13"/>
  <c r="AA83" i="13" s="1"/>
  <c r="S83" i="13"/>
  <c r="T83" i="13" s="1"/>
  <c r="V83" i="13" s="1"/>
  <c r="Y82" i="13"/>
  <c r="AA82" i="13" s="1"/>
  <c r="S82" i="13"/>
  <c r="U82" i="13" s="1"/>
  <c r="Y81" i="13"/>
  <c r="S81" i="13"/>
  <c r="U81" i="13" s="1"/>
  <c r="Y80" i="13"/>
  <c r="AA80" i="13" s="1"/>
  <c r="S80" i="13"/>
  <c r="Y79" i="13"/>
  <c r="AA79" i="13" s="1"/>
  <c r="S79" i="13"/>
  <c r="U79" i="13" s="1"/>
  <c r="Y78" i="13"/>
  <c r="Z78" i="13" s="1"/>
  <c r="AB78" i="13" s="1"/>
  <c r="S78" i="13"/>
  <c r="U78" i="13" s="1"/>
  <c r="Y77" i="13"/>
  <c r="AA77" i="13" s="1"/>
  <c r="S77" i="13"/>
  <c r="T77" i="13" s="1"/>
  <c r="V77" i="13" s="1"/>
  <c r="Y76" i="13"/>
  <c r="AA76" i="13" s="1"/>
  <c r="S76" i="13"/>
  <c r="T76" i="13" s="1"/>
  <c r="V76" i="13" s="1"/>
  <c r="Y75" i="13"/>
  <c r="S75" i="13"/>
  <c r="U75" i="13" s="1"/>
  <c r="Y68" i="13"/>
  <c r="S68" i="13"/>
  <c r="Y67" i="13"/>
  <c r="AA67" i="13" s="1"/>
  <c r="S67" i="13"/>
  <c r="U67" i="13" s="1"/>
  <c r="Y66" i="13"/>
  <c r="AA66" i="13" s="1"/>
  <c r="S66" i="13"/>
  <c r="T66" i="13" s="1"/>
  <c r="V66" i="13" s="1"/>
  <c r="Y65" i="13"/>
  <c r="AA65" i="13" s="1"/>
  <c r="S65" i="13"/>
  <c r="T65" i="13" s="1"/>
  <c r="V65" i="13" s="1"/>
  <c r="Y64" i="13"/>
  <c r="Z64" i="13" s="1"/>
  <c r="AB64" i="13" s="1"/>
  <c r="S64" i="13"/>
  <c r="U64" i="13" s="1"/>
  <c r="Y63" i="13"/>
  <c r="AA63" i="13" s="1"/>
  <c r="S63" i="13"/>
  <c r="T63" i="13" s="1"/>
  <c r="V63" i="13" s="1"/>
  <c r="Y62" i="13"/>
  <c r="AA62" i="13" s="1"/>
  <c r="S62" i="13"/>
  <c r="U62" i="13" s="1"/>
  <c r="Y61" i="13"/>
  <c r="AA61" i="13" s="1"/>
  <c r="S61" i="13"/>
  <c r="U61" i="13" s="1"/>
  <c r="Y60" i="13"/>
  <c r="AA60" i="13" s="1"/>
  <c r="S60" i="13"/>
  <c r="U60" i="13" s="1"/>
  <c r="Y59" i="13"/>
  <c r="AA59" i="13" s="1"/>
  <c r="S59" i="13"/>
  <c r="U59" i="13" s="1"/>
  <c r="Y58" i="13"/>
  <c r="Z58" i="13" s="1"/>
  <c r="AB58" i="13" s="1"/>
  <c r="S58" i="13"/>
  <c r="T58" i="13" s="1"/>
  <c r="V58" i="13" s="1"/>
  <c r="Y57" i="13"/>
  <c r="AA57" i="13" s="1"/>
  <c r="S57" i="13"/>
  <c r="T57" i="13" s="1"/>
  <c r="V57" i="13" s="1"/>
  <c r="Y56" i="13"/>
  <c r="Z56" i="13" s="1"/>
  <c r="AB56" i="13" s="1"/>
  <c r="S56" i="13"/>
  <c r="U56" i="13" s="1"/>
  <c r="Y55" i="13"/>
  <c r="AA55" i="13" s="1"/>
  <c r="S55" i="13"/>
  <c r="U55" i="13" s="1"/>
  <c r="Y54" i="13"/>
  <c r="AA54" i="13" s="1"/>
  <c r="S54" i="13"/>
  <c r="T54" i="13" s="1"/>
  <c r="V54" i="13" s="1"/>
  <c r="Y53" i="13"/>
  <c r="Z53" i="13" s="1"/>
  <c r="AB53" i="13" s="1"/>
  <c r="S53" i="13"/>
  <c r="U53" i="13" s="1"/>
  <c r="Y52" i="13"/>
  <c r="Z52" i="13" s="1"/>
  <c r="AB52" i="13" s="1"/>
  <c r="S52" i="13"/>
  <c r="U52" i="13" s="1"/>
  <c r="Y51" i="13"/>
  <c r="AA51" i="13" s="1"/>
  <c r="S51" i="13"/>
  <c r="T51" i="13" s="1"/>
  <c r="V51" i="13" s="1"/>
  <c r="Y50" i="13"/>
  <c r="AA50" i="13" s="1"/>
  <c r="S50" i="13"/>
  <c r="U50" i="13" s="1"/>
  <c r="Y49" i="13"/>
  <c r="Z49" i="13" s="1"/>
  <c r="AB49" i="13" s="1"/>
  <c r="S49" i="13"/>
  <c r="U49" i="13" s="1"/>
  <c r="Y48" i="13"/>
  <c r="Z48" i="13" s="1"/>
  <c r="AB48" i="13" s="1"/>
  <c r="S48" i="13"/>
  <c r="U48" i="13" s="1"/>
  <c r="Y47" i="13"/>
  <c r="AA47" i="13" s="1"/>
  <c r="S47" i="13"/>
  <c r="U47" i="13" s="1"/>
  <c r="Y46" i="13"/>
  <c r="Z46" i="13" s="1"/>
  <c r="AB46" i="13" s="1"/>
  <c r="S46" i="13"/>
  <c r="T46" i="13" s="1"/>
  <c r="V46" i="13" s="1"/>
  <c r="Y45" i="13"/>
  <c r="AA45" i="13" s="1"/>
  <c r="S45" i="13"/>
  <c r="T45" i="13" s="1"/>
  <c r="V45" i="13" s="1"/>
  <c r="Y44" i="13"/>
  <c r="AA44" i="13" s="1"/>
  <c r="S44" i="13"/>
  <c r="U44" i="13" s="1"/>
  <c r="Y43" i="13"/>
  <c r="AA43" i="13" s="1"/>
  <c r="S43" i="13"/>
  <c r="T43" i="13" s="1"/>
  <c r="V43" i="13" s="1"/>
  <c r="Y42" i="13"/>
  <c r="Z42" i="13" s="1"/>
  <c r="AB42" i="13" s="1"/>
  <c r="S42" i="13"/>
  <c r="U42" i="13" s="1"/>
  <c r="Y41" i="13"/>
  <c r="AA41" i="13" s="1"/>
  <c r="S41" i="13"/>
  <c r="U41" i="13" s="1"/>
  <c r="Y40" i="13"/>
  <c r="Z40" i="13" s="1"/>
  <c r="AB40" i="13" s="1"/>
  <c r="S40" i="13"/>
  <c r="U40" i="13" s="1"/>
  <c r="Y39" i="13"/>
  <c r="AA39" i="13" s="1"/>
  <c r="S39" i="13"/>
  <c r="T39" i="13" s="1"/>
  <c r="V39" i="13" s="1"/>
  <c r="Y38" i="13"/>
  <c r="AA38" i="13" s="1"/>
  <c r="S38" i="13"/>
  <c r="U38" i="13" s="1"/>
  <c r="Y37" i="13"/>
  <c r="AA37" i="13" s="1"/>
  <c r="S37" i="13"/>
  <c r="T37" i="13" s="1"/>
  <c r="V37" i="13" s="1"/>
  <c r="Y36" i="13"/>
  <c r="AA36" i="13" s="1"/>
  <c r="S36" i="13"/>
  <c r="T36" i="13" s="1"/>
  <c r="V36" i="13" s="1"/>
  <c r="Y35" i="13"/>
  <c r="Z35" i="13" s="1"/>
  <c r="AB35" i="13" s="1"/>
  <c r="S35" i="13"/>
  <c r="T35" i="13" s="1"/>
  <c r="V35" i="13" s="1"/>
  <c r="Y34" i="13"/>
  <c r="Z34" i="13" s="1"/>
  <c r="AB34" i="13" s="1"/>
  <c r="S34" i="13"/>
  <c r="U34" i="13" s="1"/>
  <c r="Y33" i="13"/>
  <c r="AA33" i="13" s="1"/>
  <c r="S33" i="13"/>
  <c r="T33" i="13" s="1"/>
  <c r="V33" i="13" s="1"/>
  <c r="Y32" i="13"/>
  <c r="AA32" i="13" s="1"/>
  <c r="S32" i="13"/>
  <c r="U32" i="13" s="1"/>
  <c r="Y31" i="13"/>
  <c r="AA31" i="13" s="1"/>
  <c r="S31" i="13"/>
  <c r="U31" i="13" s="1"/>
  <c r="Y30" i="13"/>
  <c r="Z30" i="13" s="1"/>
  <c r="AB30" i="13" s="1"/>
  <c r="S30" i="13"/>
  <c r="U30" i="13" s="1"/>
  <c r="Y29" i="13"/>
  <c r="AA29" i="13" s="1"/>
  <c r="S29" i="13"/>
  <c r="T29" i="13" s="1"/>
  <c r="V29" i="13" s="1"/>
  <c r="Y28" i="13"/>
  <c r="AA28" i="13" s="1"/>
  <c r="S28" i="13"/>
  <c r="U28" i="13" s="1"/>
  <c r="Y27" i="13"/>
  <c r="AA27" i="13" s="1"/>
  <c r="S27" i="13"/>
  <c r="T27" i="13" s="1"/>
  <c r="V27" i="13" s="1"/>
  <c r="Y26" i="13"/>
  <c r="AA26" i="13" s="1"/>
  <c r="S26" i="13"/>
  <c r="U26" i="13" s="1"/>
  <c r="Y25" i="13"/>
  <c r="AA25" i="13" s="1"/>
  <c r="S25" i="13"/>
  <c r="U25" i="13" s="1"/>
  <c r="Y24" i="13"/>
  <c r="Z24" i="13" s="1"/>
  <c r="AB24" i="13" s="1"/>
  <c r="S24" i="13"/>
  <c r="U24" i="13" s="1"/>
  <c r="Y23" i="13"/>
  <c r="AA23" i="13" s="1"/>
  <c r="S23" i="13"/>
  <c r="T23" i="13" s="1"/>
  <c r="V23" i="13" s="1"/>
  <c r="Y22" i="13"/>
  <c r="AA22" i="13" s="1"/>
  <c r="S22" i="13"/>
  <c r="U22" i="13" s="1"/>
  <c r="Y21" i="13"/>
  <c r="AA21" i="13" s="1"/>
  <c r="S21" i="13"/>
  <c r="U21" i="13" s="1"/>
  <c r="Y20" i="13"/>
  <c r="AA20" i="13" s="1"/>
  <c r="S20" i="13"/>
  <c r="U20" i="13" s="1"/>
  <c r="Y19" i="13"/>
  <c r="AA19" i="13" s="1"/>
  <c r="S19" i="13"/>
  <c r="U19" i="13" s="1"/>
  <c r="Y18" i="13"/>
  <c r="Z18" i="13" s="1"/>
  <c r="AB18" i="13" s="1"/>
  <c r="S18" i="13"/>
  <c r="U18" i="13" s="1"/>
  <c r="Y17" i="13"/>
  <c r="AA17" i="13" s="1"/>
  <c r="S17" i="13"/>
  <c r="T17" i="13" s="1"/>
  <c r="V17" i="13" s="1"/>
  <c r="Y16" i="13"/>
  <c r="AA16" i="13" s="1"/>
  <c r="S16" i="13"/>
  <c r="U16" i="13" s="1"/>
  <c r="Y15" i="13"/>
  <c r="AA15" i="13" s="1"/>
  <c r="S15" i="13"/>
  <c r="T15" i="13" s="1"/>
  <c r="V15" i="13" s="1"/>
  <c r="Y14" i="13"/>
  <c r="AA14" i="13" s="1"/>
  <c r="S14" i="13"/>
  <c r="U14" i="13" s="1"/>
  <c r="Y13" i="13"/>
  <c r="AA13" i="13" s="1"/>
  <c r="S13" i="13"/>
  <c r="U13" i="13" s="1"/>
  <c r="Y12" i="13"/>
  <c r="Z12" i="13" s="1"/>
  <c r="AB12" i="13" s="1"/>
  <c r="S12" i="13"/>
  <c r="U12" i="13" s="1"/>
  <c r="Y11" i="13"/>
  <c r="AA11" i="13" s="1"/>
  <c r="S11" i="13"/>
  <c r="T11" i="13" s="1"/>
  <c r="V11" i="13" s="1"/>
  <c r="Y10" i="13"/>
  <c r="Z10" i="13" s="1"/>
  <c r="AB10" i="13" s="1"/>
  <c r="S10" i="13"/>
  <c r="U10" i="13" s="1"/>
  <c r="Y9" i="13"/>
  <c r="AA9" i="13" s="1"/>
  <c r="S9" i="13"/>
  <c r="T9" i="13" s="1"/>
  <c r="V9" i="13" s="1"/>
  <c r="Y8" i="13"/>
  <c r="AA8" i="13" s="1"/>
  <c r="S8" i="13"/>
  <c r="U8" i="13" s="1"/>
  <c r="Y7" i="13"/>
  <c r="AA7" i="13" s="1"/>
  <c r="S7" i="13"/>
  <c r="U7" i="13" s="1"/>
  <c r="Y6" i="13"/>
  <c r="Z6" i="13" s="1"/>
  <c r="AB6" i="13" s="1"/>
  <c r="S6" i="13"/>
  <c r="U6" i="13" s="1"/>
  <c r="D16" i="40"/>
  <c r="D17" i="40"/>
  <c r="D18" i="40"/>
  <c r="D19" i="40"/>
  <c r="D20" i="40"/>
  <c r="D21" i="40"/>
  <c r="B20" i="40"/>
  <c r="B21" i="40"/>
  <c r="G21" i="40"/>
  <c r="H21" i="40" s="1"/>
  <c r="G20" i="40"/>
  <c r="H20" i="40" s="1"/>
  <c r="B25" i="38"/>
  <c r="B27" i="38"/>
  <c r="B28" i="38"/>
  <c r="B29" i="38"/>
  <c r="B30" i="38"/>
  <c r="F25" i="38"/>
  <c r="H25" i="38" s="1"/>
  <c r="I25" i="38" s="1"/>
  <c r="F27" i="38"/>
  <c r="H27" i="38" s="1"/>
  <c r="I27" i="38" s="1"/>
  <c r="F28" i="38"/>
  <c r="H28" i="38" s="1"/>
  <c r="I28" i="38" s="1"/>
  <c r="F29" i="38"/>
  <c r="H29" i="38" s="1"/>
  <c r="I29" i="38" s="1"/>
  <c r="F30" i="38"/>
  <c r="H30" i="38" s="1"/>
  <c r="I30" i="38" s="1"/>
  <c r="B14" i="19"/>
  <c r="C8" i="19"/>
  <c r="B8" i="19"/>
  <c r="B27" i="22" s="1"/>
  <c r="C7" i="19"/>
  <c r="B7" i="19"/>
  <c r="H27" i="22" l="1"/>
  <c r="F14" i="19"/>
  <c r="AE103" i="13"/>
  <c r="AE102" i="13"/>
  <c r="AF102" i="13"/>
  <c r="AD104" i="13"/>
  <c r="AD105" i="13"/>
  <c r="AD101" i="13"/>
  <c r="AD106" i="13"/>
  <c r="AF99" i="13"/>
  <c r="U29" i="13"/>
  <c r="AD29" i="13" s="1"/>
  <c r="AE99" i="13"/>
  <c r="AA89" i="13"/>
  <c r="AD89" i="13" s="1"/>
  <c r="AD100" i="13"/>
  <c r="V97" i="13"/>
  <c r="AE97" i="13" s="1"/>
  <c r="U83" i="13"/>
  <c r="AD83" i="13" s="1"/>
  <c r="U27" i="13"/>
  <c r="AD27" i="13" s="1"/>
  <c r="Z43" i="13"/>
  <c r="AB43" i="13" s="1"/>
  <c r="AE43" i="13" s="1"/>
  <c r="U35" i="13"/>
  <c r="U58" i="13"/>
  <c r="T53" i="13"/>
  <c r="V53" i="13" s="1"/>
  <c r="AE53" i="13" s="1"/>
  <c r="U76" i="13"/>
  <c r="AD76" i="13" s="1"/>
  <c r="Z62" i="13"/>
  <c r="AB62" i="13" s="1"/>
  <c r="Z41" i="13"/>
  <c r="AB41" i="13" s="1"/>
  <c r="T6" i="13"/>
  <c r="V6" i="13" s="1"/>
  <c r="AE6" i="13" s="1"/>
  <c r="T34" i="13"/>
  <c r="V34" i="13" s="1"/>
  <c r="AE34" i="13" s="1"/>
  <c r="U77" i="13"/>
  <c r="AD77" i="13" s="1"/>
  <c r="U17" i="13"/>
  <c r="AD17" i="13" s="1"/>
  <c r="AA56" i="13"/>
  <c r="AD56" i="13" s="1"/>
  <c r="U39" i="13"/>
  <c r="AD39" i="13" s="1"/>
  <c r="AA42" i="13"/>
  <c r="AD42" i="13" s="1"/>
  <c r="U46" i="13"/>
  <c r="AA53" i="13"/>
  <c r="AD53" i="13" s="1"/>
  <c r="T61" i="13"/>
  <c r="V61" i="13" s="1"/>
  <c r="U65" i="13"/>
  <c r="AD65" i="13" s="1"/>
  <c r="Z83" i="13"/>
  <c r="AB83" i="13" s="1"/>
  <c r="AE83" i="13" s="1"/>
  <c r="AA95" i="13"/>
  <c r="U23" i="13"/>
  <c r="AD23" i="13" s="1"/>
  <c r="AA35" i="13"/>
  <c r="AA52" i="13"/>
  <c r="AD52" i="13" s="1"/>
  <c r="T67" i="13"/>
  <c r="V67" i="13" s="1"/>
  <c r="T89" i="13"/>
  <c r="V89" i="13" s="1"/>
  <c r="AE89" i="13" s="1"/>
  <c r="U11" i="13"/>
  <c r="AD11" i="13" s="1"/>
  <c r="AA6" i="13"/>
  <c r="AD6" i="13" s="1"/>
  <c r="Z16" i="13"/>
  <c r="AB16" i="13" s="1"/>
  <c r="U43" i="13"/>
  <c r="AD43" i="13" s="1"/>
  <c r="U54" i="13"/>
  <c r="AD54" i="13" s="1"/>
  <c r="T88" i="13"/>
  <c r="V88" i="13" s="1"/>
  <c r="Z91" i="13"/>
  <c r="AB91" i="13" s="1"/>
  <c r="AA48" i="13"/>
  <c r="AD48" i="13" s="1"/>
  <c r="AA84" i="13"/>
  <c r="AD84" i="13" s="1"/>
  <c r="Z17" i="13"/>
  <c r="AB17" i="13" s="1"/>
  <c r="AE17" i="13" s="1"/>
  <c r="U15" i="13"/>
  <c r="AD15" i="13" s="1"/>
  <c r="T50" i="13"/>
  <c r="V50" i="13" s="1"/>
  <c r="Z57" i="13"/>
  <c r="AB57" i="13" s="1"/>
  <c r="AE57" i="13" s="1"/>
  <c r="AA78" i="13"/>
  <c r="AD78" i="13" s="1"/>
  <c r="Z11" i="13"/>
  <c r="AB11" i="13" s="1"/>
  <c r="AE11" i="13" s="1"/>
  <c r="Z23" i="13"/>
  <c r="AB23" i="13" s="1"/>
  <c r="AE23" i="13" s="1"/>
  <c r="Z28" i="13"/>
  <c r="AB28" i="13" s="1"/>
  <c r="Z7" i="13"/>
  <c r="AB7" i="13" s="1"/>
  <c r="T21" i="13"/>
  <c r="V21" i="13" s="1"/>
  <c r="U36" i="13"/>
  <c r="AD36" i="13" s="1"/>
  <c r="T40" i="13"/>
  <c r="V40" i="13" s="1"/>
  <c r="AE40" i="13" s="1"/>
  <c r="AA58" i="13"/>
  <c r="T84" i="13"/>
  <c r="V84" i="13" s="1"/>
  <c r="AE84" i="13" s="1"/>
  <c r="Z96" i="13"/>
  <c r="AB96" i="13" s="1"/>
  <c r="Z59" i="13"/>
  <c r="AB59" i="13" s="1"/>
  <c r="T52" i="13"/>
  <c r="V52" i="13" s="1"/>
  <c r="AE52" i="13" s="1"/>
  <c r="Z66" i="13"/>
  <c r="AB66" i="13" s="1"/>
  <c r="AE66" i="13" s="1"/>
  <c r="Z80" i="13"/>
  <c r="AB80" i="13" s="1"/>
  <c r="Z29" i="13"/>
  <c r="AB29" i="13" s="1"/>
  <c r="AE29" i="13" s="1"/>
  <c r="AA34" i="13"/>
  <c r="AD34" i="13" s="1"/>
  <c r="Z37" i="13"/>
  <c r="AB37" i="13" s="1"/>
  <c r="AE37" i="13" s="1"/>
  <c r="Z44" i="13"/>
  <c r="AB44" i="13" s="1"/>
  <c r="Z77" i="13"/>
  <c r="AB77" i="13" s="1"/>
  <c r="AE77" i="13" s="1"/>
  <c r="Z22" i="13"/>
  <c r="AB22" i="13" s="1"/>
  <c r="T38" i="13"/>
  <c r="V38" i="13" s="1"/>
  <c r="AA49" i="13"/>
  <c r="AD49" i="13" s="1"/>
  <c r="T60" i="13"/>
  <c r="V60" i="13" s="1"/>
  <c r="T78" i="13"/>
  <c r="V78" i="13" s="1"/>
  <c r="AE78" i="13" s="1"/>
  <c r="B31" i="22"/>
  <c r="B30" i="22"/>
  <c r="B29" i="22"/>
  <c r="B28" i="22"/>
  <c r="T12" i="13"/>
  <c r="V12" i="13" s="1"/>
  <c r="AE12" i="13" s="1"/>
  <c r="T18" i="13"/>
  <c r="V18" i="13" s="1"/>
  <c r="AE18" i="13" s="1"/>
  <c r="T24" i="13"/>
  <c r="V24" i="13" s="1"/>
  <c r="AE24" i="13" s="1"/>
  <c r="T30" i="13"/>
  <c r="V30" i="13" s="1"/>
  <c r="AE30" i="13" s="1"/>
  <c r="Z33" i="13"/>
  <c r="AB33" i="13" s="1"/>
  <c r="AE33" i="13" s="1"/>
  <c r="Z51" i="13"/>
  <c r="AB51" i="13" s="1"/>
  <c r="AE51" i="13" s="1"/>
  <c r="U57" i="13"/>
  <c r="AD57" i="13" s="1"/>
  <c r="U66" i="13"/>
  <c r="AD66" i="13" s="1"/>
  <c r="T82" i="13"/>
  <c r="V82" i="13" s="1"/>
  <c r="T91" i="13"/>
  <c r="V91" i="13" s="1"/>
  <c r="U9" i="13"/>
  <c r="AD9" i="13" s="1"/>
  <c r="U45" i="13"/>
  <c r="AD45" i="13" s="1"/>
  <c r="AA97" i="13"/>
  <c r="AD97" i="13" s="1"/>
  <c r="AA12" i="13"/>
  <c r="AD12" i="13" s="1"/>
  <c r="T16" i="13"/>
  <c r="V16" i="13" s="1"/>
  <c r="AA18" i="13"/>
  <c r="AD18" i="13" s="1"/>
  <c r="T22" i="13"/>
  <c r="V22" i="13" s="1"/>
  <c r="AA24" i="13"/>
  <c r="AD24" i="13" s="1"/>
  <c r="T28" i="13"/>
  <c r="V28" i="13" s="1"/>
  <c r="AA30" i="13"/>
  <c r="AD30" i="13" s="1"/>
  <c r="T64" i="13"/>
  <c r="V64" i="13" s="1"/>
  <c r="AE64" i="13" s="1"/>
  <c r="T10" i="13"/>
  <c r="V10" i="13" s="1"/>
  <c r="AE10" i="13" s="1"/>
  <c r="AD31" i="13"/>
  <c r="Z36" i="13"/>
  <c r="AB36" i="13" s="1"/>
  <c r="AE36" i="13" s="1"/>
  <c r="T79" i="13"/>
  <c r="V79" i="13" s="1"/>
  <c r="Z98" i="13"/>
  <c r="AB98" i="13" s="1"/>
  <c r="AD7" i="13"/>
  <c r="AA10" i="13"/>
  <c r="AD10" i="13" s="1"/>
  <c r="Z13" i="13"/>
  <c r="AB13" i="13" s="1"/>
  <c r="Z19" i="13"/>
  <c r="AB19" i="13" s="1"/>
  <c r="Z25" i="13"/>
  <c r="AB25" i="13" s="1"/>
  <c r="Z31" i="13"/>
  <c r="AB31" i="13" s="1"/>
  <c r="U37" i="13"/>
  <c r="AD37" i="13" s="1"/>
  <c r="Z55" i="13"/>
  <c r="AB55" i="13" s="1"/>
  <c r="Z47" i="13"/>
  <c r="AB47" i="13" s="1"/>
  <c r="Z50" i="13"/>
  <c r="AB50" i="13" s="1"/>
  <c r="T59" i="13"/>
  <c r="V59" i="13" s="1"/>
  <c r="Z65" i="13"/>
  <c r="AB65" i="13" s="1"/>
  <c r="AE65" i="13" s="1"/>
  <c r="Z90" i="13"/>
  <c r="AB90" i="13" s="1"/>
  <c r="V94" i="13"/>
  <c r="AD44" i="13"/>
  <c r="AD41" i="13"/>
  <c r="AD61" i="13"/>
  <c r="AD38" i="13"/>
  <c r="AD50" i="13"/>
  <c r="AD13" i="13"/>
  <c r="AD79" i="13"/>
  <c r="AD82" i="13"/>
  <c r="AD19" i="13"/>
  <c r="AD25" i="13"/>
  <c r="AD67" i="13"/>
  <c r="AD94" i="13"/>
  <c r="AD55" i="13"/>
  <c r="AD62" i="13"/>
  <c r="AD60" i="13"/>
  <c r="AD91" i="13"/>
  <c r="AD16" i="13"/>
  <c r="AD21" i="13"/>
  <c r="AD47" i="13"/>
  <c r="AD59" i="13"/>
  <c r="AD85" i="13"/>
  <c r="AD88" i="13"/>
  <c r="AD8" i="13"/>
  <c r="AD14" i="13"/>
  <c r="AD22" i="13"/>
  <c r="AD32" i="13"/>
  <c r="AD20" i="13"/>
  <c r="AD28" i="13"/>
  <c r="AE58" i="13"/>
  <c r="AD26" i="13"/>
  <c r="AE46" i="13"/>
  <c r="U80" i="13"/>
  <c r="AD80" i="13" s="1"/>
  <c r="T80" i="13"/>
  <c r="V80" i="13" s="1"/>
  <c r="AD90" i="13"/>
  <c r="T7" i="13"/>
  <c r="V7" i="13" s="1"/>
  <c r="Z8" i="13"/>
  <c r="AB8" i="13" s="1"/>
  <c r="T13" i="13"/>
  <c r="V13" i="13" s="1"/>
  <c r="Z14" i="13"/>
  <c r="AB14" i="13" s="1"/>
  <c r="T19" i="13"/>
  <c r="V19" i="13" s="1"/>
  <c r="Z20" i="13"/>
  <c r="AB20" i="13" s="1"/>
  <c r="T25" i="13"/>
  <c r="V25" i="13" s="1"/>
  <c r="Z26" i="13"/>
  <c r="AB26" i="13" s="1"/>
  <c r="T31" i="13"/>
  <c r="V31" i="13" s="1"/>
  <c r="Z32" i="13"/>
  <c r="AB32" i="13" s="1"/>
  <c r="AE35" i="13"/>
  <c r="Z39" i="13"/>
  <c r="AB39" i="13" s="1"/>
  <c r="AA40" i="13"/>
  <c r="AD40" i="13" s="1"/>
  <c r="T41" i="13"/>
  <c r="V41" i="13" s="1"/>
  <c r="T42" i="13"/>
  <c r="V42" i="13" s="1"/>
  <c r="T49" i="13"/>
  <c r="V49" i="13" s="1"/>
  <c r="Z54" i="13"/>
  <c r="AB54" i="13" s="1"/>
  <c r="T56" i="13"/>
  <c r="V56" i="13" s="1"/>
  <c r="Z61" i="13"/>
  <c r="AB61" i="13" s="1"/>
  <c r="U63" i="13"/>
  <c r="AD63" i="13" s="1"/>
  <c r="U68" i="13"/>
  <c r="T68" i="13"/>
  <c r="V68" i="13" s="1"/>
  <c r="Z85" i="13"/>
  <c r="AB85" i="13" s="1"/>
  <c r="Z92" i="13"/>
  <c r="AB92" i="13" s="1"/>
  <c r="V96" i="13"/>
  <c r="T8" i="13"/>
  <c r="V8" i="13" s="1"/>
  <c r="Z9" i="13"/>
  <c r="AB9" i="13" s="1"/>
  <c r="T14" i="13"/>
  <c r="V14" i="13" s="1"/>
  <c r="Z15" i="13"/>
  <c r="AB15" i="13" s="1"/>
  <c r="T20" i="13"/>
  <c r="V20" i="13" s="1"/>
  <c r="Z21" i="13"/>
  <c r="AB21" i="13" s="1"/>
  <c r="T26" i="13"/>
  <c r="V26" i="13" s="1"/>
  <c r="Z27" i="13"/>
  <c r="AB27" i="13" s="1"/>
  <c r="T32" i="13"/>
  <c r="V32" i="13" s="1"/>
  <c r="U33" i="13"/>
  <c r="AD33" i="13" s="1"/>
  <c r="Z38" i="13"/>
  <c r="AB38" i="13" s="1"/>
  <c r="Z45" i="13"/>
  <c r="AB45" i="13" s="1"/>
  <c r="AA46" i="13"/>
  <c r="T47" i="13"/>
  <c r="V47" i="13" s="1"/>
  <c r="T48" i="13"/>
  <c r="V48" i="13" s="1"/>
  <c r="T55" i="13"/>
  <c r="V55" i="13" s="1"/>
  <c r="Z60" i="13"/>
  <c r="AB60" i="13" s="1"/>
  <c r="T62" i="13"/>
  <c r="V62" i="13" s="1"/>
  <c r="Z67" i="13"/>
  <c r="AB67" i="13" s="1"/>
  <c r="Z79" i="13"/>
  <c r="AB79" i="13" s="1"/>
  <c r="Z86" i="13"/>
  <c r="AB86" i="13" s="1"/>
  <c r="T90" i="13"/>
  <c r="V90" i="13" s="1"/>
  <c r="AA93" i="13"/>
  <c r="AD93" i="13" s="1"/>
  <c r="Z93" i="13"/>
  <c r="AB93" i="13" s="1"/>
  <c r="AA87" i="13"/>
  <c r="AD87" i="13" s="1"/>
  <c r="Z87" i="13"/>
  <c r="AB87" i="13" s="1"/>
  <c r="AD98" i="13"/>
  <c r="V98" i="13"/>
  <c r="AA81" i="13"/>
  <c r="AD81" i="13" s="1"/>
  <c r="Z81" i="13"/>
  <c r="AB81" i="13" s="1"/>
  <c r="U92" i="13"/>
  <c r="AD92" i="13" s="1"/>
  <c r="T92" i="13"/>
  <c r="V92" i="13" s="1"/>
  <c r="AE95" i="13"/>
  <c r="T44" i="13"/>
  <c r="V44" i="13" s="1"/>
  <c r="U51" i="13"/>
  <c r="AD51" i="13" s="1"/>
  <c r="Z63" i="13"/>
  <c r="AB63" i="13" s="1"/>
  <c r="AA64" i="13"/>
  <c r="AD64" i="13" s="1"/>
  <c r="AA75" i="13"/>
  <c r="AD75" i="13" s="1"/>
  <c r="Z75" i="13"/>
  <c r="AB75" i="13" s="1"/>
  <c r="T85" i="13"/>
  <c r="V85" i="13" s="1"/>
  <c r="U86" i="13"/>
  <c r="AD86" i="13" s="1"/>
  <c r="T86" i="13"/>
  <c r="V86" i="13" s="1"/>
  <c r="AD96" i="13"/>
  <c r="T75" i="13"/>
  <c r="V75" i="13" s="1"/>
  <c r="Z76" i="13"/>
  <c r="AB76" i="13" s="1"/>
  <c r="T81" i="13"/>
  <c r="V81" i="13" s="1"/>
  <c r="Z82" i="13"/>
  <c r="AB82" i="13" s="1"/>
  <c r="T87" i="13"/>
  <c r="V87" i="13" s="1"/>
  <c r="Z88" i="13"/>
  <c r="AB88" i="13" s="1"/>
  <c r="V93" i="13"/>
  <c r="Z94" i="13"/>
  <c r="AB94" i="13" s="1"/>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AE91" i="13" l="1"/>
  <c r="AE16" i="13"/>
  <c r="AE22" i="13"/>
  <c r="AE50" i="13"/>
  <c r="AD95" i="13"/>
  <c r="AE28" i="13"/>
  <c r="AD58" i="13"/>
  <c r="AD35" i="13"/>
  <c r="AE59" i="13"/>
  <c r="AD46" i="13"/>
  <c r="AE80" i="13"/>
  <c r="AE19" i="13"/>
  <c r="AE31" i="13"/>
  <c r="AE25" i="13"/>
  <c r="AE90" i="13"/>
  <c r="AE7" i="13"/>
  <c r="AE98" i="13"/>
  <c r="AE96" i="13"/>
  <c r="AE47" i="13"/>
  <c r="AE82" i="13"/>
  <c r="AE87" i="13"/>
  <c r="AE67" i="13"/>
  <c r="AE15" i="13"/>
  <c r="AE39" i="13"/>
  <c r="AE26" i="13"/>
  <c r="AE14" i="13"/>
  <c r="AE49" i="13"/>
  <c r="AE63" i="13"/>
  <c r="AE13" i="13"/>
  <c r="AE62" i="13"/>
  <c r="AE41" i="13"/>
  <c r="AE94" i="13"/>
  <c r="AE76" i="13"/>
  <c r="AE81" i="13"/>
  <c r="AE86" i="13"/>
  <c r="AE45" i="13"/>
  <c r="AE27" i="13"/>
  <c r="AE9" i="13"/>
  <c r="AE92" i="13"/>
  <c r="AE61" i="13"/>
  <c r="AE42" i="13"/>
  <c r="AE48" i="13"/>
  <c r="AE79" i="13"/>
  <c r="AE60" i="13"/>
  <c r="AE32" i="13"/>
  <c r="AE20" i="13"/>
  <c r="AE8" i="13"/>
  <c r="AE88" i="13"/>
  <c r="AE75" i="13"/>
  <c r="AE44" i="13"/>
  <c r="AE93" i="13"/>
  <c r="AE38" i="13"/>
  <c r="AE21" i="13"/>
  <c r="AE54" i="13"/>
  <c r="AE55" i="13"/>
  <c r="AE85" i="13"/>
  <c r="AE56" i="13"/>
  <c r="B25" i="22"/>
  <c r="B22" i="22"/>
  <c r="B23" i="22"/>
  <c r="B24" i="22"/>
  <c r="B26" i="22"/>
  <c r="G19" i="40"/>
  <c r="H19" i="40" s="1"/>
  <c r="B19" i="40"/>
  <c r="G18" i="40"/>
  <c r="H18" i="40" s="1"/>
  <c r="B18" i="40"/>
  <c r="G17" i="40"/>
  <c r="H17" i="40" s="1"/>
  <c r="B17" i="40"/>
  <c r="G16" i="40"/>
  <c r="B16" i="40"/>
  <c r="G22" i="40" l="1"/>
  <c r="G13" i="19" s="1"/>
  <c r="H16" i="40"/>
  <c r="H22" i="40" s="1"/>
  <c r="G14" i="19" l="1"/>
  <c r="I32" i="3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G15" i="19" l="1"/>
  <c r="M21" i="3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W95" i="13" l="1"/>
  <c r="W22" i="13"/>
  <c r="W10" i="13"/>
  <c r="W58" i="13"/>
  <c r="W60" i="13"/>
  <c r="W59" i="13"/>
  <c r="W21" i="13"/>
  <c r="W67" i="13"/>
  <c r="W9" i="13"/>
  <c r="W28" i="13"/>
  <c r="W12" i="13"/>
  <c r="W94" i="13"/>
  <c r="W65" i="13"/>
  <c r="W23" i="13"/>
  <c r="W43" i="13"/>
  <c r="W52" i="13"/>
  <c r="W76" i="13"/>
  <c r="W18" i="13"/>
  <c r="W83" i="13"/>
  <c r="W61" i="13"/>
  <c r="W88" i="13"/>
  <c r="W27" i="13"/>
  <c r="W45" i="13"/>
  <c r="W84" i="13"/>
  <c r="W50" i="13"/>
  <c r="W24" i="13"/>
  <c r="W91" i="13"/>
  <c r="W36" i="13"/>
  <c r="W29" i="13"/>
  <c r="W89" i="13"/>
  <c r="W39" i="13"/>
  <c r="W64" i="13"/>
  <c r="W30" i="13"/>
  <c r="W40" i="13"/>
  <c r="W6" i="13"/>
  <c r="W35" i="13"/>
  <c r="W63" i="13"/>
  <c r="W34" i="13"/>
  <c r="W78" i="13"/>
  <c r="W46" i="13"/>
  <c r="W15" i="13"/>
  <c r="W53" i="13"/>
  <c r="W82" i="13"/>
  <c r="W33" i="13"/>
  <c r="W51" i="13"/>
  <c r="W11" i="13"/>
  <c r="W79" i="13"/>
  <c r="W17" i="13"/>
  <c r="W54" i="13"/>
  <c r="W38" i="13"/>
  <c r="W16" i="13"/>
  <c r="W77" i="13"/>
  <c r="W57" i="13"/>
  <c r="W66" i="13"/>
  <c r="W37" i="13"/>
  <c r="W97" i="13"/>
  <c r="W25" i="13"/>
  <c r="W13" i="13"/>
  <c r="W47" i="13"/>
  <c r="W7" i="13"/>
  <c r="W81" i="13"/>
  <c r="W49" i="13"/>
  <c r="W26" i="13"/>
  <c r="W98" i="13"/>
  <c r="W86" i="13"/>
  <c r="W56" i="13"/>
  <c r="W41" i="13"/>
  <c r="W62" i="13"/>
  <c r="W55" i="13"/>
  <c r="W80" i="13"/>
  <c r="W92" i="13"/>
  <c r="W68" i="13"/>
  <c r="W93" i="13"/>
  <c r="W75" i="13"/>
  <c r="W42" i="13"/>
  <c r="W85" i="13"/>
  <c r="W96" i="13"/>
  <c r="W90" i="13"/>
  <c r="W31" i="13"/>
  <c r="W8" i="13"/>
  <c r="W32" i="13"/>
  <c r="W48" i="13"/>
  <c r="W87" i="13"/>
  <c r="W19" i="13"/>
  <c r="W14" i="13"/>
  <c r="W20" i="13"/>
  <c r="W44" i="13"/>
  <c r="AC89" i="13"/>
  <c r="AC24" i="13"/>
  <c r="AC25" i="13"/>
  <c r="AC33" i="13"/>
  <c r="AC57" i="13"/>
  <c r="AC64" i="13"/>
  <c r="AC90" i="13"/>
  <c r="AC80" i="13"/>
  <c r="AC50" i="13"/>
  <c r="AC37" i="13"/>
  <c r="AC66" i="13"/>
  <c r="AC17" i="13"/>
  <c r="AC65" i="13"/>
  <c r="AC35" i="13"/>
  <c r="AC53" i="13"/>
  <c r="AF53" i="13" s="1"/>
  <c r="AC43" i="13"/>
  <c r="AC6" i="13"/>
  <c r="AC30" i="13"/>
  <c r="AC41" i="13"/>
  <c r="AC28" i="13"/>
  <c r="AC7" i="13"/>
  <c r="AC46" i="13"/>
  <c r="AC91" i="13"/>
  <c r="AC51" i="13"/>
  <c r="AC55" i="13"/>
  <c r="AC49" i="13"/>
  <c r="AC13" i="13"/>
  <c r="AC40" i="13"/>
  <c r="AC36" i="13"/>
  <c r="AC12" i="13"/>
  <c r="AC47" i="13"/>
  <c r="AC42" i="13"/>
  <c r="AC23" i="13"/>
  <c r="AC44" i="13"/>
  <c r="AC84" i="13"/>
  <c r="AC31" i="13"/>
  <c r="AC56" i="13"/>
  <c r="AC78" i="13"/>
  <c r="AC11" i="13"/>
  <c r="AC22" i="13"/>
  <c r="AC16" i="13"/>
  <c r="AC10" i="13"/>
  <c r="AC97" i="13"/>
  <c r="AC96" i="13"/>
  <c r="AC83" i="13"/>
  <c r="AC98" i="13"/>
  <c r="AC34" i="13"/>
  <c r="AC48" i="13"/>
  <c r="AC18" i="13"/>
  <c r="AC58" i="13"/>
  <c r="AC62" i="13"/>
  <c r="AC95" i="13"/>
  <c r="AC52" i="13"/>
  <c r="AC19" i="13"/>
  <c r="AC59" i="13"/>
  <c r="AC77" i="13"/>
  <c r="AC29" i="13"/>
  <c r="AC15" i="13"/>
  <c r="AC61" i="13"/>
  <c r="AC93" i="13"/>
  <c r="AC94" i="13"/>
  <c r="AC79" i="13"/>
  <c r="AC81" i="13"/>
  <c r="AC9" i="13"/>
  <c r="AC8" i="13"/>
  <c r="AC38" i="13"/>
  <c r="AC87" i="13"/>
  <c r="AC82" i="13"/>
  <c r="AC39" i="13"/>
  <c r="AC86" i="13"/>
  <c r="AC21" i="13"/>
  <c r="AC32" i="13"/>
  <c r="AC85" i="13"/>
  <c r="AC63" i="13"/>
  <c r="AC26" i="13"/>
  <c r="AC76" i="13"/>
  <c r="AC60" i="13"/>
  <c r="AC92" i="13"/>
  <c r="AC45" i="13"/>
  <c r="AC75" i="13"/>
  <c r="AC67" i="13"/>
  <c r="AC14" i="13"/>
  <c r="AC54" i="13"/>
  <c r="AC27" i="13"/>
  <c r="AC88" i="13"/>
  <c r="AC20" i="13"/>
  <c r="I35" i="31"/>
  <c r="I37" i="31" s="1"/>
  <c r="E15" i="38" s="1"/>
  <c r="D32" i="31"/>
  <c r="D31" i="31"/>
  <c r="D30" i="31"/>
  <c r="D25" i="31"/>
  <c r="D23" i="31"/>
  <c r="D22" i="31"/>
  <c r="D21" i="31"/>
  <c r="D38" i="31"/>
  <c r="K33" i="31"/>
  <c r="M29" i="31"/>
  <c r="Q24" i="31"/>
  <c r="Q26" i="31" s="1"/>
  <c r="O26" i="31"/>
  <c r="E40" i="31"/>
  <c r="E39" i="31"/>
  <c r="Q13" i="31"/>
  <c r="Q18" i="31" s="1"/>
  <c r="O18" i="31"/>
  <c r="E41" i="31"/>
  <c r="AF96" i="13" l="1"/>
  <c r="AF82" i="13"/>
  <c r="AF59" i="13"/>
  <c r="AF45" i="13"/>
  <c r="AF85" i="13"/>
  <c r="AF28" i="13"/>
  <c r="AF8" i="13"/>
  <c r="AF95" i="13"/>
  <c r="AF54" i="13"/>
  <c r="AF58" i="13"/>
  <c r="AF62" i="13"/>
  <c r="AF13" i="13"/>
  <c r="AF25" i="13"/>
  <c r="AF19" i="13"/>
  <c r="AF40" i="13"/>
  <c r="AF61" i="13"/>
  <c r="AF91" i="13"/>
  <c r="AF76" i="13"/>
  <c r="AF97" i="13"/>
  <c r="AF86" i="13"/>
  <c r="AF41" i="13"/>
  <c r="AF18" i="13"/>
  <c r="AF16" i="13"/>
  <c r="AF81" i="13"/>
  <c r="AF88" i="13"/>
  <c r="AF23" i="13"/>
  <c r="AF21" i="13"/>
  <c r="AF78" i="13"/>
  <c r="AF7" i="13"/>
  <c r="AF33" i="13"/>
  <c r="AF77" i="13"/>
  <c r="AF10" i="13"/>
  <c r="AF11" i="13"/>
  <c r="AF38" i="13"/>
  <c r="AF63" i="13"/>
  <c r="AF94" i="13"/>
  <c r="AF60" i="13"/>
  <c r="AF35" i="13"/>
  <c r="AF67" i="13"/>
  <c r="AF26" i="13"/>
  <c r="AF39" i="13"/>
  <c r="AF79" i="13"/>
  <c r="AF34" i="13"/>
  <c r="AF90" i="13"/>
  <c r="AF15" i="13"/>
  <c r="AF87" i="13"/>
  <c r="AF48" i="13"/>
  <c r="AF56" i="13"/>
  <c r="AF29" i="13"/>
  <c r="AF12" i="13"/>
  <c r="AF55" i="13"/>
  <c r="AF37" i="13"/>
  <c r="AF51" i="13"/>
  <c r="AF42" i="13"/>
  <c r="AF64" i="13"/>
  <c r="AF65" i="13"/>
  <c r="E35" i="24"/>
  <c r="E27" i="24"/>
  <c r="E19" i="24"/>
  <c r="E11" i="24"/>
  <c r="E18" i="22"/>
  <c r="E13" i="40"/>
  <c r="E9" i="38"/>
  <c r="E34" i="24"/>
  <c r="E26" i="24"/>
  <c r="E18" i="24"/>
  <c r="E10" i="24"/>
  <c r="E17" i="22"/>
  <c r="E11" i="22"/>
  <c r="E10" i="38"/>
  <c r="E33" i="24"/>
  <c r="E25" i="24"/>
  <c r="E17" i="24"/>
  <c r="E9" i="24"/>
  <c r="E16" i="22"/>
  <c r="E10" i="22"/>
  <c r="E11" i="38"/>
  <c r="E32" i="24"/>
  <c r="E24" i="24"/>
  <c r="E16" i="24"/>
  <c r="E15" i="22"/>
  <c r="E9" i="22"/>
  <c r="E12" i="38"/>
  <c r="E31" i="24"/>
  <c r="E23" i="24"/>
  <c r="E15" i="24"/>
  <c r="E14" i="22"/>
  <c r="E9" i="40"/>
  <c r="E9" i="32"/>
  <c r="E13" i="38"/>
  <c r="E30" i="24"/>
  <c r="E22" i="24"/>
  <c r="E14" i="24"/>
  <c r="E10" i="40"/>
  <c r="E14" i="38"/>
  <c r="E29" i="24"/>
  <c r="E21" i="24"/>
  <c r="E13" i="24"/>
  <c r="E13" i="22"/>
  <c r="E11" i="40"/>
  <c r="E16" i="38"/>
  <c r="E36" i="24"/>
  <c r="E28" i="24"/>
  <c r="E20" i="24"/>
  <c r="E12" i="24"/>
  <c r="E19" i="22"/>
  <c r="E12" i="22"/>
  <c r="E12" i="40"/>
  <c r="E17" i="38"/>
  <c r="AF14" i="13"/>
  <c r="AF93" i="13"/>
  <c r="AF32" i="13"/>
  <c r="AF84" i="13"/>
  <c r="I39" i="31"/>
  <c r="I38" i="31"/>
  <c r="I40" i="31"/>
  <c r="I41" i="31"/>
  <c r="AF30" i="13"/>
  <c r="AF47" i="13"/>
  <c r="AF6" i="13"/>
  <c r="AF43" i="13"/>
  <c r="AF50" i="13"/>
  <c r="AF36" i="13"/>
  <c r="AF52" i="13"/>
  <c r="AF75" i="13"/>
  <c r="AF92" i="13"/>
  <c r="AF80" i="13"/>
  <c r="K35" i="31"/>
  <c r="AF27" i="13"/>
  <c r="AF49" i="13"/>
  <c r="AF66" i="13"/>
  <c r="AF57" i="13"/>
  <c r="G16" i="32"/>
  <c r="H16" i="32" s="1"/>
  <c r="AF9" i="13"/>
  <c r="AF20" i="13"/>
  <c r="AF89" i="13"/>
  <c r="AF46" i="13"/>
  <c r="AF24" i="13"/>
  <c r="AF31" i="13"/>
  <c r="AF44" i="13"/>
  <c r="AF83" i="13"/>
  <c r="AF22" i="13"/>
  <c r="AF17" i="13"/>
  <c r="AF98" i="13"/>
  <c r="O29" i="31"/>
  <c r="M33" i="31"/>
  <c r="E38" i="31"/>
  <c r="M35" i="31" l="1"/>
  <c r="M37" i="31" s="1"/>
  <c r="K37" i="31"/>
  <c r="Q29" i="31"/>
  <c r="Q33" i="31" s="1"/>
  <c r="O33" i="31"/>
  <c r="F10" i="22" l="1"/>
  <c r="G10" i="22" s="1"/>
  <c r="F15" i="38"/>
  <c r="G15" i="38" s="1"/>
  <c r="F23" i="24"/>
  <c r="G23" i="24" s="1"/>
  <c r="F11" i="22"/>
  <c r="G11" i="22" s="1"/>
  <c r="F14" i="24"/>
  <c r="G14" i="24" s="1"/>
  <c r="F15" i="24"/>
  <c r="G15" i="24" s="1"/>
  <c r="F14" i="22"/>
  <c r="G14" i="22" s="1"/>
  <c r="F17" i="22"/>
  <c r="G17" i="22" s="1"/>
  <c r="F13" i="40"/>
  <c r="G13" i="40" s="1"/>
  <c r="F9" i="32"/>
  <c r="G9" i="32" s="1"/>
  <c r="F9" i="38"/>
  <c r="G9" i="38" s="1"/>
  <c r="F10" i="38"/>
  <c r="G10" i="38" s="1"/>
  <c r="F11" i="38"/>
  <c r="G11" i="38" s="1"/>
  <c r="F12" i="38"/>
  <c r="G12" i="38" s="1"/>
  <c r="F9" i="40"/>
  <c r="G9" i="40" s="1"/>
  <c r="F13" i="38"/>
  <c r="G13" i="38" s="1"/>
  <c r="F10" i="40"/>
  <c r="G10" i="40" s="1"/>
  <c r="F14" i="38"/>
  <c r="G14" i="38" s="1"/>
  <c r="F11" i="40"/>
  <c r="G11" i="40" s="1"/>
  <c r="F16" i="38"/>
  <c r="G16" i="38" s="1"/>
  <c r="F12" i="40"/>
  <c r="G12" i="40" s="1"/>
  <c r="F17" i="38"/>
  <c r="G17" i="38" s="1"/>
  <c r="F11" i="24"/>
  <c r="G11" i="24" s="1"/>
  <c r="F16" i="22"/>
  <c r="G16" i="22" s="1"/>
  <c r="F29" i="24"/>
  <c r="G29" i="24" s="1"/>
  <c r="F19" i="22"/>
  <c r="G19"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18" i="22"/>
  <c r="G18" i="22" s="1"/>
  <c r="F34" i="24"/>
  <c r="G34" i="24" s="1"/>
  <c r="F32" i="24"/>
  <c r="G32" i="24" s="1"/>
  <c r="F25" i="24"/>
  <c r="G25" i="24" s="1"/>
  <c r="F17" i="24"/>
  <c r="G17" i="24" s="1"/>
  <c r="F21" i="24"/>
  <c r="G21" i="24" s="1"/>
  <c r="F13" i="24"/>
  <c r="G13" i="24" s="1"/>
  <c r="O35" i="31"/>
  <c r="O37" i="31" s="1"/>
  <c r="H10" i="22" s="1"/>
  <c r="Q35" i="31"/>
  <c r="G25" i="22"/>
  <c r="D25" i="22"/>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75" i="13"/>
  <c r="E76" i="13"/>
  <c r="E77" i="13"/>
  <c r="E78" i="13"/>
  <c r="E79" i="13"/>
  <c r="E80" i="13"/>
  <c r="E81" i="13"/>
  <c r="E82" i="13"/>
  <c r="E83" i="13"/>
  <c r="E84" i="13"/>
  <c r="E85" i="13"/>
  <c r="E86" i="13"/>
  <c r="E87" i="13"/>
  <c r="E88" i="13"/>
  <c r="E89" i="13"/>
  <c r="E90" i="13"/>
  <c r="E91" i="13"/>
  <c r="E92"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75" i="13"/>
  <c r="D76" i="13"/>
  <c r="D77" i="13"/>
  <c r="D78" i="13"/>
  <c r="D79" i="13"/>
  <c r="D80" i="13"/>
  <c r="D81" i="13"/>
  <c r="D82" i="13"/>
  <c r="D83" i="13"/>
  <c r="D84" i="13"/>
  <c r="D85" i="13"/>
  <c r="D86" i="13"/>
  <c r="D87" i="13"/>
  <c r="D88" i="13"/>
  <c r="D89" i="13"/>
  <c r="D90" i="13"/>
  <c r="D91" i="13"/>
  <c r="D92"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75" i="13"/>
  <c r="C76" i="13"/>
  <c r="C77" i="13"/>
  <c r="C78" i="13"/>
  <c r="C79" i="13"/>
  <c r="C80" i="13"/>
  <c r="C81" i="13"/>
  <c r="C82" i="13"/>
  <c r="C83" i="13"/>
  <c r="C84" i="13"/>
  <c r="C85" i="13"/>
  <c r="C86" i="13"/>
  <c r="C87" i="13"/>
  <c r="C88" i="13"/>
  <c r="C89" i="13"/>
  <c r="C90" i="13"/>
  <c r="C91" i="13"/>
  <c r="C92" i="13"/>
  <c r="D26" i="22"/>
  <c r="D24" i="22"/>
  <c r="D23" i="22"/>
  <c r="D22" i="22"/>
  <c r="H15" i="38" l="1"/>
  <c r="H22" i="24"/>
  <c r="O39" i="31"/>
  <c r="H17" i="24"/>
  <c r="H12" i="22"/>
  <c r="H10" i="24"/>
  <c r="H25" i="24"/>
  <c r="H26" i="24"/>
  <c r="H24" i="24"/>
  <c r="H19" i="22"/>
  <c r="I19" i="22" s="1"/>
  <c r="H13" i="24"/>
  <c r="H18" i="24"/>
  <c r="H32" i="24"/>
  <c r="H33" i="24"/>
  <c r="H30" i="24"/>
  <c r="H15" i="22"/>
  <c r="H12" i="24"/>
  <c r="Q37" i="31"/>
  <c r="I10" i="22" s="1"/>
  <c r="H13" i="22"/>
  <c r="I13" i="22" s="1"/>
  <c r="H11" i="24"/>
  <c r="I11" i="24" s="1"/>
  <c r="H15" i="24"/>
  <c r="I15" i="24" s="1"/>
  <c r="O38" i="31"/>
  <c r="Q38" i="31" s="1"/>
  <c r="H14" i="24"/>
  <c r="I14" i="24" s="1"/>
  <c r="H20" i="24"/>
  <c r="H19" i="24"/>
  <c r="H21" i="24"/>
  <c r="H16" i="24"/>
  <c r="H34" i="24"/>
  <c r="H31" i="24"/>
  <c r="H36" i="24"/>
  <c r="H29" i="24"/>
  <c r="I29" i="24" s="1"/>
  <c r="H17" i="22"/>
  <c r="I17" i="22" s="1"/>
  <c r="H13" i="40"/>
  <c r="I13" i="40" s="1"/>
  <c r="H9" i="32"/>
  <c r="I9" i="32" s="1"/>
  <c r="H9" i="38"/>
  <c r="H10" i="38"/>
  <c r="H11" i="38"/>
  <c r="H12" i="38"/>
  <c r="I12" i="38" s="1"/>
  <c r="H9" i="40"/>
  <c r="I9" i="40" s="1"/>
  <c r="H13" i="38"/>
  <c r="I13" i="38" s="1"/>
  <c r="H10" i="40"/>
  <c r="I10" i="40" s="1"/>
  <c r="H14" i="38"/>
  <c r="H11" i="40"/>
  <c r="H16" i="38"/>
  <c r="H12" i="40"/>
  <c r="H17" i="38"/>
  <c r="H18" i="22"/>
  <c r="O41" i="31"/>
  <c r="Q41" i="31" s="1"/>
  <c r="H9" i="24"/>
  <c r="I9" i="24" s="1"/>
  <c r="H16" i="22"/>
  <c r="I16" i="22" s="1"/>
  <c r="H14" i="22"/>
  <c r="I14" i="22" s="1"/>
  <c r="O40" i="31"/>
  <c r="Q40" i="31" s="1"/>
  <c r="H27" i="24"/>
  <c r="I27" i="24" s="1"/>
  <c r="H35" i="24"/>
  <c r="H28" i="24"/>
  <c r="H11" i="22"/>
  <c r="H9" i="22"/>
  <c r="H23" i="24"/>
  <c r="H25" i="22"/>
  <c r="I24" i="24" l="1"/>
  <c r="I36" i="24"/>
  <c r="I11" i="22"/>
  <c r="I11" i="38"/>
  <c r="I31" i="24"/>
  <c r="I18" i="22"/>
  <c r="I17" i="38"/>
  <c r="I10" i="24"/>
  <c r="I12" i="22"/>
  <c r="I34" i="24"/>
  <c r="I9" i="22"/>
  <c r="I12" i="40"/>
  <c r="I15" i="22"/>
  <c r="I10" i="38"/>
  <c r="I16" i="24"/>
  <c r="I30" i="24"/>
  <c r="I28" i="24"/>
  <c r="I21" i="24"/>
  <c r="I22" i="24"/>
  <c r="I23" i="24"/>
  <c r="I16" i="38"/>
  <c r="I11" i="40"/>
  <c r="I35" i="24"/>
  <c r="I14" i="38"/>
  <c r="I19" i="24"/>
  <c r="I32" i="24"/>
  <c r="I9" i="38"/>
  <c r="I20" i="24"/>
  <c r="I18" i="24"/>
  <c r="I15" i="38"/>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98" i="13" l="1"/>
  <c r="BC97" i="13"/>
  <c r="BC96" i="13"/>
  <c r="BC95" i="13"/>
  <c r="BC94" i="13"/>
  <c r="BC93" i="13"/>
  <c r="BC92" i="13"/>
  <c r="BC91" i="13"/>
  <c r="BC90" i="13"/>
  <c r="BC89" i="13"/>
  <c r="BC88" i="13"/>
  <c r="BC87" i="13"/>
  <c r="BC86" i="13"/>
  <c r="BC85" i="13"/>
  <c r="BC84" i="13"/>
  <c r="BC83" i="13"/>
  <c r="BC82" i="13"/>
  <c r="BC81" i="13"/>
  <c r="BC80" i="13"/>
  <c r="BC79" i="13"/>
  <c r="BC78" i="13"/>
  <c r="BC77" i="13"/>
  <c r="BC76" i="13"/>
  <c r="BC75" i="13"/>
  <c r="BC63" i="13"/>
  <c r="BC62" i="13"/>
  <c r="BC61" i="13"/>
  <c r="BC60" i="13"/>
  <c r="BC59" i="13"/>
  <c r="BC58" i="13"/>
  <c r="BC57" i="13"/>
  <c r="BC56" i="13"/>
  <c r="BC55" i="13"/>
  <c r="BC54" i="13"/>
  <c r="BC53" i="13"/>
  <c r="BC52" i="13"/>
  <c r="BC51" i="13"/>
  <c r="BC50" i="13"/>
  <c r="BC49" i="13"/>
  <c r="BC48" i="13"/>
  <c r="BC47" i="13"/>
  <c r="BC46" i="13"/>
  <c r="BC45" i="13"/>
  <c r="BC44" i="13"/>
  <c r="BC43" i="13"/>
  <c r="BC42" i="13"/>
  <c r="BC41" i="13"/>
  <c r="BC40"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BC6" i="13"/>
  <c r="BC5" i="13"/>
  <c r="AH98" i="13"/>
  <c r="AH97" i="13"/>
  <c r="AH96" i="13"/>
  <c r="AH95" i="13"/>
  <c r="AH94" i="13"/>
  <c r="AH93" i="13"/>
  <c r="AH92" i="13"/>
  <c r="AH91" i="13"/>
  <c r="AH90" i="13"/>
  <c r="AH89" i="13"/>
  <c r="AH88" i="13"/>
  <c r="AH87" i="13"/>
  <c r="AH86" i="13"/>
  <c r="AH85" i="13"/>
  <c r="AH84" i="13"/>
  <c r="AH83" i="13"/>
  <c r="AH82" i="13"/>
  <c r="AH81" i="13"/>
  <c r="AH80" i="13"/>
  <c r="AH79" i="13"/>
  <c r="AH78" i="13"/>
  <c r="AH77" i="13"/>
  <c r="AH76" i="13"/>
  <c r="AH75"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1" i="13"/>
  <c r="AH30" i="13"/>
  <c r="AH29" i="13"/>
  <c r="AH28" i="13"/>
  <c r="AH27" i="13"/>
  <c r="AH26" i="13"/>
  <c r="AH25" i="13"/>
  <c r="AH24" i="13"/>
  <c r="AH23" i="13"/>
  <c r="AH22" i="13"/>
  <c r="AH21" i="13"/>
  <c r="AH20" i="13"/>
  <c r="AH19" i="13"/>
  <c r="AH18" i="13"/>
  <c r="AH17" i="13"/>
  <c r="AH16" i="13"/>
  <c r="AH15" i="13"/>
  <c r="AH14" i="13"/>
  <c r="AH13" i="13"/>
  <c r="AH12" i="13"/>
  <c r="AH11" i="13"/>
  <c r="AH10" i="13"/>
  <c r="AH9" i="13"/>
  <c r="AH8" i="13"/>
  <c r="AH7" i="13"/>
  <c r="AH6" i="13"/>
  <c r="AH5" i="13"/>
  <c r="AI5" i="13" l="1"/>
  <c r="AP5" i="13"/>
  <c r="AX5" i="13"/>
  <c r="AQ5" i="13"/>
  <c r="BA5" i="13"/>
  <c r="AZ5" i="13"/>
  <c r="AY5" i="13"/>
  <c r="AR5" i="13"/>
  <c r="AK5" i="13"/>
  <c r="AU5" i="13"/>
  <c r="AT5" i="13"/>
  <c r="AS5" i="13"/>
  <c r="AL5" i="13"/>
  <c r="AV5" i="13"/>
  <c r="AW5" i="13"/>
  <c r="AO5" i="13"/>
  <c r="AJ5" i="13"/>
  <c r="AN5" i="13"/>
  <c r="AM5" i="13"/>
  <c r="AL21" i="13"/>
  <c r="BA21" i="13"/>
  <c r="AX21" i="13"/>
  <c r="AR21" i="13"/>
  <c r="AK21" i="13"/>
  <c r="AU21" i="13"/>
  <c r="AT21" i="13"/>
  <c r="AM21" i="13"/>
  <c r="AV21" i="13"/>
  <c r="AO21" i="13"/>
  <c r="AN21" i="13"/>
  <c r="AW21" i="13"/>
  <c r="AI21" i="13"/>
  <c r="AQ21" i="13"/>
  <c r="AY21" i="13"/>
  <c r="AP21" i="13"/>
  <c r="AS21" i="13"/>
  <c r="AJ21" i="13"/>
  <c r="AZ21" i="13"/>
  <c r="AS25" i="13"/>
  <c r="AL25" i="13"/>
  <c r="AZ25" i="13"/>
  <c r="AN25" i="13"/>
  <c r="AI25" i="13"/>
  <c r="AM25" i="13"/>
  <c r="AW25" i="13"/>
  <c r="AV25" i="13"/>
  <c r="BA25" i="13"/>
  <c r="AT25" i="13"/>
  <c r="AR25" i="13"/>
  <c r="AJ25" i="13"/>
  <c r="AQ25" i="13"/>
  <c r="AU25" i="13"/>
  <c r="AX25" i="13"/>
  <c r="AK25" i="13"/>
  <c r="AY25" i="13"/>
  <c r="AP25" i="13"/>
  <c r="AO25" i="13"/>
  <c r="AI29" i="13"/>
  <c r="AN29" i="13"/>
  <c r="AV29" i="13"/>
  <c r="AW29" i="13"/>
  <c r="BA29" i="13"/>
  <c r="AP29" i="13"/>
  <c r="AY29" i="13"/>
  <c r="AX29" i="13"/>
  <c r="AQ29" i="13"/>
  <c r="AU29" i="13"/>
  <c r="AS29" i="13"/>
  <c r="AK29" i="13"/>
  <c r="AO29" i="13"/>
  <c r="AM29" i="13"/>
  <c r="AJ29" i="13"/>
  <c r="AT29" i="13"/>
  <c r="AR29" i="13"/>
  <c r="AZ29" i="13"/>
  <c r="AL29" i="13"/>
  <c r="AQ33" i="13"/>
  <c r="AP33" i="13"/>
  <c r="AU33" i="13"/>
  <c r="AZ33" i="13"/>
  <c r="AS33" i="13"/>
  <c r="AK33" i="13"/>
  <c r="AL33" i="13"/>
  <c r="AX33" i="13"/>
  <c r="AM33" i="13"/>
  <c r="AR33" i="13"/>
  <c r="BA33" i="13"/>
  <c r="AT33" i="13"/>
  <c r="AV33" i="13"/>
  <c r="AN33" i="13"/>
  <c r="AJ33" i="13"/>
  <c r="AO33" i="13"/>
  <c r="AI33" i="13"/>
  <c r="AW33" i="13"/>
  <c r="AY33" i="13"/>
  <c r="AN37" i="13"/>
  <c r="AW37" i="13"/>
  <c r="AV37" i="13"/>
  <c r="AU37" i="13"/>
  <c r="AY37" i="13"/>
  <c r="AX37" i="13"/>
  <c r="AQ37" i="13"/>
  <c r="AL37" i="13"/>
  <c r="AJ37" i="13"/>
  <c r="AT37" i="13"/>
  <c r="AS37" i="13"/>
  <c r="AK37" i="13"/>
  <c r="BA37" i="13"/>
  <c r="AP37" i="13"/>
  <c r="AO37" i="13"/>
  <c r="AM37" i="13"/>
  <c r="AR37" i="13"/>
  <c r="AZ37" i="13"/>
  <c r="AI37" i="13"/>
  <c r="AU41" i="13"/>
  <c r="AZ41" i="13"/>
  <c r="AS41" i="13"/>
  <c r="AR41" i="13"/>
  <c r="AQ41" i="13"/>
  <c r="AO41" i="13"/>
  <c r="AT41" i="13"/>
  <c r="AM41" i="13"/>
  <c r="AL41" i="13"/>
  <c r="AK41" i="13"/>
  <c r="AI41" i="13"/>
  <c r="AJ41" i="13"/>
  <c r="AV41" i="13"/>
  <c r="AX41" i="13"/>
  <c r="BA41" i="13"/>
  <c r="AW41" i="13"/>
  <c r="AN41" i="13"/>
  <c r="AY41" i="13"/>
  <c r="AP41" i="13"/>
  <c r="AV45" i="13"/>
  <c r="BA45" i="13"/>
  <c r="AQ45" i="13"/>
  <c r="AL45" i="13"/>
  <c r="AX45" i="13"/>
  <c r="AR45" i="13"/>
  <c r="AK45" i="13"/>
  <c r="AU45" i="13"/>
  <c r="AZ45" i="13"/>
  <c r="AY45" i="13"/>
  <c r="AO45" i="13"/>
  <c r="AS45" i="13"/>
  <c r="AI45" i="13"/>
  <c r="AW45" i="13"/>
  <c r="AT45" i="13"/>
  <c r="AP45" i="13"/>
  <c r="AN45" i="13"/>
  <c r="AJ45" i="13"/>
  <c r="AM45" i="13"/>
  <c r="AS49" i="13"/>
  <c r="AR49" i="13"/>
  <c r="AK49" i="13"/>
  <c r="AJ49" i="13"/>
  <c r="AI49" i="13"/>
  <c r="AM49" i="13"/>
  <c r="AW49" i="13"/>
  <c r="AP49" i="13"/>
  <c r="AT49" i="13"/>
  <c r="AZ49" i="13"/>
  <c r="AQ49" i="13"/>
  <c r="BA49" i="13"/>
  <c r="AL49" i="13"/>
  <c r="AO49" i="13"/>
  <c r="AN49" i="13"/>
  <c r="AX49" i="13"/>
  <c r="AV49" i="13"/>
  <c r="AU49" i="13"/>
  <c r="AY49" i="13"/>
  <c r="AI53" i="13"/>
  <c r="AN53" i="13"/>
  <c r="AM53" i="13"/>
  <c r="AW53" i="13"/>
  <c r="BA53" i="13"/>
  <c r="AP53" i="13"/>
  <c r="AV53" i="13"/>
  <c r="AX53" i="13"/>
  <c r="AQ53" i="13"/>
  <c r="AZ53" i="13"/>
  <c r="AR53" i="13"/>
  <c r="AT53" i="13"/>
  <c r="AL53" i="13"/>
  <c r="AS53" i="13"/>
  <c r="AU53" i="13"/>
  <c r="AK53" i="13"/>
  <c r="AO53" i="13"/>
  <c r="AY53" i="13"/>
  <c r="AJ53" i="13"/>
  <c r="AQ57" i="13"/>
  <c r="AP57" i="13"/>
  <c r="AU57" i="13"/>
  <c r="AZ57" i="13"/>
  <c r="AS57" i="13"/>
  <c r="AK57" i="13"/>
  <c r="AJ57" i="13"/>
  <c r="AO57" i="13"/>
  <c r="AT57" i="13"/>
  <c r="AM57" i="13"/>
  <c r="AX57" i="13"/>
  <c r="AI57" i="13"/>
  <c r="AV57" i="13"/>
  <c r="AN57" i="13"/>
  <c r="AL57" i="13"/>
  <c r="AY57" i="13"/>
  <c r="BA57" i="13"/>
  <c r="AR57" i="13"/>
  <c r="AW57" i="13"/>
  <c r="AX61" i="13"/>
  <c r="AW61" i="13"/>
  <c r="AP61" i="13"/>
  <c r="AU61" i="13"/>
  <c r="AS61" i="13"/>
  <c r="AZ61" i="13"/>
  <c r="AJ61" i="13"/>
  <c r="AI61" i="13"/>
  <c r="AM61" i="13"/>
  <c r="AQ61" i="13"/>
  <c r="AT61" i="13"/>
  <c r="AN61" i="13"/>
  <c r="AY61" i="13"/>
  <c r="AV61" i="13"/>
  <c r="AR61" i="13"/>
  <c r="BA61" i="13"/>
  <c r="AK61" i="13"/>
  <c r="AO61" i="13"/>
  <c r="AL61" i="13"/>
  <c r="AR75" i="13"/>
  <c r="BA75" i="13"/>
  <c r="AX75" i="13"/>
  <c r="AY75" i="13"/>
  <c r="AW75" i="13"/>
  <c r="AV75" i="13"/>
  <c r="AU75" i="13"/>
  <c r="AZ75" i="13"/>
  <c r="AS75" i="13"/>
  <c r="AP75" i="13"/>
  <c r="AT75" i="13"/>
  <c r="AO75" i="13"/>
  <c r="AL75" i="13"/>
  <c r="AQ75" i="13"/>
  <c r="AI75" i="13"/>
  <c r="AK75" i="13"/>
  <c r="AN75" i="13"/>
  <c r="AM75" i="13"/>
  <c r="AJ75" i="13"/>
  <c r="AS79" i="13"/>
  <c r="AL79" i="13"/>
  <c r="AN79" i="13"/>
  <c r="AZ79" i="13"/>
  <c r="AI79" i="13"/>
  <c r="AY79" i="13"/>
  <c r="AW79" i="13"/>
  <c r="AP79" i="13"/>
  <c r="AO79" i="13"/>
  <c r="AM79" i="13"/>
  <c r="AQ79" i="13"/>
  <c r="AJ79" i="13"/>
  <c r="AT79" i="13"/>
  <c r="AR79" i="13"/>
  <c r="AU79" i="13"/>
  <c r="AK79" i="13"/>
  <c r="BA79" i="13"/>
  <c r="AX79" i="13"/>
  <c r="AV79" i="13"/>
  <c r="AI83" i="13"/>
  <c r="AY83" i="13"/>
  <c r="AX83" i="13"/>
  <c r="AW83" i="13"/>
  <c r="BA83" i="13"/>
  <c r="AZ83" i="13"/>
  <c r="AS83" i="13"/>
  <c r="AR83" i="13"/>
  <c r="AQ83" i="13"/>
  <c r="AU83" i="13"/>
  <c r="AM83" i="13"/>
  <c r="AK83" i="13"/>
  <c r="AO83" i="13"/>
  <c r="AP83" i="13"/>
  <c r="AJ83" i="13"/>
  <c r="AV83" i="13"/>
  <c r="AT83" i="13"/>
  <c r="AL83" i="13"/>
  <c r="AN83" i="13"/>
  <c r="AQ87" i="13"/>
  <c r="AJ87" i="13"/>
  <c r="AI87" i="13"/>
  <c r="AN87" i="13"/>
  <c r="AM87" i="13"/>
  <c r="AK87" i="13"/>
  <c r="BA87" i="13"/>
  <c r="AR87" i="13"/>
  <c r="AL87" i="13"/>
  <c r="AX87" i="13"/>
  <c r="AU87" i="13"/>
  <c r="AY87" i="13"/>
  <c r="AV87" i="13"/>
  <c r="AT87" i="13"/>
  <c r="AP87" i="13"/>
  <c r="AS87" i="13"/>
  <c r="AO87" i="13"/>
  <c r="AW87" i="13"/>
  <c r="AZ87" i="13"/>
  <c r="AY91" i="13"/>
  <c r="AX91" i="13"/>
  <c r="AW91" i="13"/>
  <c r="AV91" i="13"/>
  <c r="AU91" i="13"/>
  <c r="AS91" i="13"/>
  <c r="AR91" i="13"/>
  <c r="AQ91" i="13"/>
  <c r="AP91" i="13"/>
  <c r="AO91" i="13"/>
  <c r="AN91" i="13"/>
  <c r="AZ91" i="13"/>
  <c r="AL91" i="13"/>
  <c r="AJ91" i="13"/>
  <c r="AK91" i="13"/>
  <c r="BA91" i="13"/>
  <c r="AM91" i="13"/>
  <c r="AI91" i="13"/>
  <c r="AT91" i="13"/>
  <c r="AU95" i="13"/>
  <c r="AZ95" i="13"/>
  <c r="AS95" i="13"/>
  <c r="AR95" i="13"/>
  <c r="AK95" i="13"/>
  <c r="AO95" i="13"/>
  <c r="AT95" i="13"/>
  <c r="AM95" i="13"/>
  <c r="AL95" i="13"/>
  <c r="AV95" i="13"/>
  <c r="AI95" i="13"/>
  <c r="AJ95" i="13"/>
  <c r="AP95" i="13"/>
  <c r="AX95" i="13"/>
  <c r="AY95" i="13"/>
  <c r="AW95" i="13"/>
  <c r="AN95" i="13"/>
  <c r="AQ95" i="13"/>
  <c r="BA95" i="13"/>
  <c r="AU17" i="13"/>
  <c r="AT17" i="13"/>
  <c r="AM17" i="13"/>
  <c r="AL17" i="13"/>
  <c r="AK17" i="13"/>
  <c r="AO17" i="13"/>
  <c r="AN17" i="13"/>
  <c r="AP17" i="13"/>
  <c r="AJ17" i="13"/>
  <c r="AV17" i="13"/>
  <c r="AI17" i="13"/>
  <c r="AY17" i="13"/>
  <c r="AW17" i="13"/>
  <c r="AS17" i="13"/>
  <c r="AQ17" i="13"/>
  <c r="AR17" i="13"/>
  <c r="BA17" i="13"/>
  <c r="AX17" i="13"/>
  <c r="AZ17" i="13"/>
  <c r="AR14" i="13"/>
  <c r="AK14" i="13"/>
  <c r="AJ14" i="13"/>
  <c r="AI14" i="13"/>
  <c r="AS14" i="13"/>
  <c r="AL14" i="13"/>
  <c r="AM14" i="13"/>
  <c r="BA14" i="13"/>
  <c r="AZ14" i="13"/>
  <c r="AY14" i="13"/>
  <c r="AX14" i="13"/>
  <c r="AP14" i="13"/>
  <c r="AN14" i="13"/>
  <c r="AW14" i="13"/>
  <c r="AU14" i="13"/>
  <c r="AV14" i="13"/>
  <c r="AO14" i="13"/>
  <c r="AT14" i="13"/>
  <c r="AQ14" i="13"/>
  <c r="AN18" i="13"/>
  <c r="AM18" i="13"/>
  <c r="AL18" i="13"/>
  <c r="AV18" i="13"/>
  <c r="BA18" i="13"/>
  <c r="AO18" i="13"/>
  <c r="AU18" i="13"/>
  <c r="AW18" i="13"/>
  <c r="AP18" i="13"/>
  <c r="AS18" i="13"/>
  <c r="AK18" i="13"/>
  <c r="AZ18" i="13"/>
  <c r="AX18" i="13"/>
  <c r="AJ18" i="13"/>
  <c r="AQ18" i="13"/>
  <c r="AT18" i="13"/>
  <c r="AI18" i="13"/>
  <c r="AY18" i="13"/>
  <c r="AR18" i="13"/>
  <c r="AV22" i="13"/>
  <c r="AU22" i="13"/>
  <c r="AZ22" i="13"/>
  <c r="AS22" i="13"/>
  <c r="AL22" i="13"/>
  <c r="AO22" i="13"/>
  <c r="AN22" i="13"/>
  <c r="AR22" i="13"/>
  <c r="AP22" i="13"/>
  <c r="AI22" i="13"/>
  <c r="AY22" i="13"/>
  <c r="AQ22" i="13"/>
  <c r="AJ22" i="13"/>
  <c r="AW22" i="13"/>
  <c r="AM22" i="13"/>
  <c r="AK22" i="13"/>
  <c r="BA22" i="13"/>
  <c r="AT22" i="13"/>
  <c r="AX22" i="13"/>
  <c r="AW26" i="13"/>
  <c r="AV26" i="13"/>
  <c r="AS26" i="13"/>
  <c r="AI26" i="13"/>
  <c r="AX26" i="13"/>
  <c r="AQ26" i="13"/>
  <c r="AP26" i="13"/>
  <c r="BA26" i="13"/>
  <c r="AL26" i="13"/>
  <c r="AY26" i="13"/>
  <c r="AT26" i="13"/>
  <c r="AU26" i="13"/>
  <c r="AN26" i="13"/>
  <c r="AK26" i="13"/>
  <c r="AR26" i="13"/>
  <c r="AZ26" i="13"/>
  <c r="AM26" i="13"/>
  <c r="AJ26" i="13"/>
  <c r="AO26" i="13"/>
  <c r="AZ30" i="13"/>
  <c r="AS30" i="13"/>
  <c r="AR30" i="13"/>
  <c r="AQ30" i="13"/>
  <c r="AP30" i="13"/>
  <c r="AT30" i="13"/>
  <c r="AM30" i="13"/>
  <c r="AL30" i="13"/>
  <c r="AK30" i="13"/>
  <c r="AJ30" i="13"/>
  <c r="AX30" i="13"/>
  <c r="AV30" i="13"/>
  <c r="AN30" i="13"/>
  <c r="BA30" i="13"/>
  <c r="AU30" i="13"/>
  <c r="AO30" i="13"/>
  <c r="AW30" i="13"/>
  <c r="AI30" i="13"/>
  <c r="AY30" i="13"/>
  <c r="AJ34" i="13"/>
  <c r="AI34" i="13"/>
  <c r="AQ34" i="13"/>
  <c r="AK34" i="13"/>
  <c r="AW34" i="13"/>
  <c r="AU34" i="13"/>
  <c r="AN34" i="13"/>
  <c r="AX34" i="13"/>
  <c r="AV34" i="13"/>
  <c r="AO34" i="13"/>
  <c r="AY34" i="13"/>
  <c r="AR34" i="13"/>
  <c r="AP34" i="13"/>
  <c r="AZ34" i="13"/>
  <c r="AS34" i="13"/>
  <c r="AL34" i="13"/>
  <c r="AT34" i="13"/>
  <c r="BA34" i="13"/>
  <c r="AM34" i="13"/>
  <c r="AR38" i="13"/>
  <c r="AK38" i="13"/>
  <c r="AJ38" i="13"/>
  <c r="AO38" i="13"/>
  <c r="AN38" i="13"/>
  <c r="AX38" i="13"/>
  <c r="AM38" i="13"/>
  <c r="BA38" i="13"/>
  <c r="AT38" i="13"/>
  <c r="AV38" i="13"/>
  <c r="AU38" i="13"/>
  <c r="AL38" i="13"/>
  <c r="AY38" i="13"/>
  <c r="AS38" i="13"/>
  <c r="AW38" i="13"/>
  <c r="AI38" i="13"/>
  <c r="AQ38" i="13"/>
  <c r="AZ38" i="13"/>
  <c r="AP38" i="13"/>
  <c r="AN42" i="13"/>
  <c r="AI42" i="13"/>
  <c r="AO42" i="13"/>
  <c r="BA42" i="13"/>
  <c r="AU42" i="13"/>
  <c r="AY42" i="13"/>
  <c r="AX42" i="13"/>
  <c r="AW42" i="13"/>
  <c r="AV42" i="13"/>
  <c r="AT42" i="13"/>
  <c r="AL42" i="13"/>
  <c r="AJ42" i="13"/>
  <c r="AS42" i="13"/>
  <c r="AQ42" i="13"/>
  <c r="AZ42" i="13"/>
  <c r="AP42" i="13"/>
  <c r="AM42" i="13"/>
  <c r="AK42" i="13"/>
  <c r="AR42" i="13"/>
  <c r="AV46" i="13"/>
  <c r="BA46" i="13"/>
  <c r="AW46" i="13"/>
  <c r="AY46" i="13"/>
  <c r="AR46" i="13"/>
  <c r="AQ46" i="13"/>
  <c r="AZ46" i="13"/>
  <c r="AM46" i="13"/>
  <c r="AU46" i="13"/>
  <c r="AT46" i="13"/>
  <c r="AX46" i="13"/>
  <c r="AP46" i="13"/>
  <c r="AO46" i="13"/>
  <c r="AN46" i="13"/>
  <c r="AL46" i="13"/>
  <c r="AS46" i="13"/>
  <c r="AK46" i="13"/>
  <c r="AJ46" i="13"/>
  <c r="AI46" i="13"/>
  <c r="AW50" i="13"/>
  <c r="AV50" i="13"/>
  <c r="AU50" i="13"/>
  <c r="AZ50" i="13"/>
  <c r="AX50" i="13"/>
  <c r="AK50" i="13"/>
  <c r="BA50" i="13"/>
  <c r="AT50" i="13"/>
  <c r="AR50" i="13"/>
  <c r="AO50" i="13"/>
  <c r="AN50" i="13"/>
  <c r="AM50" i="13"/>
  <c r="AQ50" i="13"/>
  <c r="AS50" i="13"/>
  <c r="AP50" i="13"/>
  <c r="AY50" i="13"/>
  <c r="AJ50" i="13"/>
  <c r="AL50" i="13"/>
  <c r="AI50" i="13"/>
  <c r="AZ54" i="13"/>
  <c r="AS54" i="13"/>
  <c r="AL54" i="13"/>
  <c r="AK54" i="13"/>
  <c r="AJ54" i="13"/>
  <c r="AT54" i="13"/>
  <c r="AM54" i="13"/>
  <c r="AO54" i="13"/>
  <c r="BA54" i="13"/>
  <c r="AU54" i="13"/>
  <c r="AY54" i="13"/>
  <c r="AQ54" i="13"/>
  <c r="AX54" i="13"/>
  <c r="AV54" i="13"/>
  <c r="AW54" i="13"/>
  <c r="AP54" i="13"/>
  <c r="AR54" i="13"/>
  <c r="AI54" i="13"/>
  <c r="AN54" i="13"/>
  <c r="AJ58" i="13"/>
  <c r="AI58" i="13"/>
  <c r="AN58" i="13"/>
  <c r="AQ58" i="13"/>
  <c r="AK58" i="13"/>
  <c r="BA58" i="13"/>
  <c r="AZ58" i="13"/>
  <c r="AM58" i="13"/>
  <c r="AU58" i="13"/>
  <c r="AT58" i="13"/>
  <c r="AX58" i="13"/>
  <c r="AV58" i="13"/>
  <c r="AO58" i="13"/>
  <c r="AY58" i="13"/>
  <c r="AR58" i="13"/>
  <c r="AL58" i="13"/>
  <c r="AP58" i="13"/>
  <c r="AW58" i="13"/>
  <c r="AS58" i="13"/>
  <c r="AR62" i="13"/>
  <c r="AQ62" i="13"/>
  <c r="AJ62" i="13"/>
  <c r="AO62" i="13"/>
  <c r="AN62" i="13"/>
  <c r="AW62" i="13"/>
  <c r="AS62" i="13"/>
  <c r="AZ62" i="13"/>
  <c r="AX62" i="13"/>
  <c r="BA62" i="13"/>
  <c r="AT62" i="13"/>
  <c r="AK62" i="13"/>
  <c r="AP62" i="13"/>
  <c r="AL62" i="13"/>
  <c r="AU62" i="13"/>
  <c r="AY62" i="13"/>
  <c r="AI62" i="13"/>
  <c r="AV62" i="13"/>
  <c r="AM62" i="13"/>
  <c r="AV76" i="13"/>
  <c r="AU76" i="13"/>
  <c r="AZ76" i="13"/>
  <c r="AS76" i="13"/>
  <c r="AL76" i="13"/>
  <c r="AJ76" i="13"/>
  <c r="AK76" i="13"/>
  <c r="AM76" i="13"/>
  <c r="AQ76" i="13"/>
  <c r="BA76" i="13"/>
  <c r="AT76" i="13"/>
  <c r="AX76" i="13"/>
  <c r="AO76" i="13"/>
  <c r="AN76" i="13"/>
  <c r="AR76" i="13"/>
  <c r="AP76" i="13"/>
  <c r="AI76" i="13"/>
  <c r="AY76" i="13"/>
  <c r="AW76" i="13"/>
  <c r="AM80" i="13"/>
  <c r="AS80" i="13"/>
  <c r="BA80" i="13"/>
  <c r="AZ80" i="13"/>
  <c r="AW80" i="13"/>
  <c r="AP80" i="13"/>
  <c r="AI80" i="13"/>
  <c r="AX80" i="13"/>
  <c r="AJ80" i="13"/>
  <c r="AT80" i="13"/>
  <c r="AQ80" i="13"/>
  <c r="AL80" i="13"/>
  <c r="AO80" i="13"/>
  <c r="AK80" i="13"/>
  <c r="AN80" i="13"/>
  <c r="AV80" i="13"/>
  <c r="AY80" i="13"/>
  <c r="AR80" i="13"/>
  <c r="AU80" i="13"/>
  <c r="AZ84" i="13"/>
  <c r="AY84" i="13"/>
  <c r="AX84" i="13"/>
  <c r="AW84" i="13"/>
  <c r="AP84" i="13"/>
  <c r="AT84" i="13"/>
  <c r="AS84" i="13"/>
  <c r="AR84" i="13"/>
  <c r="AQ84" i="13"/>
  <c r="AJ84" i="13"/>
  <c r="AI84" i="13"/>
  <c r="AV84" i="13"/>
  <c r="AN84" i="13"/>
  <c r="AL84" i="13"/>
  <c r="AU84" i="13"/>
  <c r="AK84" i="13"/>
  <c r="AO84" i="13"/>
  <c r="AM84" i="13"/>
  <c r="BA84" i="13"/>
  <c r="AJ88" i="13"/>
  <c r="AI88" i="13"/>
  <c r="AN88" i="13"/>
  <c r="AM88" i="13"/>
  <c r="AL88" i="13"/>
  <c r="AP88" i="13"/>
  <c r="AQ88" i="13"/>
  <c r="AY88" i="13"/>
  <c r="AR88" i="13"/>
  <c r="BA88" i="13"/>
  <c r="AZ88" i="13"/>
  <c r="AS88" i="13"/>
  <c r="AU88" i="13"/>
  <c r="AT88" i="13"/>
  <c r="AW88" i="13"/>
  <c r="AO88" i="13"/>
  <c r="AV88" i="13"/>
  <c r="AK88" i="13"/>
  <c r="AX88" i="13"/>
  <c r="AR92" i="13"/>
  <c r="AK92" i="13"/>
  <c r="AY92" i="13"/>
  <c r="AO92" i="13"/>
  <c r="AN92" i="13"/>
  <c r="AW92" i="13"/>
  <c r="AJ92" i="13"/>
  <c r="AI92" i="13"/>
  <c r="AQ92" i="13"/>
  <c r="AM92" i="13"/>
  <c r="AZ92" i="13"/>
  <c r="AP92" i="13"/>
  <c r="AS92" i="13"/>
  <c r="AX92" i="13"/>
  <c r="BA92" i="13"/>
  <c r="AL92" i="13"/>
  <c r="AU92" i="13"/>
  <c r="AV92" i="13"/>
  <c r="AT92" i="13"/>
  <c r="AN96" i="13"/>
  <c r="AM96" i="13"/>
  <c r="AL96" i="13"/>
  <c r="AK96" i="13"/>
  <c r="AJ96" i="13"/>
  <c r="BA96" i="13"/>
  <c r="AO96" i="13"/>
  <c r="AU96" i="13"/>
  <c r="AI96" i="13"/>
  <c r="AT96" i="13"/>
  <c r="AR96" i="13"/>
  <c r="AP96" i="13"/>
  <c r="AY96" i="13"/>
  <c r="AW96" i="13"/>
  <c r="AX96" i="13"/>
  <c r="AQ96" i="13"/>
  <c r="AZ96" i="13"/>
  <c r="AV96" i="13"/>
  <c r="AS96" i="13"/>
  <c r="AZ13" i="13"/>
  <c r="AW13" i="13"/>
  <c r="AP13" i="13"/>
  <c r="AU13" i="13"/>
  <c r="AY13" i="13"/>
  <c r="AX13" i="13"/>
  <c r="AQ13" i="13"/>
  <c r="AJ13" i="13"/>
  <c r="AO13" i="13"/>
  <c r="AM13" i="13"/>
  <c r="AV13" i="13"/>
  <c r="AT13" i="13"/>
  <c r="AR13" i="13"/>
  <c r="AN13" i="13"/>
  <c r="AK13" i="13"/>
  <c r="BA13" i="13"/>
  <c r="AL13" i="13"/>
  <c r="AI13" i="13"/>
  <c r="AS13" i="13"/>
  <c r="AZ6" i="13"/>
  <c r="AY6" i="13"/>
  <c r="AX6" i="13"/>
  <c r="AQ6" i="13"/>
  <c r="AJ6" i="13"/>
  <c r="AT6" i="13"/>
  <c r="AS6" i="13"/>
  <c r="AR6" i="13"/>
  <c r="AK6" i="13"/>
  <c r="AO6" i="13"/>
  <c r="BA6" i="13"/>
  <c r="AW6" i="13"/>
  <c r="AM6" i="13"/>
  <c r="AV6" i="13"/>
  <c r="AN6" i="13"/>
  <c r="AI6" i="13"/>
  <c r="AU6" i="13"/>
  <c r="AL6" i="13"/>
  <c r="AP6" i="13"/>
  <c r="AM7" i="13"/>
  <c r="AW7" i="13"/>
  <c r="AV7" i="13"/>
  <c r="BA7" i="13"/>
  <c r="AT7" i="13"/>
  <c r="AX7" i="13"/>
  <c r="AQ7" i="13"/>
  <c r="AP7" i="13"/>
  <c r="AU7" i="13"/>
  <c r="AL7" i="13"/>
  <c r="AZ7" i="13"/>
  <c r="AY7" i="13"/>
  <c r="AK7" i="13"/>
  <c r="AO7" i="13"/>
  <c r="AJ7" i="13"/>
  <c r="AS7" i="13"/>
  <c r="AI7" i="13"/>
  <c r="AR7" i="13"/>
  <c r="AN7" i="13"/>
  <c r="BA11" i="13"/>
  <c r="AZ11" i="13"/>
  <c r="AY11" i="13"/>
  <c r="AR11" i="13"/>
  <c r="AQ11" i="13"/>
  <c r="AU11" i="13"/>
  <c r="AT11" i="13"/>
  <c r="AS11" i="13"/>
  <c r="AL11" i="13"/>
  <c r="AK11" i="13"/>
  <c r="AO11" i="13"/>
  <c r="AN11" i="13"/>
  <c r="AM11" i="13"/>
  <c r="AJ11" i="13"/>
  <c r="AV11" i="13"/>
  <c r="AX11" i="13"/>
  <c r="AW11" i="13"/>
  <c r="AP11" i="13"/>
  <c r="AI11" i="13"/>
  <c r="AK15" i="13"/>
  <c r="BA15" i="13"/>
  <c r="AL15" i="13"/>
  <c r="AR15" i="13"/>
  <c r="AX15" i="13"/>
  <c r="AW15" i="13"/>
  <c r="AJ15" i="13"/>
  <c r="AZ15" i="13"/>
  <c r="AS15" i="13"/>
  <c r="AQ15" i="13"/>
  <c r="AU15" i="13"/>
  <c r="AT15" i="13"/>
  <c r="AM15" i="13"/>
  <c r="AO15" i="13"/>
  <c r="AP15" i="13"/>
  <c r="AI15" i="13"/>
  <c r="AN15" i="13"/>
  <c r="AV15" i="13"/>
  <c r="AY15" i="13"/>
  <c r="AY19" i="13"/>
  <c r="AR19" i="13"/>
  <c r="AK19" i="13"/>
  <c r="AJ19" i="13"/>
  <c r="AO19" i="13"/>
  <c r="AS19" i="13"/>
  <c r="AL19" i="13"/>
  <c r="AT19" i="13"/>
  <c r="AN19" i="13"/>
  <c r="AI19" i="13"/>
  <c r="AQ19" i="13"/>
  <c r="AU19" i="13"/>
  <c r="AM19" i="13"/>
  <c r="AV19" i="13"/>
  <c r="AZ19" i="13"/>
  <c r="AW19" i="13"/>
  <c r="AP19" i="13"/>
  <c r="AX19" i="13"/>
  <c r="BA19" i="13"/>
  <c r="AO23" i="13"/>
  <c r="AT23" i="13"/>
  <c r="AM23" i="13"/>
  <c r="AJ23" i="13"/>
  <c r="AV23" i="13"/>
  <c r="AI23" i="13"/>
  <c r="AN23" i="13"/>
  <c r="AX23" i="13"/>
  <c r="AW23" i="13"/>
  <c r="AP23" i="13"/>
  <c r="AR23" i="13"/>
  <c r="AZ23" i="13"/>
  <c r="AL23" i="13"/>
  <c r="AS23" i="13"/>
  <c r="BA23" i="13"/>
  <c r="AQ23" i="13"/>
  <c r="AU23" i="13"/>
  <c r="AK23" i="13"/>
  <c r="AY23" i="13"/>
  <c r="AW27" i="13"/>
  <c r="AV27" i="13"/>
  <c r="AU27" i="13"/>
  <c r="AT27" i="13"/>
  <c r="AS27" i="13"/>
  <c r="AP27" i="13"/>
  <c r="AI27" i="13"/>
  <c r="AY27" i="13"/>
  <c r="AQ27" i="13"/>
  <c r="AJ27" i="13"/>
  <c r="AZ27" i="13"/>
  <c r="AM27" i="13"/>
  <c r="AK27" i="13"/>
  <c r="AN27" i="13"/>
  <c r="AO27" i="13"/>
  <c r="AX27" i="13"/>
  <c r="AL27" i="13"/>
  <c r="AR27" i="13"/>
  <c r="BA27" i="13"/>
  <c r="AM31" i="13"/>
  <c r="AL31" i="13"/>
  <c r="AT31" i="13"/>
  <c r="AZ31" i="13"/>
  <c r="AI31" i="13"/>
  <c r="AN31" i="13"/>
  <c r="AW31" i="13"/>
  <c r="AV31" i="13"/>
  <c r="BA31" i="13"/>
  <c r="AS31" i="13"/>
  <c r="AK31" i="13"/>
  <c r="AO31" i="13"/>
  <c r="AX31" i="13"/>
  <c r="AP31" i="13"/>
  <c r="AY31" i="13"/>
  <c r="AU31" i="13"/>
  <c r="AR31" i="13"/>
  <c r="AJ31" i="13"/>
  <c r="AQ31" i="13"/>
  <c r="BA35" i="13"/>
  <c r="AP35" i="13"/>
  <c r="AY35" i="13"/>
  <c r="AX35" i="13"/>
  <c r="AQ35" i="13"/>
  <c r="AU35" i="13"/>
  <c r="AZ35" i="13"/>
  <c r="AS35" i="13"/>
  <c r="AR35" i="13"/>
  <c r="AK35" i="13"/>
  <c r="AT35" i="13"/>
  <c r="AL35" i="13"/>
  <c r="AN35" i="13"/>
  <c r="AW35" i="13"/>
  <c r="AI35" i="13"/>
  <c r="AM35" i="13"/>
  <c r="AJ35" i="13"/>
  <c r="AO35" i="13"/>
  <c r="AV35" i="13"/>
  <c r="AK39" i="13"/>
  <c r="AJ39" i="13"/>
  <c r="AI39" i="13"/>
  <c r="AN39" i="13"/>
  <c r="AM39" i="13"/>
  <c r="AV39" i="13"/>
  <c r="AO39" i="13"/>
  <c r="AL39" i="13"/>
  <c r="AW39" i="13"/>
  <c r="AP39" i="13"/>
  <c r="AX39" i="13"/>
  <c r="AY39" i="13"/>
  <c r="BA39" i="13"/>
  <c r="AS39" i="13"/>
  <c r="AQ39" i="13"/>
  <c r="AT39" i="13"/>
  <c r="AR39" i="13"/>
  <c r="AU39" i="13"/>
  <c r="AZ39" i="13"/>
  <c r="AY43" i="13"/>
  <c r="AX43" i="13"/>
  <c r="AW43" i="13"/>
  <c r="AP43" i="13"/>
  <c r="AO43" i="13"/>
  <c r="AR43" i="13"/>
  <c r="AK43" i="13"/>
  <c r="AU43" i="13"/>
  <c r="AS43" i="13"/>
  <c r="AL43" i="13"/>
  <c r="AV43" i="13"/>
  <c r="AI43" i="13"/>
  <c r="AZ43" i="13"/>
  <c r="BA43" i="13"/>
  <c r="AN43" i="13"/>
  <c r="AT43" i="13"/>
  <c r="AM43" i="13"/>
  <c r="AQ43" i="13"/>
  <c r="AJ43" i="13"/>
  <c r="AO47" i="13"/>
  <c r="AN47" i="13"/>
  <c r="AV47" i="13"/>
  <c r="AJ47" i="13"/>
  <c r="AP47" i="13"/>
  <c r="AI47" i="13"/>
  <c r="AY47" i="13"/>
  <c r="AX47" i="13"/>
  <c r="AW47" i="13"/>
  <c r="BA47" i="13"/>
  <c r="AS47" i="13"/>
  <c r="AQ47" i="13"/>
  <c r="AU47" i="13"/>
  <c r="AM47" i="13"/>
  <c r="AK47" i="13"/>
  <c r="AL47" i="13"/>
  <c r="AZ47" i="13"/>
  <c r="AR47" i="13"/>
  <c r="AT47" i="13"/>
  <c r="AW51" i="13"/>
  <c r="AV51" i="13"/>
  <c r="AU51" i="13"/>
  <c r="AZ51" i="13"/>
  <c r="AS51" i="13"/>
  <c r="AQ51" i="13"/>
  <c r="AP51" i="13"/>
  <c r="AO51" i="13"/>
  <c r="AT51" i="13"/>
  <c r="AM51" i="13"/>
  <c r="AJ51" i="13"/>
  <c r="AN51" i="13"/>
  <c r="AK51" i="13"/>
  <c r="AL51" i="13"/>
  <c r="AX51" i="13"/>
  <c r="AY51" i="13"/>
  <c r="BA51" i="13"/>
  <c r="AR51" i="13"/>
  <c r="AI51" i="13"/>
  <c r="AM55" i="13"/>
  <c r="AL55" i="13"/>
  <c r="AK55" i="13"/>
  <c r="AJ55" i="13"/>
  <c r="AI55" i="13"/>
  <c r="AX55" i="13"/>
  <c r="AQ55" i="13"/>
  <c r="BA55" i="13"/>
  <c r="AY55" i="13"/>
  <c r="AR55" i="13"/>
  <c r="AZ55" i="13"/>
  <c r="AU55" i="13"/>
  <c r="AW55" i="13"/>
  <c r="AS55" i="13"/>
  <c r="AV55" i="13"/>
  <c r="AT55" i="13"/>
  <c r="AP55" i="13"/>
  <c r="AO55" i="13"/>
  <c r="AN55" i="13"/>
  <c r="BA59" i="13"/>
  <c r="AZ59" i="13"/>
  <c r="AY59" i="13"/>
  <c r="AX59" i="13"/>
  <c r="AQ59" i="13"/>
  <c r="AU59" i="13"/>
  <c r="AT59" i="13"/>
  <c r="AS59" i="13"/>
  <c r="AR59" i="13"/>
  <c r="AK59" i="13"/>
  <c r="AO59" i="13"/>
  <c r="AM59" i="13"/>
  <c r="AP59" i="13"/>
  <c r="AI59" i="13"/>
  <c r="AJ59" i="13"/>
  <c r="AV59" i="13"/>
  <c r="AL59" i="13"/>
  <c r="AN59" i="13"/>
  <c r="AW59" i="13"/>
  <c r="AK63" i="13"/>
  <c r="AR63" i="13"/>
  <c r="AI63" i="13"/>
  <c r="AN63" i="13"/>
  <c r="AL63" i="13"/>
  <c r="AV63" i="13"/>
  <c r="BA63" i="13"/>
  <c r="AX63" i="13"/>
  <c r="AY63" i="13"/>
  <c r="AW63" i="13"/>
  <c r="AU63" i="13"/>
  <c r="AS63" i="13"/>
  <c r="AJ63" i="13"/>
  <c r="AM63" i="13"/>
  <c r="AO63" i="13"/>
  <c r="AQ63" i="13"/>
  <c r="AZ63" i="13"/>
  <c r="AP63" i="13"/>
  <c r="AT63" i="13"/>
  <c r="AO77" i="13"/>
  <c r="AT77" i="13"/>
  <c r="AM77" i="13"/>
  <c r="AL77" i="13"/>
  <c r="AK77" i="13"/>
  <c r="AI77" i="13"/>
  <c r="AN77" i="13"/>
  <c r="AJ77" i="13"/>
  <c r="AP77" i="13"/>
  <c r="AV77" i="13"/>
  <c r="AX77" i="13"/>
  <c r="AZ77" i="13"/>
  <c r="AR77" i="13"/>
  <c r="AU77" i="13"/>
  <c r="AQ77" i="13"/>
  <c r="AY77" i="13"/>
  <c r="BA77" i="13"/>
  <c r="AS77" i="13"/>
  <c r="AW77" i="13"/>
  <c r="AW81" i="13"/>
  <c r="AP81" i="13"/>
  <c r="AO81" i="13"/>
  <c r="AT81" i="13"/>
  <c r="AS81" i="13"/>
  <c r="AQ81" i="13"/>
  <c r="AJ81" i="13"/>
  <c r="AI81" i="13"/>
  <c r="AN81" i="13"/>
  <c r="AM81" i="13"/>
  <c r="AK81" i="13"/>
  <c r="AR81" i="13"/>
  <c r="AL81" i="13"/>
  <c r="AZ81" i="13"/>
  <c r="AV81" i="13"/>
  <c r="AX81" i="13"/>
  <c r="BA81" i="13"/>
  <c r="AY81" i="13"/>
  <c r="AU81" i="13"/>
  <c r="AM85" i="13"/>
  <c r="AX85" i="13"/>
  <c r="AW85" i="13"/>
  <c r="AP85" i="13"/>
  <c r="AU85" i="13"/>
  <c r="AR85" i="13"/>
  <c r="AQ85" i="13"/>
  <c r="AJ85" i="13"/>
  <c r="AO85" i="13"/>
  <c r="AT85" i="13"/>
  <c r="BA85" i="13"/>
  <c r="AY85" i="13"/>
  <c r="AK85" i="13"/>
  <c r="AI85" i="13"/>
  <c r="AN85" i="13"/>
  <c r="AS85" i="13"/>
  <c r="AZ85" i="13"/>
  <c r="AL85" i="13"/>
  <c r="AV85" i="13"/>
  <c r="BA89" i="13"/>
  <c r="AJ89" i="13"/>
  <c r="AY89" i="13"/>
  <c r="AX89" i="13"/>
  <c r="AQ89" i="13"/>
  <c r="AU89" i="13"/>
  <c r="AZ89" i="13"/>
  <c r="AS89" i="13"/>
  <c r="AR89" i="13"/>
  <c r="AK89" i="13"/>
  <c r="AT89" i="13"/>
  <c r="AL89" i="13"/>
  <c r="AN89" i="13"/>
  <c r="AW89" i="13"/>
  <c r="AV89" i="13"/>
  <c r="AO89" i="13"/>
  <c r="AP89" i="13"/>
  <c r="AI89" i="13"/>
  <c r="AM89" i="13"/>
  <c r="AK93" i="13"/>
  <c r="AJ93" i="13"/>
  <c r="AO93" i="13"/>
  <c r="AN93" i="13"/>
  <c r="AM93" i="13"/>
  <c r="AR93" i="13"/>
  <c r="AX93" i="13"/>
  <c r="AI93" i="13"/>
  <c r="AL93" i="13"/>
  <c r="AV93" i="13"/>
  <c r="AZ93" i="13"/>
  <c r="AP93" i="13"/>
  <c r="AY93" i="13"/>
  <c r="BA93" i="13"/>
  <c r="AS93" i="13"/>
  <c r="AW93" i="13"/>
  <c r="AU93" i="13"/>
  <c r="AQ93" i="13"/>
  <c r="AT93" i="13"/>
  <c r="AS97" i="13"/>
  <c r="AL97" i="13"/>
  <c r="AT97" i="13"/>
  <c r="AZ97" i="13"/>
  <c r="AI97" i="13"/>
  <c r="AM97" i="13"/>
  <c r="AW97" i="13"/>
  <c r="AV97" i="13"/>
  <c r="BA97" i="13"/>
  <c r="AN97" i="13"/>
  <c r="AY97" i="13"/>
  <c r="AK97" i="13"/>
  <c r="AO97" i="13"/>
  <c r="AX97" i="13"/>
  <c r="AP97" i="13"/>
  <c r="AQ97" i="13"/>
  <c r="AJ97" i="13"/>
  <c r="AU97" i="13"/>
  <c r="AR97" i="13"/>
  <c r="AQ9" i="13"/>
  <c r="AJ9" i="13"/>
  <c r="AO9" i="13"/>
  <c r="AN9" i="13"/>
  <c r="AM9" i="13"/>
  <c r="AV9" i="13"/>
  <c r="AU9" i="13"/>
  <c r="AR9" i="13"/>
  <c r="AP9" i="13"/>
  <c r="AI9" i="13"/>
  <c r="AY9" i="13"/>
  <c r="AX9" i="13"/>
  <c r="AS9" i="13"/>
  <c r="AZ9" i="13"/>
  <c r="AW9" i="13"/>
  <c r="AT9" i="13"/>
  <c r="AK9" i="13"/>
  <c r="AL9" i="13"/>
  <c r="BA9" i="13"/>
  <c r="AJ10" i="13"/>
  <c r="AO10" i="13"/>
  <c r="AN10" i="13"/>
  <c r="AM10" i="13"/>
  <c r="AK10" i="13"/>
  <c r="AQ10" i="13"/>
  <c r="AI10" i="13"/>
  <c r="AW10" i="13"/>
  <c r="AX10" i="13"/>
  <c r="AV10" i="13"/>
  <c r="AZ10" i="13"/>
  <c r="AR10" i="13"/>
  <c r="AP10" i="13"/>
  <c r="AT10" i="13"/>
  <c r="AL10" i="13"/>
  <c r="BA10" i="13"/>
  <c r="AY10" i="13"/>
  <c r="AS10" i="13"/>
  <c r="AU10" i="13"/>
  <c r="AX8" i="13"/>
  <c r="AW8" i="13"/>
  <c r="AP8" i="13"/>
  <c r="AU8" i="13"/>
  <c r="AT8" i="13"/>
  <c r="AR8" i="13"/>
  <c r="AQ8" i="13"/>
  <c r="AJ8" i="13"/>
  <c r="AO8" i="13"/>
  <c r="AN8" i="13"/>
  <c r="AS8" i="13"/>
  <c r="BA8" i="13"/>
  <c r="AK8" i="13"/>
  <c r="AI8" i="13"/>
  <c r="AY8" i="13"/>
  <c r="AZ8" i="13"/>
  <c r="AL8" i="13"/>
  <c r="AM8" i="13"/>
  <c r="AV8" i="13"/>
  <c r="AT12" i="13"/>
  <c r="AS12" i="13"/>
  <c r="AR12" i="13"/>
  <c r="AQ12" i="13"/>
  <c r="AJ12" i="13"/>
  <c r="AN12" i="13"/>
  <c r="AM12" i="13"/>
  <c r="AL12" i="13"/>
  <c r="AK12" i="13"/>
  <c r="AI12" i="13"/>
  <c r="AZ12" i="13"/>
  <c r="AX12" i="13"/>
  <c r="AP12" i="13"/>
  <c r="AO12" i="13"/>
  <c r="AU12" i="13"/>
  <c r="AV12" i="13"/>
  <c r="AY12" i="13"/>
  <c r="AW12" i="13"/>
  <c r="BA12" i="13"/>
  <c r="AQ16" i="13"/>
  <c r="AI16" i="13"/>
  <c r="AN16" i="13"/>
  <c r="AX16" i="13"/>
  <c r="AV16" i="13"/>
  <c r="BA16" i="13"/>
  <c r="AK16" i="13"/>
  <c r="AY16" i="13"/>
  <c r="AU16" i="13"/>
  <c r="AS16" i="13"/>
  <c r="AW16" i="13"/>
  <c r="AO16" i="13"/>
  <c r="AM16" i="13"/>
  <c r="AP16" i="13"/>
  <c r="AZ16" i="13"/>
  <c r="AR16" i="13"/>
  <c r="AL16" i="13"/>
  <c r="AJ16" i="13"/>
  <c r="AT16" i="13"/>
  <c r="AL20" i="13"/>
  <c r="AK20" i="13"/>
  <c r="AJ20" i="13"/>
  <c r="AI20" i="13"/>
  <c r="AY20" i="13"/>
  <c r="AM20" i="13"/>
  <c r="AS20" i="13"/>
  <c r="BA20" i="13"/>
  <c r="AZ20" i="13"/>
  <c r="AQ20" i="13"/>
  <c r="AO20" i="13"/>
  <c r="AX20" i="13"/>
  <c r="AV20" i="13"/>
  <c r="AT20" i="13"/>
  <c r="AW20" i="13"/>
  <c r="AP20" i="13"/>
  <c r="AU20" i="13"/>
  <c r="AR20" i="13"/>
  <c r="AN20" i="13"/>
  <c r="BA24" i="13"/>
  <c r="AO24" i="13"/>
  <c r="AI24" i="13"/>
  <c r="AV24" i="13"/>
  <c r="AZ24" i="13"/>
  <c r="AY24" i="13"/>
  <c r="AX24" i="13"/>
  <c r="AW24" i="13"/>
  <c r="AP24" i="13"/>
  <c r="AN24" i="13"/>
  <c r="AL24" i="13"/>
  <c r="AU24" i="13"/>
  <c r="AS24" i="13"/>
  <c r="AQ24" i="13"/>
  <c r="AR24" i="13"/>
  <c r="AK24" i="13"/>
  <c r="AM24" i="13"/>
  <c r="AJ24" i="13"/>
  <c r="AT24" i="13"/>
  <c r="AP28" i="13"/>
  <c r="AO28" i="13"/>
  <c r="AT28" i="13"/>
  <c r="AS28" i="13"/>
  <c r="AL28" i="13"/>
  <c r="AJ28" i="13"/>
  <c r="AQ28" i="13"/>
  <c r="AY28" i="13"/>
  <c r="AW28" i="13"/>
  <c r="BA28" i="13"/>
  <c r="AZ28" i="13"/>
  <c r="AM28" i="13"/>
  <c r="AU28" i="13"/>
  <c r="AN28" i="13"/>
  <c r="AX28" i="13"/>
  <c r="AI28" i="13"/>
  <c r="AK28" i="13"/>
  <c r="AR28" i="13"/>
  <c r="AV28" i="13"/>
  <c r="AX32" i="13"/>
  <c r="AQ32" i="13"/>
  <c r="AJ32" i="13"/>
  <c r="AO32" i="13"/>
  <c r="AN32" i="13"/>
  <c r="AW32" i="13"/>
  <c r="AS32" i="13"/>
  <c r="AZ32" i="13"/>
  <c r="BA32" i="13"/>
  <c r="AT32" i="13"/>
  <c r="AK32" i="13"/>
  <c r="AP32" i="13"/>
  <c r="AM32" i="13"/>
  <c r="AR32" i="13"/>
  <c r="AU32" i="13"/>
  <c r="AL32" i="13"/>
  <c r="AI32" i="13"/>
  <c r="AV32" i="13"/>
  <c r="AY32" i="13"/>
  <c r="AT36" i="13"/>
  <c r="AM36" i="13"/>
  <c r="AL36" i="13"/>
  <c r="AK36" i="13"/>
  <c r="AJ36" i="13"/>
  <c r="AN36" i="13"/>
  <c r="AI36" i="13"/>
  <c r="AU36" i="13"/>
  <c r="AO36" i="13"/>
  <c r="BA36" i="13"/>
  <c r="AS36" i="13"/>
  <c r="AQ36" i="13"/>
  <c r="AX36" i="13"/>
  <c r="AV36" i="13"/>
  <c r="AY36" i="13"/>
  <c r="AR36" i="13"/>
  <c r="AZ36" i="13"/>
  <c r="AW36" i="13"/>
  <c r="AP36" i="13"/>
  <c r="BA40" i="13"/>
  <c r="AK40" i="13"/>
  <c r="AY40" i="13"/>
  <c r="AR40" i="13"/>
  <c r="AP40" i="13"/>
  <c r="AI40" i="13"/>
  <c r="AS40" i="13"/>
  <c r="AW40" i="13"/>
  <c r="AJ40" i="13"/>
  <c r="AZ40" i="13"/>
  <c r="AM40" i="13"/>
  <c r="AQ40" i="13"/>
  <c r="AU40" i="13"/>
  <c r="AT40" i="13"/>
  <c r="AX40" i="13"/>
  <c r="AN40" i="13"/>
  <c r="AL40" i="13"/>
  <c r="AV40" i="13"/>
  <c r="AO40" i="13"/>
  <c r="AL44" i="13"/>
  <c r="AV44" i="13"/>
  <c r="BA44" i="13"/>
  <c r="AS44" i="13"/>
  <c r="AY44" i="13"/>
  <c r="AW44" i="13"/>
  <c r="AJ44" i="13"/>
  <c r="AI44" i="13"/>
  <c r="AQ44" i="13"/>
  <c r="AZ44" i="13"/>
  <c r="AM44" i="13"/>
  <c r="AR44" i="13"/>
  <c r="AO44" i="13"/>
  <c r="AK44" i="13"/>
  <c r="AT44" i="13"/>
  <c r="AP44" i="13"/>
  <c r="AN44" i="13"/>
  <c r="AX44" i="13"/>
  <c r="AU44" i="13"/>
  <c r="AO48" i="13"/>
  <c r="AU48" i="13"/>
  <c r="AW48" i="13"/>
  <c r="AV48" i="13"/>
  <c r="AZ48" i="13"/>
  <c r="AY48" i="13"/>
  <c r="AX48" i="13"/>
  <c r="AQ48" i="13"/>
  <c r="AP48" i="13"/>
  <c r="AM48" i="13"/>
  <c r="BA48" i="13"/>
  <c r="AT48" i="13"/>
  <c r="AR48" i="13"/>
  <c r="AJ48" i="13"/>
  <c r="AK48" i="13"/>
  <c r="AN48" i="13"/>
  <c r="AI48" i="13"/>
  <c r="AS48" i="13"/>
  <c r="AL48" i="13"/>
  <c r="AP52" i="13"/>
  <c r="AO52" i="13"/>
  <c r="AT52" i="13"/>
  <c r="AS52" i="13"/>
  <c r="AR52" i="13"/>
  <c r="AV52" i="13"/>
  <c r="AI52" i="13"/>
  <c r="AW52" i="13"/>
  <c r="AX52" i="13"/>
  <c r="AJ52" i="13"/>
  <c r="AK52" i="13"/>
  <c r="AY52" i="13"/>
  <c r="AL52" i="13"/>
  <c r="BA52" i="13"/>
  <c r="AZ52" i="13"/>
  <c r="AM52" i="13"/>
  <c r="AQ52" i="13"/>
  <c r="AN52" i="13"/>
  <c r="AU52" i="13"/>
  <c r="AX56" i="13"/>
  <c r="AQ56" i="13"/>
  <c r="AJ56" i="13"/>
  <c r="AI56" i="13"/>
  <c r="AS56" i="13"/>
  <c r="AL56" i="13"/>
  <c r="AP56" i="13"/>
  <c r="AZ56" i="13"/>
  <c r="AY56" i="13"/>
  <c r="BA56" i="13"/>
  <c r="AT56" i="13"/>
  <c r="AW56" i="13"/>
  <c r="AV56" i="13"/>
  <c r="AM56" i="13"/>
  <c r="AU56" i="13"/>
  <c r="AR56" i="13"/>
  <c r="AO56" i="13"/>
  <c r="AK56" i="13"/>
  <c r="AN56" i="13"/>
  <c r="AT60" i="13"/>
  <c r="AS60" i="13"/>
  <c r="AL60" i="13"/>
  <c r="AK60" i="13"/>
  <c r="AI60" i="13"/>
  <c r="AN60" i="13"/>
  <c r="AM60" i="13"/>
  <c r="BA60" i="13"/>
  <c r="AV60" i="13"/>
  <c r="AU60" i="13"/>
  <c r="AZ60" i="13"/>
  <c r="AR60" i="13"/>
  <c r="AJ60" i="13"/>
  <c r="AO60" i="13"/>
  <c r="AW60" i="13"/>
  <c r="AX60" i="13"/>
  <c r="AQ60" i="13"/>
  <c r="AY60" i="13"/>
  <c r="AP60" i="13"/>
  <c r="AY78" i="13"/>
  <c r="AX78" i="13"/>
  <c r="AQ78" i="13"/>
  <c r="AJ78" i="13"/>
  <c r="AZ78" i="13"/>
  <c r="AS78" i="13"/>
  <c r="AR78" i="13"/>
  <c r="AK78" i="13"/>
  <c r="BA78" i="13"/>
  <c r="AN78" i="13"/>
  <c r="AW78" i="13"/>
  <c r="AO78" i="13"/>
  <c r="AM78" i="13"/>
  <c r="AV78" i="13"/>
  <c r="AT78" i="13"/>
  <c r="AI78" i="13"/>
  <c r="AU78" i="13"/>
  <c r="AP78" i="13"/>
  <c r="AL78" i="13"/>
  <c r="AP82" i="13"/>
  <c r="AU82" i="13"/>
  <c r="AZ82" i="13"/>
  <c r="AS82" i="13"/>
  <c r="AL82" i="13"/>
  <c r="BA82" i="13"/>
  <c r="AT82" i="13"/>
  <c r="AX82" i="13"/>
  <c r="AV82" i="13"/>
  <c r="AO82" i="13"/>
  <c r="AN82" i="13"/>
  <c r="AR82" i="13"/>
  <c r="AJ82" i="13"/>
  <c r="AI82" i="13"/>
  <c r="AY82" i="13"/>
  <c r="AW82" i="13"/>
  <c r="AQ82" i="13"/>
  <c r="AK82" i="13"/>
  <c r="AM82" i="13"/>
  <c r="AX86" i="13"/>
  <c r="AW86" i="13"/>
  <c r="AP86" i="13"/>
  <c r="AU86" i="13"/>
  <c r="AT86" i="13"/>
  <c r="AR86" i="13"/>
  <c r="AK86" i="13"/>
  <c r="BA86" i="13"/>
  <c r="AN86" i="13"/>
  <c r="AL86" i="13"/>
  <c r="AV86" i="13"/>
  <c r="AO86" i="13"/>
  <c r="AY86" i="13"/>
  <c r="AQ86" i="13"/>
  <c r="AZ86" i="13"/>
  <c r="AJ86" i="13"/>
  <c r="AS86" i="13"/>
  <c r="AI86" i="13"/>
  <c r="AM86" i="13"/>
  <c r="AT90" i="13"/>
  <c r="AM90" i="13"/>
  <c r="AI90" i="13"/>
  <c r="BA90" i="13"/>
  <c r="AU90" i="13"/>
  <c r="AN90" i="13"/>
  <c r="AX90" i="13"/>
  <c r="AW90" i="13"/>
  <c r="AV90" i="13"/>
  <c r="AO90" i="13"/>
  <c r="AS90" i="13"/>
  <c r="AK90" i="13"/>
  <c r="AR90" i="13"/>
  <c r="AP90" i="13"/>
  <c r="AQ90" i="13"/>
  <c r="AZ90" i="13"/>
  <c r="AJ90" i="13"/>
  <c r="AL90" i="13"/>
  <c r="AY90" i="13"/>
  <c r="BA94" i="13"/>
  <c r="AZ94" i="13"/>
  <c r="AY94" i="13"/>
  <c r="AR94" i="13"/>
  <c r="AU94" i="13"/>
  <c r="AN94" i="13"/>
  <c r="AX94" i="13"/>
  <c r="AV94" i="13"/>
  <c r="AP94" i="13"/>
  <c r="AI94" i="13"/>
  <c r="AS94" i="13"/>
  <c r="AK94" i="13"/>
  <c r="AO94" i="13"/>
  <c r="AL94" i="13"/>
  <c r="AM94" i="13"/>
  <c r="AT94" i="13"/>
  <c r="AW94" i="13"/>
  <c r="AQ94" i="13"/>
  <c r="AJ94" i="13"/>
  <c r="AL98" i="13"/>
  <c r="AK98" i="13"/>
  <c r="AS98" i="13"/>
  <c r="AI98" i="13"/>
  <c r="AY98" i="13"/>
  <c r="AX98" i="13"/>
  <c r="AQ98" i="13"/>
  <c r="BA98" i="13"/>
  <c r="AT98" i="13"/>
  <c r="AR98" i="13"/>
  <c r="AV98" i="13"/>
  <c r="AU98" i="13"/>
  <c r="AN98" i="13"/>
  <c r="AJ98" i="13"/>
  <c r="AM98" i="13"/>
  <c r="AO98" i="13"/>
  <c r="AW98" i="13"/>
  <c r="AZ98" i="13"/>
  <c r="AP98" i="13"/>
  <c r="BP5" i="13"/>
  <c r="BO5" i="13"/>
  <c r="BN5" i="13"/>
  <c r="BM5" i="13"/>
  <c r="BL5" i="13"/>
  <c r="BJ5" i="13"/>
  <c r="BI5" i="13"/>
  <c r="BH5" i="13"/>
  <c r="BG5" i="13"/>
  <c r="BF5" i="13"/>
  <c r="BV5" i="13"/>
  <c r="BT5" i="13"/>
  <c r="BR5" i="13"/>
  <c r="BE5" i="13"/>
  <c r="BK5" i="13"/>
  <c r="BU5" i="13"/>
  <c r="BS5" i="13"/>
  <c r="BD5" i="13"/>
  <c r="BQ5" i="13"/>
  <c r="BT9" i="13"/>
  <c r="BM9" i="13"/>
  <c r="BF9" i="13"/>
  <c r="BV9" i="13"/>
  <c r="BU9" i="13"/>
  <c r="BN9" i="13"/>
  <c r="BG9" i="13"/>
  <c r="BQ9" i="13"/>
  <c r="BP9" i="13"/>
  <c r="BS9" i="13"/>
  <c r="BE9" i="13"/>
  <c r="BO9" i="13"/>
  <c r="BR9" i="13"/>
  <c r="BJ9" i="13"/>
  <c r="BK9" i="13"/>
  <c r="BI9" i="13"/>
  <c r="BD9" i="13"/>
  <c r="BH9" i="13"/>
  <c r="BL9" i="13"/>
  <c r="BV13" i="13"/>
  <c r="BU13" i="13"/>
  <c r="BN13" i="13"/>
  <c r="BG13" i="13"/>
  <c r="BE13" i="13"/>
  <c r="BO13" i="13"/>
  <c r="BS13" i="13"/>
  <c r="BF13" i="13"/>
  <c r="BQ13" i="13"/>
  <c r="BJ13" i="13"/>
  <c r="BT13" i="13"/>
  <c r="BR13" i="13"/>
  <c r="BK13" i="13"/>
  <c r="BD13" i="13"/>
  <c r="BH13" i="13"/>
  <c r="BL13" i="13"/>
  <c r="BP13" i="13"/>
  <c r="BI13" i="13"/>
  <c r="BM13" i="13"/>
  <c r="BR17" i="13"/>
  <c r="BK17" i="13"/>
  <c r="BJ17" i="13"/>
  <c r="BI17" i="13"/>
  <c r="BS17" i="13"/>
  <c r="BL17" i="13"/>
  <c r="BE17" i="13"/>
  <c r="BD17" i="13"/>
  <c r="BT17" i="13"/>
  <c r="BG17" i="13"/>
  <c r="BP17" i="13"/>
  <c r="BH17" i="13"/>
  <c r="BF17" i="13"/>
  <c r="BU17" i="13"/>
  <c r="BQ17" i="13"/>
  <c r="BO17" i="13"/>
  <c r="BN17" i="13"/>
  <c r="BM17" i="13"/>
  <c r="BV17" i="13"/>
  <c r="BO21" i="13"/>
  <c r="BH21" i="13"/>
  <c r="BR21" i="13"/>
  <c r="BK21" i="13"/>
  <c r="BJ21" i="13"/>
  <c r="BI21" i="13"/>
  <c r="BS21" i="13"/>
  <c r="BL21" i="13"/>
  <c r="BE21" i="13"/>
  <c r="BD21" i="13"/>
  <c r="BU21" i="13"/>
  <c r="BG21" i="13"/>
  <c r="BP21" i="13"/>
  <c r="BT21" i="13"/>
  <c r="BF21" i="13"/>
  <c r="BM21" i="13"/>
  <c r="BQ21" i="13"/>
  <c r="BV21" i="13"/>
  <c r="BN21" i="13"/>
  <c r="BK25" i="13"/>
  <c r="BJ25" i="13"/>
  <c r="BI25" i="13"/>
  <c r="BS25" i="13"/>
  <c r="BL25" i="13"/>
  <c r="BE25" i="13"/>
  <c r="BU25" i="13"/>
  <c r="BH25" i="13"/>
  <c r="BF25" i="13"/>
  <c r="BP25" i="13"/>
  <c r="BT25" i="13"/>
  <c r="BG25" i="13"/>
  <c r="BN25" i="13"/>
  <c r="BQ25" i="13"/>
  <c r="BD25" i="13"/>
  <c r="BR25" i="13"/>
  <c r="BV25" i="13"/>
  <c r="BO25" i="13"/>
  <c r="BM25" i="13"/>
  <c r="BM29" i="13"/>
  <c r="BF29" i="13"/>
  <c r="BV29" i="13"/>
  <c r="BU29" i="13"/>
  <c r="BN29" i="13"/>
  <c r="BG29" i="13"/>
  <c r="BQ29" i="13"/>
  <c r="BP29" i="13"/>
  <c r="BO29" i="13"/>
  <c r="BH29" i="13"/>
  <c r="BL29" i="13"/>
  <c r="BD29" i="13"/>
  <c r="BK29" i="13"/>
  <c r="BI29" i="13"/>
  <c r="BS29" i="13"/>
  <c r="BE29" i="13"/>
  <c r="BT29" i="13"/>
  <c r="BJ29" i="13"/>
  <c r="BR29" i="13"/>
  <c r="BT33" i="13"/>
  <c r="BM33" i="13"/>
  <c r="BF33" i="13"/>
  <c r="BV33" i="13"/>
  <c r="BU33" i="13"/>
  <c r="BN33" i="13"/>
  <c r="BG33" i="13"/>
  <c r="BQ33" i="13"/>
  <c r="BP33" i="13"/>
  <c r="BI33" i="13"/>
  <c r="BL33" i="13"/>
  <c r="BD33" i="13"/>
  <c r="BH33" i="13"/>
  <c r="BK33" i="13"/>
  <c r="BO33" i="13"/>
  <c r="BJ33" i="13"/>
  <c r="BS33" i="13"/>
  <c r="BR33" i="13"/>
  <c r="BE33" i="13"/>
  <c r="BV37" i="13"/>
  <c r="BU37" i="13"/>
  <c r="BN37" i="13"/>
  <c r="BG37" i="13"/>
  <c r="BK37" i="13"/>
  <c r="BD37" i="13"/>
  <c r="BH37" i="13"/>
  <c r="BL37" i="13"/>
  <c r="BP37" i="13"/>
  <c r="BI37" i="13"/>
  <c r="BM37" i="13"/>
  <c r="BJ37" i="13"/>
  <c r="BQ37" i="13"/>
  <c r="BT37" i="13"/>
  <c r="BR37" i="13"/>
  <c r="BO37" i="13"/>
  <c r="BS37" i="13"/>
  <c r="BF37" i="13"/>
  <c r="BE37" i="13"/>
  <c r="BR41" i="13"/>
  <c r="BK41" i="13"/>
  <c r="BJ41" i="13"/>
  <c r="BI41" i="13"/>
  <c r="BS41" i="13"/>
  <c r="BL41" i="13"/>
  <c r="BE41" i="13"/>
  <c r="BD41" i="13"/>
  <c r="BT41" i="13"/>
  <c r="BQ41" i="13"/>
  <c r="BO41" i="13"/>
  <c r="BM41" i="13"/>
  <c r="BV41" i="13"/>
  <c r="BN41" i="13"/>
  <c r="BG41" i="13"/>
  <c r="BP41" i="13"/>
  <c r="BH41" i="13"/>
  <c r="BF41" i="13"/>
  <c r="BU41" i="13"/>
  <c r="BO45" i="13"/>
  <c r="BH45" i="13"/>
  <c r="BR45" i="13"/>
  <c r="BK45" i="13"/>
  <c r="BJ45" i="13"/>
  <c r="BI45" i="13"/>
  <c r="BS45" i="13"/>
  <c r="BL45" i="13"/>
  <c r="BE45" i="13"/>
  <c r="BD45" i="13"/>
  <c r="BN45" i="13"/>
  <c r="BQ45" i="13"/>
  <c r="BM45" i="13"/>
  <c r="BV45" i="13"/>
  <c r="BF45" i="13"/>
  <c r="BU45" i="13"/>
  <c r="BP45" i="13"/>
  <c r="BT45" i="13"/>
  <c r="BG45" i="13"/>
  <c r="BK49" i="13"/>
  <c r="BJ49" i="13"/>
  <c r="BI49" i="13"/>
  <c r="BS49" i="13"/>
  <c r="BL49" i="13"/>
  <c r="BQ49" i="13"/>
  <c r="BD49" i="13"/>
  <c r="BN49" i="13"/>
  <c r="BR49" i="13"/>
  <c r="BV49" i="13"/>
  <c r="BO49" i="13"/>
  <c r="BM49" i="13"/>
  <c r="BT49" i="13"/>
  <c r="BP49" i="13"/>
  <c r="BG49" i="13"/>
  <c r="BH49" i="13"/>
  <c r="BF49" i="13"/>
  <c r="BE49" i="13"/>
  <c r="BU49" i="13"/>
  <c r="BM53" i="13"/>
  <c r="BF53" i="13"/>
  <c r="BV53" i="13"/>
  <c r="BU53" i="13"/>
  <c r="BN53" i="13"/>
  <c r="BG53" i="13"/>
  <c r="BQ53" i="13"/>
  <c r="BP53" i="13"/>
  <c r="BO53" i="13"/>
  <c r="BH53" i="13"/>
  <c r="BS53" i="13"/>
  <c r="BE53" i="13"/>
  <c r="BT53" i="13"/>
  <c r="BR53" i="13"/>
  <c r="BJ53" i="13"/>
  <c r="BL53" i="13"/>
  <c r="BD53" i="13"/>
  <c r="BK53" i="13"/>
  <c r="BI53" i="13"/>
  <c r="BT57" i="13"/>
  <c r="BM57" i="13"/>
  <c r="BF57" i="13"/>
  <c r="BV57" i="13"/>
  <c r="BU57" i="13"/>
  <c r="BN57" i="13"/>
  <c r="BG57" i="13"/>
  <c r="BQ57" i="13"/>
  <c r="BP57" i="13"/>
  <c r="BS57" i="13"/>
  <c r="BE57" i="13"/>
  <c r="BO57" i="13"/>
  <c r="BR57" i="13"/>
  <c r="BJ57" i="13"/>
  <c r="BH57" i="13"/>
  <c r="BL57" i="13"/>
  <c r="BK57" i="13"/>
  <c r="BI57" i="13"/>
  <c r="BD57" i="13"/>
  <c r="BV61" i="13"/>
  <c r="BU61" i="13"/>
  <c r="BN61" i="13"/>
  <c r="BG61" i="13"/>
  <c r="BQ61" i="13"/>
  <c r="BJ61" i="13"/>
  <c r="BT61" i="13"/>
  <c r="BR61" i="13"/>
  <c r="BE61" i="13"/>
  <c r="BO61" i="13"/>
  <c r="BS61" i="13"/>
  <c r="BF61" i="13"/>
  <c r="BP61" i="13"/>
  <c r="BM61" i="13"/>
  <c r="BI61" i="13"/>
  <c r="BL61" i="13"/>
  <c r="BD61" i="13"/>
  <c r="BK61" i="13"/>
  <c r="BH61" i="13"/>
  <c r="BO75" i="13"/>
  <c r="BH75" i="13"/>
  <c r="BR75" i="13"/>
  <c r="BK75" i="13"/>
  <c r="BJ75" i="13"/>
  <c r="BI75" i="13"/>
  <c r="BS75" i="13"/>
  <c r="BL75" i="13"/>
  <c r="BE75" i="13"/>
  <c r="BD75" i="13"/>
  <c r="BU75" i="13"/>
  <c r="BG75" i="13"/>
  <c r="BP75" i="13"/>
  <c r="BT75" i="13"/>
  <c r="BF75" i="13"/>
  <c r="BV75" i="13"/>
  <c r="BN75" i="13"/>
  <c r="BM75" i="13"/>
  <c r="BQ75" i="13"/>
  <c r="BK79" i="13"/>
  <c r="BJ79" i="13"/>
  <c r="BI79" i="13"/>
  <c r="BS79" i="13"/>
  <c r="BL79" i="13"/>
  <c r="BP79" i="13"/>
  <c r="BT79" i="13"/>
  <c r="BG79" i="13"/>
  <c r="BE79" i="13"/>
  <c r="BU79" i="13"/>
  <c r="BH79" i="13"/>
  <c r="BF79" i="13"/>
  <c r="BO79" i="13"/>
  <c r="BV79" i="13"/>
  <c r="BM79" i="13"/>
  <c r="BQ79" i="13"/>
  <c r="BD79" i="13"/>
  <c r="BN79" i="13"/>
  <c r="BR79" i="13"/>
  <c r="BM83" i="13"/>
  <c r="BF83" i="13"/>
  <c r="BV83" i="13"/>
  <c r="BU83" i="13"/>
  <c r="BN83" i="13"/>
  <c r="BG83" i="13"/>
  <c r="BQ83" i="13"/>
  <c r="BP83" i="13"/>
  <c r="BO83" i="13"/>
  <c r="BH83" i="13"/>
  <c r="BL83" i="13"/>
  <c r="BD83" i="13"/>
  <c r="BK83" i="13"/>
  <c r="BI83" i="13"/>
  <c r="BS83" i="13"/>
  <c r="BE83" i="13"/>
  <c r="BT83" i="13"/>
  <c r="BR83" i="13"/>
  <c r="BJ83" i="13"/>
  <c r="BT87" i="13"/>
  <c r="BM87" i="13"/>
  <c r="BF87" i="13"/>
  <c r="BV87" i="13"/>
  <c r="BU87" i="13"/>
  <c r="BN87" i="13"/>
  <c r="BG87" i="13"/>
  <c r="BQ87" i="13"/>
  <c r="BP87" i="13"/>
  <c r="BI87" i="13"/>
  <c r="BL87" i="13"/>
  <c r="BD87" i="13"/>
  <c r="BH87" i="13"/>
  <c r="BK87" i="13"/>
  <c r="BR87" i="13"/>
  <c r="BE87" i="13"/>
  <c r="BO87" i="13"/>
  <c r="BJ87" i="13"/>
  <c r="BS87" i="13"/>
  <c r="BV91" i="13"/>
  <c r="BU91" i="13"/>
  <c r="BN91" i="13"/>
  <c r="BG91" i="13"/>
  <c r="BP91" i="13"/>
  <c r="BI91" i="13"/>
  <c r="BM91" i="13"/>
  <c r="BK91" i="13"/>
  <c r="BD91" i="13"/>
  <c r="BH91" i="13"/>
  <c r="BL91" i="13"/>
  <c r="BO91" i="13"/>
  <c r="BS91" i="13"/>
  <c r="BE91" i="13"/>
  <c r="BF91" i="13"/>
  <c r="BJ91" i="13"/>
  <c r="BT91" i="13"/>
  <c r="BR91" i="13"/>
  <c r="BQ91" i="13"/>
  <c r="BR95" i="13"/>
  <c r="BK95" i="13"/>
  <c r="BJ95" i="13"/>
  <c r="BI95" i="13"/>
  <c r="BS95" i="13"/>
  <c r="BL95" i="13"/>
  <c r="BE95" i="13"/>
  <c r="BD95" i="13"/>
  <c r="BT95" i="13"/>
  <c r="BQ95" i="13"/>
  <c r="BO95" i="13"/>
  <c r="BM95" i="13"/>
  <c r="BV95" i="13"/>
  <c r="BN95" i="13"/>
  <c r="BG95" i="13"/>
  <c r="BP95" i="13"/>
  <c r="BH95" i="13"/>
  <c r="BU95" i="13"/>
  <c r="BF95" i="13"/>
  <c r="BQ6" i="13"/>
  <c r="BP6" i="13"/>
  <c r="BO6" i="13"/>
  <c r="BH6" i="13"/>
  <c r="BR6" i="13"/>
  <c r="BK6" i="13"/>
  <c r="BJ6" i="13"/>
  <c r="BI6" i="13"/>
  <c r="BS6" i="13"/>
  <c r="BL6" i="13"/>
  <c r="BD6" i="13"/>
  <c r="BM6" i="13"/>
  <c r="BE6" i="13"/>
  <c r="BT6" i="13"/>
  <c r="BV6" i="13"/>
  <c r="BN6" i="13"/>
  <c r="BF6" i="13"/>
  <c r="BU6" i="13"/>
  <c r="BG6" i="13"/>
  <c r="BN10" i="13"/>
  <c r="BG10" i="13"/>
  <c r="BQ10" i="13"/>
  <c r="BP10" i="13"/>
  <c r="BO10" i="13"/>
  <c r="BH10" i="13"/>
  <c r="BL10" i="13"/>
  <c r="BV10" i="13"/>
  <c r="BI10" i="13"/>
  <c r="BT10" i="13"/>
  <c r="BR10" i="13"/>
  <c r="BE10" i="13"/>
  <c r="BU10" i="13"/>
  <c r="BS10" i="13"/>
  <c r="BJ10" i="13"/>
  <c r="BM10" i="13"/>
  <c r="BD10" i="13"/>
  <c r="BK10" i="13"/>
  <c r="BF10" i="13"/>
  <c r="BV14" i="13"/>
  <c r="BU14" i="13"/>
  <c r="BN14" i="13"/>
  <c r="BG14" i="13"/>
  <c r="BQ14" i="13"/>
  <c r="BO14" i="13"/>
  <c r="BS14" i="13"/>
  <c r="BF14" i="13"/>
  <c r="BP14" i="13"/>
  <c r="BI14" i="13"/>
  <c r="BM14" i="13"/>
  <c r="BK14" i="13"/>
  <c r="BD14" i="13"/>
  <c r="BL14" i="13"/>
  <c r="BT14" i="13"/>
  <c r="BE14" i="13"/>
  <c r="BH14" i="13"/>
  <c r="BJ14" i="13"/>
  <c r="BR14" i="13"/>
  <c r="BL18" i="13"/>
  <c r="BE18" i="13"/>
  <c r="BD18" i="13"/>
  <c r="BT18" i="13"/>
  <c r="BM18" i="13"/>
  <c r="BF18" i="13"/>
  <c r="BV18" i="13"/>
  <c r="BU18" i="13"/>
  <c r="BN18" i="13"/>
  <c r="BG18" i="13"/>
  <c r="BQ18" i="13"/>
  <c r="BO18" i="13"/>
  <c r="BI18" i="13"/>
  <c r="BP18" i="13"/>
  <c r="BH18" i="13"/>
  <c r="BR18" i="13"/>
  <c r="BJ18" i="13"/>
  <c r="BS18" i="13"/>
  <c r="BK18" i="13"/>
  <c r="BS22" i="13"/>
  <c r="BL22" i="13"/>
  <c r="BE22" i="13"/>
  <c r="BD22" i="13"/>
  <c r="BN22" i="13"/>
  <c r="BR22" i="13"/>
  <c r="BV22" i="13"/>
  <c r="BO22" i="13"/>
  <c r="BT22" i="13"/>
  <c r="BG22" i="13"/>
  <c r="BK22" i="13"/>
  <c r="BU22" i="13"/>
  <c r="BF22" i="13"/>
  <c r="BI22" i="13"/>
  <c r="BQ22" i="13"/>
  <c r="BM22" i="13"/>
  <c r="BJ22" i="13"/>
  <c r="BP22" i="13"/>
  <c r="BH22" i="13"/>
  <c r="BJ26" i="13"/>
  <c r="BI26" i="13"/>
  <c r="BS26" i="13"/>
  <c r="BL26" i="13"/>
  <c r="BE26" i="13"/>
  <c r="BU26" i="13"/>
  <c r="BH26" i="13"/>
  <c r="BF26" i="13"/>
  <c r="BV26" i="13"/>
  <c r="BO26" i="13"/>
  <c r="BM26" i="13"/>
  <c r="BQ26" i="13"/>
  <c r="BN26" i="13"/>
  <c r="BP26" i="13"/>
  <c r="BG26" i="13"/>
  <c r="BD26" i="13"/>
  <c r="BR26" i="13"/>
  <c r="BT26" i="13"/>
  <c r="BK26" i="13"/>
  <c r="BQ30" i="13"/>
  <c r="BP30" i="13"/>
  <c r="BO30" i="13"/>
  <c r="BH30" i="13"/>
  <c r="BR30" i="13"/>
  <c r="BK30" i="13"/>
  <c r="BJ30" i="13"/>
  <c r="BI30" i="13"/>
  <c r="BS30" i="13"/>
  <c r="BE30" i="13"/>
  <c r="BT30" i="13"/>
  <c r="BN30" i="13"/>
  <c r="BL30" i="13"/>
  <c r="BD30" i="13"/>
  <c r="BM30" i="13"/>
  <c r="BV30" i="13"/>
  <c r="BF30" i="13"/>
  <c r="BU30" i="13"/>
  <c r="BG30" i="13"/>
  <c r="BN34" i="13"/>
  <c r="BG34" i="13"/>
  <c r="BQ34" i="13"/>
  <c r="BP34" i="13"/>
  <c r="BO34" i="13"/>
  <c r="BT34" i="13"/>
  <c r="BR34" i="13"/>
  <c r="BE34" i="13"/>
  <c r="BU34" i="13"/>
  <c r="BM34" i="13"/>
  <c r="BK34" i="13"/>
  <c r="BD34" i="13"/>
  <c r="BH34" i="13"/>
  <c r="BV34" i="13"/>
  <c r="BS34" i="13"/>
  <c r="BJ34" i="13"/>
  <c r="BF34" i="13"/>
  <c r="BI34" i="13"/>
  <c r="BL34" i="13"/>
  <c r="BV38" i="13"/>
  <c r="BU38" i="13"/>
  <c r="BN38" i="13"/>
  <c r="BG38" i="13"/>
  <c r="BQ38" i="13"/>
  <c r="BD38" i="13"/>
  <c r="BH38" i="13"/>
  <c r="BL38" i="13"/>
  <c r="BO38" i="13"/>
  <c r="BS38" i="13"/>
  <c r="BF38" i="13"/>
  <c r="BJ38" i="13"/>
  <c r="BR38" i="13"/>
  <c r="BI38" i="13"/>
  <c r="BK38" i="13"/>
  <c r="BT38" i="13"/>
  <c r="BE38" i="13"/>
  <c r="BP38" i="13"/>
  <c r="BM38" i="13"/>
  <c r="BL42" i="13"/>
  <c r="BE42" i="13"/>
  <c r="BD42" i="13"/>
  <c r="BT42" i="13"/>
  <c r="BM42" i="13"/>
  <c r="BF42" i="13"/>
  <c r="BV42" i="13"/>
  <c r="BU42" i="13"/>
  <c r="BN42" i="13"/>
  <c r="BG42" i="13"/>
  <c r="BP42" i="13"/>
  <c r="BH42" i="13"/>
  <c r="BS42" i="13"/>
  <c r="BQ42" i="13"/>
  <c r="BO42" i="13"/>
  <c r="BR42" i="13"/>
  <c r="BK42" i="13"/>
  <c r="BI42" i="13"/>
  <c r="BJ42" i="13"/>
  <c r="BS46" i="13"/>
  <c r="BL46" i="13"/>
  <c r="BE46" i="13"/>
  <c r="BD46" i="13"/>
  <c r="BT46" i="13"/>
  <c r="BG46" i="13"/>
  <c r="BK46" i="13"/>
  <c r="BU46" i="13"/>
  <c r="BM46" i="13"/>
  <c r="BQ46" i="13"/>
  <c r="BJ46" i="13"/>
  <c r="BR46" i="13"/>
  <c r="BO46" i="13"/>
  <c r="BF46" i="13"/>
  <c r="BI46" i="13"/>
  <c r="BH46" i="13"/>
  <c r="BP46" i="13"/>
  <c r="BN46" i="13"/>
  <c r="BV46" i="13"/>
  <c r="BJ50" i="13"/>
  <c r="BI50" i="13"/>
  <c r="BS50" i="13"/>
  <c r="BL50" i="13"/>
  <c r="BE50" i="13"/>
  <c r="BD50" i="13"/>
  <c r="BN50" i="13"/>
  <c r="BR50" i="13"/>
  <c r="BU50" i="13"/>
  <c r="BH50" i="13"/>
  <c r="BF50" i="13"/>
  <c r="BT50" i="13"/>
  <c r="BK50" i="13"/>
  <c r="BV50" i="13"/>
  <c r="BM50" i="13"/>
  <c r="BP50" i="13"/>
  <c r="BG50" i="13"/>
  <c r="BO50" i="13"/>
  <c r="BQ50" i="13"/>
  <c r="BQ54" i="13"/>
  <c r="BP54" i="13"/>
  <c r="BO54" i="13"/>
  <c r="BH54" i="13"/>
  <c r="BR54" i="13"/>
  <c r="BK54" i="13"/>
  <c r="BJ54" i="13"/>
  <c r="BI54" i="13"/>
  <c r="BS54" i="13"/>
  <c r="BL54" i="13"/>
  <c r="BD54" i="13"/>
  <c r="BM54" i="13"/>
  <c r="BF54" i="13"/>
  <c r="BE54" i="13"/>
  <c r="BT54" i="13"/>
  <c r="BU54" i="13"/>
  <c r="BV54" i="13"/>
  <c r="BN54" i="13"/>
  <c r="BG54" i="13"/>
  <c r="BN58" i="13"/>
  <c r="BG58" i="13"/>
  <c r="BQ58" i="13"/>
  <c r="BP58" i="13"/>
  <c r="BO58" i="13"/>
  <c r="BM58" i="13"/>
  <c r="BK58" i="13"/>
  <c r="BD58" i="13"/>
  <c r="BS58" i="13"/>
  <c r="BF58" i="13"/>
  <c r="BJ58" i="13"/>
  <c r="BT58" i="13"/>
  <c r="BE58" i="13"/>
  <c r="BH58" i="13"/>
  <c r="BV58" i="13"/>
  <c r="BL58" i="13"/>
  <c r="BI58" i="13"/>
  <c r="BR58" i="13"/>
  <c r="BU58" i="13"/>
  <c r="BV62" i="13"/>
  <c r="BU62" i="13"/>
  <c r="BN62" i="13"/>
  <c r="BG62" i="13"/>
  <c r="BQ62" i="13"/>
  <c r="BJ62" i="13"/>
  <c r="BT62" i="13"/>
  <c r="BR62" i="13"/>
  <c r="BE62" i="13"/>
  <c r="BD62" i="13"/>
  <c r="BH62" i="13"/>
  <c r="BL62" i="13"/>
  <c r="BP62" i="13"/>
  <c r="BM62" i="13"/>
  <c r="BO62" i="13"/>
  <c r="BF62" i="13"/>
  <c r="BI62" i="13"/>
  <c r="BK62" i="13"/>
  <c r="BS62" i="13"/>
  <c r="BS76" i="13"/>
  <c r="BL76" i="13"/>
  <c r="BE76" i="13"/>
  <c r="BD76" i="13"/>
  <c r="BM76" i="13"/>
  <c r="BQ76" i="13"/>
  <c r="BJ76" i="13"/>
  <c r="BH76" i="13"/>
  <c r="BF76" i="13"/>
  <c r="BP76" i="13"/>
  <c r="BI76" i="13"/>
  <c r="BG76" i="13"/>
  <c r="BU76" i="13"/>
  <c r="BR76" i="13"/>
  <c r="BO76" i="13"/>
  <c r="BN76" i="13"/>
  <c r="BV76" i="13"/>
  <c r="BT76" i="13"/>
  <c r="BK76" i="13"/>
  <c r="BJ80" i="13"/>
  <c r="BI80" i="13"/>
  <c r="BS80" i="13"/>
  <c r="BL80" i="13"/>
  <c r="BE80" i="13"/>
  <c r="BP80" i="13"/>
  <c r="BT80" i="13"/>
  <c r="BG80" i="13"/>
  <c r="BK80" i="13"/>
  <c r="BD80" i="13"/>
  <c r="BN80" i="13"/>
  <c r="BR80" i="13"/>
  <c r="BO80" i="13"/>
  <c r="BQ80" i="13"/>
  <c r="BH80" i="13"/>
  <c r="BV80" i="13"/>
  <c r="BM80" i="13"/>
  <c r="BU80" i="13"/>
  <c r="BF80" i="13"/>
  <c r="BQ84" i="13"/>
  <c r="BP84" i="13"/>
  <c r="BO84" i="13"/>
  <c r="BH84" i="13"/>
  <c r="BR84" i="13"/>
  <c r="BK84" i="13"/>
  <c r="BJ84" i="13"/>
  <c r="BI84" i="13"/>
  <c r="BS84" i="13"/>
  <c r="BE84" i="13"/>
  <c r="BT84" i="13"/>
  <c r="BN84" i="13"/>
  <c r="BL84" i="13"/>
  <c r="BD84" i="13"/>
  <c r="BM84" i="13"/>
  <c r="BV84" i="13"/>
  <c r="BF84" i="13"/>
  <c r="BU84" i="13"/>
  <c r="BG84" i="13"/>
  <c r="BN88" i="13"/>
  <c r="BG88" i="13"/>
  <c r="BQ88" i="13"/>
  <c r="BP88" i="13"/>
  <c r="BO88" i="13"/>
  <c r="BS88" i="13"/>
  <c r="BF88" i="13"/>
  <c r="BJ88" i="13"/>
  <c r="BH88" i="13"/>
  <c r="BL88" i="13"/>
  <c r="BV88" i="13"/>
  <c r="BI88" i="13"/>
  <c r="BK88" i="13"/>
  <c r="BT88" i="13"/>
  <c r="BE88" i="13"/>
  <c r="BR88" i="13"/>
  <c r="BU88" i="13"/>
  <c r="BM88" i="13"/>
  <c r="BD88" i="13"/>
  <c r="BV92" i="13"/>
  <c r="BU92" i="13"/>
  <c r="BN92" i="13"/>
  <c r="BG92" i="13"/>
  <c r="BQ92" i="13"/>
  <c r="BP92" i="13"/>
  <c r="BI92" i="13"/>
  <c r="BM92" i="13"/>
  <c r="BK92" i="13"/>
  <c r="BJ92" i="13"/>
  <c r="BT92" i="13"/>
  <c r="BR92" i="13"/>
  <c r="BE92" i="13"/>
  <c r="BS92" i="13"/>
  <c r="BD92" i="13"/>
  <c r="BL92" i="13"/>
  <c r="BO92" i="13"/>
  <c r="BF92" i="13"/>
  <c r="BH92" i="13"/>
  <c r="BL96" i="13"/>
  <c r="BE96" i="13"/>
  <c r="BD96" i="13"/>
  <c r="BT96" i="13"/>
  <c r="BM96" i="13"/>
  <c r="BF96" i="13"/>
  <c r="BV96" i="13"/>
  <c r="BU96" i="13"/>
  <c r="BN96" i="13"/>
  <c r="BG96" i="13"/>
  <c r="BP96" i="13"/>
  <c r="BH96" i="13"/>
  <c r="BJ96" i="13"/>
  <c r="BQ96" i="13"/>
  <c r="BO96" i="13"/>
  <c r="BR96" i="13"/>
  <c r="BK96" i="13"/>
  <c r="BI96" i="13"/>
  <c r="BS96" i="13"/>
  <c r="BE7" i="13"/>
  <c r="BD7" i="13"/>
  <c r="BT7" i="13"/>
  <c r="BM7" i="13"/>
  <c r="BF7" i="13"/>
  <c r="BQ7" i="13"/>
  <c r="BJ7" i="13"/>
  <c r="BN7" i="13"/>
  <c r="BR7" i="13"/>
  <c r="BV7" i="13"/>
  <c r="BO7" i="13"/>
  <c r="BS7" i="13"/>
  <c r="BP7" i="13"/>
  <c r="BI7" i="13"/>
  <c r="BG7" i="13"/>
  <c r="BL7" i="13"/>
  <c r="BK7" i="13"/>
  <c r="BU7" i="13"/>
  <c r="BH7" i="13"/>
  <c r="BG11" i="13"/>
  <c r="BQ11" i="13"/>
  <c r="BP11" i="13"/>
  <c r="BO11" i="13"/>
  <c r="BH11" i="13"/>
  <c r="BR11" i="13"/>
  <c r="BK11" i="13"/>
  <c r="BJ11" i="13"/>
  <c r="BI11" i="13"/>
  <c r="BF11" i="13"/>
  <c r="BU11" i="13"/>
  <c r="BS11" i="13"/>
  <c r="BE11" i="13"/>
  <c r="BT11" i="13"/>
  <c r="BM11" i="13"/>
  <c r="BV11" i="13"/>
  <c r="BN11" i="13"/>
  <c r="BL11" i="13"/>
  <c r="BD11" i="13"/>
  <c r="BU15" i="13"/>
  <c r="BN15" i="13"/>
  <c r="BG15" i="13"/>
  <c r="BQ15" i="13"/>
  <c r="BP15" i="13"/>
  <c r="BO15" i="13"/>
  <c r="BH15" i="13"/>
  <c r="BR15" i="13"/>
  <c r="BK15" i="13"/>
  <c r="BJ15" i="13"/>
  <c r="BT15" i="13"/>
  <c r="BF15" i="13"/>
  <c r="BS15" i="13"/>
  <c r="BE15" i="13"/>
  <c r="BL15" i="13"/>
  <c r="BV15" i="13"/>
  <c r="BI15" i="13"/>
  <c r="BD15" i="13"/>
  <c r="BM15" i="13"/>
  <c r="BQ19" i="13"/>
  <c r="BP19" i="13"/>
  <c r="BO19" i="13"/>
  <c r="BH19" i="13"/>
  <c r="BR19" i="13"/>
  <c r="BJ19" i="13"/>
  <c r="BT19" i="13"/>
  <c r="BG19" i="13"/>
  <c r="BE19" i="13"/>
  <c r="BU19" i="13"/>
  <c r="BS19" i="13"/>
  <c r="BF19" i="13"/>
  <c r="BV19" i="13"/>
  <c r="BI19" i="13"/>
  <c r="BM19" i="13"/>
  <c r="BK19" i="13"/>
  <c r="BD19" i="13"/>
  <c r="BN19" i="13"/>
  <c r="BL19" i="13"/>
  <c r="BS23" i="13"/>
  <c r="BL23" i="13"/>
  <c r="BE23" i="13"/>
  <c r="BD23" i="13"/>
  <c r="BT23" i="13"/>
  <c r="BM23" i="13"/>
  <c r="BF23" i="13"/>
  <c r="BV23" i="13"/>
  <c r="BU23" i="13"/>
  <c r="BN23" i="13"/>
  <c r="BK23" i="13"/>
  <c r="BI23" i="13"/>
  <c r="BG23" i="13"/>
  <c r="BP23" i="13"/>
  <c r="BH23" i="13"/>
  <c r="BR23" i="13"/>
  <c r="BJ23" i="13"/>
  <c r="BQ23" i="13"/>
  <c r="BO23" i="13"/>
  <c r="BI27" i="13"/>
  <c r="BS27" i="13"/>
  <c r="BL27" i="13"/>
  <c r="BE27" i="13"/>
  <c r="BD27" i="13"/>
  <c r="BT27" i="13"/>
  <c r="BM27" i="13"/>
  <c r="BF27" i="13"/>
  <c r="BV27" i="13"/>
  <c r="BH27" i="13"/>
  <c r="BK27" i="13"/>
  <c r="BU27" i="13"/>
  <c r="BG27" i="13"/>
  <c r="BP27" i="13"/>
  <c r="BN27" i="13"/>
  <c r="BR27" i="13"/>
  <c r="BQ27" i="13"/>
  <c r="BO27" i="13"/>
  <c r="BJ27" i="13"/>
  <c r="BE31" i="13"/>
  <c r="BD31" i="13"/>
  <c r="BT31" i="13"/>
  <c r="BM31" i="13"/>
  <c r="BF31" i="13"/>
  <c r="BP31" i="13"/>
  <c r="BI31" i="13"/>
  <c r="BG31" i="13"/>
  <c r="BK31" i="13"/>
  <c r="BU31" i="13"/>
  <c r="BH31" i="13"/>
  <c r="BL31" i="13"/>
  <c r="BV31" i="13"/>
  <c r="BO31" i="13"/>
  <c r="BS31" i="13"/>
  <c r="BJ31" i="13"/>
  <c r="BR31" i="13"/>
  <c r="BN31" i="13"/>
  <c r="BQ31" i="13"/>
  <c r="BG35" i="13"/>
  <c r="BQ35" i="13"/>
  <c r="BP35" i="13"/>
  <c r="BO35" i="13"/>
  <c r="BH35" i="13"/>
  <c r="BR35" i="13"/>
  <c r="BK35" i="13"/>
  <c r="BJ35" i="13"/>
  <c r="BI35" i="13"/>
  <c r="BM35" i="13"/>
  <c r="BV35" i="13"/>
  <c r="BN35" i="13"/>
  <c r="BL35" i="13"/>
  <c r="BD35" i="13"/>
  <c r="BF35" i="13"/>
  <c r="BU35" i="13"/>
  <c r="BS35" i="13"/>
  <c r="BE35" i="13"/>
  <c r="BT35" i="13"/>
  <c r="BU39" i="13"/>
  <c r="BN39" i="13"/>
  <c r="BG39" i="13"/>
  <c r="BQ39" i="13"/>
  <c r="BP39" i="13"/>
  <c r="BO39" i="13"/>
  <c r="BH39" i="13"/>
  <c r="BR39" i="13"/>
  <c r="BK39" i="13"/>
  <c r="BJ39" i="13"/>
  <c r="BM39" i="13"/>
  <c r="BV39" i="13"/>
  <c r="BI39" i="13"/>
  <c r="BL39" i="13"/>
  <c r="BD39" i="13"/>
  <c r="BE39" i="13"/>
  <c r="BT39" i="13"/>
  <c r="BS39" i="13"/>
  <c r="BF39" i="13"/>
  <c r="BQ43" i="13"/>
  <c r="BP43" i="13"/>
  <c r="BO43" i="13"/>
  <c r="BH43" i="13"/>
  <c r="BR43" i="13"/>
  <c r="BV43" i="13"/>
  <c r="BI43" i="13"/>
  <c r="BM43" i="13"/>
  <c r="BK43" i="13"/>
  <c r="BD43" i="13"/>
  <c r="BN43" i="13"/>
  <c r="BL43" i="13"/>
  <c r="BE43" i="13"/>
  <c r="BS43" i="13"/>
  <c r="BU43" i="13"/>
  <c r="BF43" i="13"/>
  <c r="BT43" i="13"/>
  <c r="BG43" i="13"/>
  <c r="BJ43" i="13"/>
  <c r="BS47" i="13"/>
  <c r="BL47" i="13"/>
  <c r="BE47" i="13"/>
  <c r="BD47" i="13"/>
  <c r="BT47" i="13"/>
  <c r="BM47" i="13"/>
  <c r="BF47" i="13"/>
  <c r="BV47" i="13"/>
  <c r="BU47" i="13"/>
  <c r="BN47" i="13"/>
  <c r="BR47" i="13"/>
  <c r="BJ47" i="13"/>
  <c r="BQ47" i="13"/>
  <c r="BO47" i="13"/>
  <c r="BK47" i="13"/>
  <c r="BI47" i="13"/>
  <c r="BH47" i="13"/>
  <c r="BG47" i="13"/>
  <c r="BP47" i="13"/>
  <c r="BI51" i="13"/>
  <c r="BS51" i="13"/>
  <c r="BL51" i="13"/>
  <c r="BE51" i="13"/>
  <c r="BD51" i="13"/>
  <c r="BT51" i="13"/>
  <c r="BM51" i="13"/>
  <c r="BF51" i="13"/>
  <c r="BV51" i="13"/>
  <c r="BO51" i="13"/>
  <c r="BR51" i="13"/>
  <c r="BJ51" i="13"/>
  <c r="BN51" i="13"/>
  <c r="BQ51" i="13"/>
  <c r="BG51" i="13"/>
  <c r="BK51" i="13"/>
  <c r="BU51" i="13"/>
  <c r="BP51" i="13"/>
  <c r="BH51" i="13"/>
  <c r="BE55" i="13"/>
  <c r="BD55" i="13"/>
  <c r="BT55" i="13"/>
  <c r="BM55" i="13"/>
  <c r="BF55" i="13"/>
  <c r="BV55" i="13"/>
  <c r="BO55" i="13"/>
  <c r="BS55" i="13"/>
  <c r="BQ55" i="13"/>
  <c r="BJ55" i="13"/>
  <c r="BN55" i="13"/>
  <c r="BR55" i="13"/>
  <c r="BU55" i="13"/>
  <c r="BH55" i="13"/>
  <c r="BK55" i="13"/>
  <c r="BL55" i="13"/>
  <c r="BG55" i="13"/>
  <c r="BP55" i="13"/>
  <c r="BI55" i="13"/>
  <c r="BG59" i="13"/>
  <c r="BQ59" i="13"/>
  <c r="BP59" i="13"/>
  <c r="BO59" i="13"/>
  <c r="BH59" i="13"/>
  <c r="BR59" i="13"/>
  <c r="BK59" i="13"/>
  <c r="BJ59" i="13"/>
  <c r="BI59" i="13"/>
  <c r="BF59" i="13"/>
  <c r="BU59" i="13"/>
  <c r="BS59" i="13"/>
  <c r="BE59" i="13"/>
  <c r="BT59" i="13"/>
  <c r="BM59" i="13"/>
  <c r="BV59" i="13"/>
  <c r="BN59" i="13"/>
  <c r="BD59" i="13"/>
  <c r="BL59" i="13"/>
  <c r="BU63" i="13"/>
  <c r="BN63" i="13"/>
  <c r="BG63" i="13"/>
  <c r="BQ63" i="13"/>
  <c r="BP63" i="13"/>
  <c r="BO63" i="13"/>
  <c r="BH63" i="13"/>
  <c r="BR63" i="13"/>
  <c r="BK63" i="13"/>
  <c r="BJ63" i="13"/>
  <c r="BT63" i="13"/>
  <c r="BF63" i="13"/>
  <c r="BS63" i="13"/>
  <c r="BE63" i="13"/>
  <c r="BI63" i="13"/>
  <c r="BD63" i="13"/>
  <c r="BM63" i="13"/>
  <c r="BL63" i="13"/>
  <c r="BV63" i="13"/>
  <c r="BS77" i="13"/>
  <c r="BL77" i="13"/>
  <c r="BE77" i="13"/>
  <c r="BD77" i="13"/>
  <c r="BT77" i="13"/>
  <c r="BM77" i="13"/>
  <c r="BF77" i="13"/>
  <c r="BV77" i="13"/>
  <c r="BU77" i="13"/>
  <c r="BN77" i="13"/>
  <c r="BK77" i="13"/>
  <c r="BI77" i="13"/>
  <c r="BG77" i="13"/>
  <c r="BP77" i="13"/>
  <c r="BH77" i="13"/>
  <c r="BR77" i="13"/>
  <c r="BJ77" i="13"/>
  <c r="BQ77" i="13"/>
  <c r="BO77" i="13"/>
  <c r="BI81" i="13"/>
  <c r="BS81" i="13"/>
  <c r="BL81" i="13"/>
  <c r="BE81" i="13"/>
  <c r="BD81" i="13"/>
  <c r="BT81" i="13"/>
  <c r="BM81" i="13"/>
  <c r="BF81" i="13"/>
  <c r="BV81" i="13"/>
  <c r="BH81" i="13"/>
  <c r="BK81" i="13"/>
  <c r="BU81" i="13"/>
  <c r="BG81" i="13"/>
  <c r="BP81" i="13"/>
  <c r="BQ81" i="13"/>
  <c r="BO81" i="13"/>
  <c r="BJ81" i="13"/>
  <c r="BN81" i="13"/>
  <c r="BR81" i="13"/>
  <c r="BE85" i="13"/>
  <c r="BD85" i="13"/>
  <c r="BT85" i="13"/>
  <c r="BM85" i="13"/>
  <c r="BF85" i="13"/>
  <c r="BK85" i="13"/>
  <c r="BU85" i="13"/>
  <c r="BH85" i="13"/>
  <c r="BL85" i="13"/>
  <c r="BP85" i="13"/>
  <c r="BI85" i="13"/>
  <c r="BG85" i="13"/>
  <c r="BQ85" i="13"/>
  <c r="BJ85" i="13"/>
  <c r="BR85" i="13"/>
  <c r="BN85" i="13"/>
  <c r="BV85" i="13"/>
  <c r="BS85" i="13"/>
  <c r="BO85" i="13"/>
  <c r="BG89" i="13"/>
  <c r="BQ89" i="13"/>
  <c r="BP89" i="13"/>
  <c r="BO89" i="13"/>
  <c r="BH89" i="13"/>
  <c r="BR89" i="13"/>
  <c r="BK89" i="13"/>
  <c r="BJ89" i="13"/>
  <c r="BI89" i="13"/>
  <c r="BM89" i="13"/>
  <c r="BV89" i="13"/>
  <c r="BN89" i="13"/>
  <c r="BL89" i="13"/>
  <c r="BD89" i="13"/>
  <c r="BF89" i="13"/>
  <c r="BU89" i="13"/>
  <c r="BS89" i="13"/>
  <c r="BE89" i="13"/>
  <c r="BT89" i="13"/>
  <c r="BU93" i="13"/>
  <c r="BN93" i="13"/>
  <c r="BG93" i="13"/>
  <c r="BQ93" i="13"/>
  <c r="BP93" i="13"/>
  <c r="BO93" i="13"/>
  <c r="BH93" i="13"/>
  <c r="BR93" i="13"/>
  <c r="BK93" i="13"/>
  <c r="BJ93" i="13"/>
  <c r="BM93" i="13"/>
  <c r="BV93" i="13"/>
  <c r="BI93" i="13"/>
  <c r="BL93" i="13"/>
  <c r="BD93" i="13"/>
  <c r="BS93" i="13"/>
  <c r="BF93" i="13"/>
  <c r="BE93" i="13"/>
  <c r="BT93" i="13"/>
  <c r="BQ97" i="13"/>
  <c r="BP97" i="13"/>
  <c r="BO97" i="13"/>
  <c r="BH97" i="13"/>
  <c r="BR97" i="13"/>
  <c r="BK97" i="13"/>
  <c r="BD97" i="13"/>
  <c r="BN97" i="13"/>
  <c r="BL97" i="13"/>
  <c r="BV97" i="13"/>
  <c r="BI97" i="13"/>
  <c r="BM97" i="13"/>
  <c r="BJ97" i="13"/>
  <c r="BG97" i="13"/>
  <c r="BT97" i="13"/>
  <c r="BU97" i="13"/>
  <c r="BF97" i="13"/>
  <c r="BS97" i="13"/>
  <c r="BE97" i="13"/>
  <c r="BD8" i="13"/>
  <c r="BT8" i="13"/>
  <c r="BM8" i="13"/>
  <c r="BF8" i="13"/>
  <c r="BJ8" i="13"/>
  <c r="BN8" i="13"/>
  <c r="BR8" i="13"/>
  <c r="BE8" i="13"/>
  <c r="BU8" i="13"/>
  <c r="BH8" i="13"/>
  <c r="BL8" i="13"/>
  <c r="BP8" i="13"/>
  <c r="BG8" i="13"/>
  <c r="BO8" i="13"/>
  <c r="BQ8" i="13"/>
  <c r="BI8" i="13"/>
  <c r="BK8" i="13"/>
  <c r="BV8" i="13"/>
  <c r="BS8" i="13"/>
  <c r="BR12" i="13"/>
  <c r="BK12" i="13"/>
  <c r="BJ12" i="13"/>
  <c r="BI12" i="13"/>
  <c r="BS12" i="13"/>
  <c r="BL12" i="13"/>
  <c r="BE12" i="13"/>
  <c r="BD12" i="13"/>
  <c r="BT12" i="13"/>
  <c r="BM12" i="13"/>
  <c r="BV12" i="13"/>
  <c r="BN12" i="13"/>
  <c r="BF12" i="13"/>
  <c r="BU12" i="13"/>
  <c r="BG12" i="13"/>
  <c r="BQ12" i="13"/>
  <c r="BO12" i="13"/>
  <c r="BP12" i="13"/>
  <c r="BH12" i="13"/>
  <c r="BH16" i="13"/>
  <c r="BR16" i="13"/>
  <c r="BK16" i="13"/>
  <c r="BJ16" i="13"/>
  <c r="BI16" i="13"/>
  <c r="BM16" i="13"/>
  <c r="BQ16" i="13"/>
  <c r="BD16" i="13"/>
  <c r="BS16" i="13"/>
  <c r="BF16" i="13"/>
  <c r="BP16" i="13"/>
  <c r="BG16" i="13"/>
  <c r="BU16" i="13"/>
  <c r="BL16" i="13"/>
  <c r="BO16" i="13"/>
  <c r="BN16" i="13"/>
  <c r="BV16" i="13"/>
  <c r="BT16" i="13"/>
  <c r="BE16" i="13"/>
  <c r="BP20" i="13"/>
  <c r="BO20" i="13"/>
  <c r="BH20" i="13"/>
  <c r="BR20" i="13"/>
  <c r="BK20" i="13"/>
  <c r="BJ20" i="13"/>
  <c r="BT20" i="13"/>
  <c r="BG20" i="13"/>
  <c r="BE20" i="13"/>
  <c r="BD20" i="13"/>
  <c r="BN20" i="13"/>
  <c r="BL20" i="13"/>
  <c r="BI20" i="13"/>
  <c r="BQ20" i="13"/>
  <c r="BS20" i="13"/>
  <c r="BV20" i="13"/>
  <c r="BM20" i="13"/>
  <c r="BU20" i="13"/>
  <c r="BF20" i="13"/>
  <c r="BF24" i="13"/>
  <c r="BV24" i="13"/>
  <c r="BU24" i="13"/>
  <c r="BN24" i="13"/>
  <c r="BG24" i="13"/>
  <c r="BQ24" i="13"/>
  <c r="BP24" i="13"/>
  <c r="BO24" i="13"/>
  <c r="BH24" i="13"/>
  <c r="BR24" i="13"/>
  <c r="BJ24" i="13"/>
  <c r="BS24" i="13"/>
  <c r="BK24" i="13"/>
  <c r="BI24" i="13"/>
  <c r="BL24" i="13"/>
  <c r="BE24" i="13"/>
  <c r="BT24" i="13"/>
  <c r="BD24" i="13"/>
  <c r="BM24" i="13"/>
  <c r="BT28" i="13"/>
  <c r="BM28" i="13"/>
  <c r="BF28" i="13"/>
  <c r="BV28" i="13"/>
  <c r="BU28" i="13"/>
  <c r="BS28" i="13"/>
  <c r="BQ28" i="13"/>
  <c r="BJ28" i="13"/>
  <c r="BH28" i="13"/>
  <c r="BL28" i="13"/>
  <c r="BP28" i="13"/>
  <c r="BI28" i="13"/>
  <c r="BK28" i="13"/>
  <c r="BN28" i="13"/>
  <c r="BE28" i="13"/>
  <c r="BR28" i="13"/>
  <c r="BO28" i="13"/>
  <c r="BG28" i="13"/>
  <c r="BD28" i="13"/>
  <c r="BD32" i="13"/>
  <c r="BT32" i="13"/>
  <c r="BM32" i="13"/>
  <c r="BF32" i="13"/>
  <c r="BP32" i="13"/>
  <c r="BI32" i="13"/>
  <c r="BG32" i="13"/>
  <c r="BK32" i="13"/>
  <c r="BJ32" i="13"/>
  <c r="BN32" i="13"/>
  <c r="BR32" i="13"/>
  <c r="BE32" i="13"/>
  <c r="BV32" i="13"/>
  <c r="BS32" i="13"/>
  <c r="BU32" i="13"/>
  <c r="BL32" i="13"/>
  <c r="BO32" i="13"/>
  <c r="BQ32" i="13"/>
  <c r="BH32" i="13"/>
  <c r="BR36" i="13"/>
  <c r="BK36" i="13"/>
  <c r="BJ36" i="13"/>
  <c r="BI36" i="13"/>
  <c r="BS36" i="13"/>
  <c r="BL36" i="13"/>
  <c r="BE36" i="13"/>
  <c r="BD36" i="13"/>
  <c r="BT36" i="13"/>
  <c r="BM36" i="13"/>
  <c r="BF36" i="13"/>
  <c r="BU36" i="13"/>
  <c r="BG36" i="13"/>
  <c r="BO36" i="13"/>
  <c r="BV36" i="13"/>
  <c r="BN36" i="13"/>
  <c r="BP36" i="13"/>
  <c r="BH36" i="13"/>
  <c r="BQ36" i="13"/>
  <c r="BH40" i="13"/>
  <c r="BR40" i="13"/>
  <c r="BK40" i="13"/>
  <c r="BJ40" i="13"/>
  <c r="BI40" i="13"/>
  <c r="BS40" i="13"/>
  <c r="BF40" i="13"/>
  <c r="BP40" i="13"/>
  <c r="BN40" i="13"/>
  <c r="BL40" i="13"/>
  <c r="BV40" i="13"/>
  <c r="BO40" i="13"/>
  <c r="BM40" i="13"/>
  <c r="BD40" i="13"/>
  <c r="BG40" i="13"/>
  <c r="BU40" i="13"/>
  <c r="BT40" i="13"/>
  <c r="BE40" i="13"/>
  <c r="BQ40" i="13"/>
  <c r="BP44" i="13"/>
  <c r="BO44" i="13"/>
  <c r="BH44" i="13"/>
  <c r="BR44" i="13"/>
  <c r="BK44" i="13"/>
  <c r="BV44" i="13"/>
  <c r="BI44" i="13"/>
  <c r="BM44" i="13"/>
  <c r="BQ44" i="13"/>
  <c r="BJ44" i="13"/>
  <c r="BT44" i="13"/>
  <c r="BG44" i="13"/>
  <c r="BE44" i="13"/>
  <c r="BU44" i="13"/>
  <c r="BF44" i="13"/>
  <c r="BN44" i="13"/>
  <c r="BS44" i="13"/>
  <c r="BD44" i="13"/>
  <c r="BL44" i="13"/>
  <c r="BF48" i="13"/>
  <c r="BV48" i="13"/>
  <c r="BU48" i="13"/>
  <c r="BN48" i="13"/>
  <c r="BG48" i="13"/>
  <c r="BQ48" i="13"/>
  <c r="BP48" i="13"/>
  <c r="BO48" i="13"/>
  <c r="BH48" i="13"/>
  <c r="BK48" i="13"/>
  <c r="BI48" i="13"/>
  <c r="BR48" i="13"/>
  <c r="BJ48" i="13"/>
  <c r="BS48" i="13"/>
  <c r="BE48" i="13"/>
  <c r="BL48" i="13"/>
  <c r="BD48" i="13"/>
  <c r="BM48" i="13"/>
  <c r="BT48" i="13"/>
  <c r="BT52" i="13"/>
  <c r="BM52" i="13"/>
  <c r="BF52" i="13"/>
  <c r="BV52" i="13"/>
  <c r="BU52" i="13"/>
  <c r="BH52" i="13"/>
  <c r="BL52" i="13"/>
  <c r="BP52" i="13"/>
  <c r="BI52" i="13"/>
  <c r="BN52" i="13"/>
  <c r="BR52" i="13"/>
  <c r="BE52" i="13"/>
  <c r="BO52" i="13"/>
  <c r="BQ52" i="13"/>
  <c r="BK52" i="13"/>
  <c r="BG52" i="13"/>
  <c r="BD52" i="13"/>
  <c r="BS52" i="13"/>
  <c r="BJ52" i="13"/>
  <c r="BD56" i="13"/>
  <c r="BT56" i="13"/>
  <c r="BM56" i="13"/>
  <c r="BF56" i="13"/>
  <c r="BV56" i="13"/>
  <c r="BO56" i="13"/>
  <c r="BS56" i="13"/>
  <c r="BQ56" i="13"/>
  <c r="BP56" i="13"/>
  <c r="BI56" i="13"/>
  <c r="BG56" i="13"/>
  <c r="BK56" i="13"/>
  <c r="BH56" i="13"/>
  <c r="BJ56" i="13"/>
  <c r="BR56" i="13"/>
  <c r="BU56" i="13"/>
  <c r="BL56" i="13"/>
  <c r="BN56" i="13"/>
  <c r="BE56" i="13"/>
  <c r="BR60" i="13"/>
  <c r="BK60" i="13"/>
  <c r="BJ60" i="13"/>
  <c r="BI60" i="13"/>
  <c r="BS60" i="13"/>
  <c r="BL60" i="13"/>
  <c r="BE60" i="13"/>
  <c r="BD60" i="13"/>
  <c r="BT60" i="13"/>
  <c r="BM60" i="13"/>
  <c r="BV60" i="13"/>
  <c r="BN60" i="13"/>
  <c r="BP60" i="13"/>
  <c r="BH60" i="13"/>
  <c r="BF60" i="13"/>
  <c r="BU60" i="13"/>
  <c r="BG60" i="13"/>
  <c r="BQ60" i="13"/>
  <c r="BO60" i="13"/>
  <c r="BF78" i="13"/>
  <c r="BV78" i="13"/>
  <c r="BU78" i="13"/>
  <c r="BN78" i="13"/>
  <c r="BG78" i="13"/>
  <c r="BQ78" i="13"/>
  <c r="BP78" i="13"/>
  <c r="BO78" i="13"/>
  <c r="BH78" i="13"/>
  <c r="BR78" i="13"/>
  <c r="BJ78" i="13"/>
  <c r="BS78" i="13"/>
  <c r="BM78" i="13"/>
  <c r="BD78" i="13"/>
  <c r="BK78" i="13"/>
  <c r="BI78" i="13"/>
  <c r="BL78" i="13"/>
  <c r="BE78" i="13"/>
  <c r="BT78" i="13"/>
  <c r="BT82" i="13"/>
  <c r="BM82" i="13"/>
  <c r="BF82" i="13"/>
  <c r="BV82" i="13"/>
  <c r="BU82" i="13"/>
  <c r="BN82" i="13"/>
  <c r="BR82" i="13"/>
  <c r="BE82" i="13"/>
  <c r="BO82" i="13"/>
  <c r="BG82" i="13"/>
  <c r="BK82" i="13"/>
  <c r="BD82" i="13"/>
  <c r="BL82" i="13"/>
  <c r="BI82" i="13"/>
  <c r="BQ82" i="13"/>
  <c r="BS82" i="13"/>
  <c r="BJ82" i="13"/>
  <c r="BP82" i="13"/>
  <c r="BH82" i="13"/>
  <c r="BD86" i="13"/>
  <c r="BT86" i="13"/>
  <c r="BM86" i="13"/>
  <c r="BF86" i="13"/>
  <c r="BU86" i="13"/>
  <c r="BH86" i="13"/>
  <c r="BL86" i="13"/>
  <c r="BV86" i="13"/>
  <c r="BO86" i="13"/>
  <c r="BS86" i="13"/>
  <c r="BQ86" i="13"/>
  <c r="BN86" i="13"/>
  <c r="BE86" i="13"/>
  <c r="BP86" i="13"/>
  <c r="BG86" i="13"/>
  <c r="BJ86" i="13"/>
  <c r="BR86" i="13"/>
  <c r="BI86" i="13"/>
  <c r="BK86" i="13"/>
  <c r="BR90" i="13"/>
  <c r="BK90" i="13"/>
  <c r="BJ90" i="13"/>
  <c r="BI90" i="13"/>
  <c r="BS90" i="13"/>
  <c r="BL90" i="13"/>
  <c r="BE90" i="13"/>
  <c r="BD90" i="13"/>
  <c r="BT90" i="13"/>
  <c r="BM90" i="13"/>
  <c r="BF90" i="13"/>
  <c r="BU90" i="13"/>
  <c r="BG90" i="13"/>
  <c r="BO90" i="13"/>
  <c r="BV90" i="13"/>
  <c r="BN90" i="13"/>
  <c r="BP90" i="13"/>
  <c r="BH90" i="13"/>
  <c r="BQ90" i="13"/>
  <c r="BH94" i="13"/>
  <c r="BR94" i="13"/>
  <c r="BK94" i="13"/>
  <c r="BJ94" i="13"/>
  <c r="BI94" i="13"/>
  <c r="BT94" i="13"/>
  <c r="BG94" i="13"/>
  <c r="BE94" i="13"/>
  <c r="BU94" i="13"/>
  <c r="BM94" i="13"/>
  <c r="BQ94" i="13"/>
  <c r="BD94" i="13"/>
  <c r="BN94" i="13"/>
  <c r="BV94" i="13"/>
  <c r="BS94" i="13"/>
  <c r="BP94" i="13"/>
  <c r="BF94" i="13"/>
  <c r="BO94" i="13"/>
  <c r="BL94" i="13"/>
  <c r="BP98" i="13"/>
  <c r="BO98" i="13"/>
  <c r="BH98" i="13"/>
  <c r="BR98" i="13"/>
  <c r="BK98" i="13"/>
  <c r="BD98" i="13"/>
  <c r="BN98" i="13"/>
  <c r="BL98" i="13"/>
  <c r="BU98" i="13"/>
  <c r="BS98" i="13"/>
  <c r="BF98" i="13"/>
  <c r="BJ98" i="13"/>
  <c r="BG98" i="13"/>
  <c r="BI98" i="13"/>
  <c r="BQ98" i="13"/>
  <c r="BT98" i="13"/>
  <c r="BE98" i="13"/>
  <c r="BV98" i="13"/>
  <c r="BM98" i="13"/>
  <c r="B92" i="13"/>
  <c r="B91" i="13"/>
  <c r="B90" i="13"/>
  <c r="B89" i="13"/>
  <c r="B88" i="13"/>
  <c r="B87" i="13"/>
  <c r="B86" i="13"/>
  <c r="B85" i="13"/>
  <c r="B84" i="13"/>
  <c r="B83" i="13"/>
  <c r="B82" i="13"/>
  <c r="B81" i="13"/>
  <c r="B80" i="13"/>
  <c r="B79" i="13"/>
  <c r="B78" i="13"/>
  <c r="B77" i="13"/>
  <c r="B76" i="13"/>
  <c r="B75"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F24" i="38" l="1"/>
  <c r="H24" i="38" s="1"/>
  <c r="I24" i="38" s="1"/>
  <c r="B24" i="38"/>
  <c r="F23" i="38"/>
  <c r="H23" i="38" s="1"/>
  <c r="I23" i="38" s="1"/>
  <c r="B23" i="38"/>
  <c r="F22" i="38"/>
  <c r="H22" i="38" s="1"/>
  <c r="I22" i="38" s="1"/>
  <c r="B22" i="38"/>
  <c r="F21" i="38"/>
  <c r="B21" i="38"/>
  <c r="D14" i="19" l="1"/>
  <c r="H21" i="38"/>
  <c r="I21" i="38" l="1"/>
  <c r="I33" i="38" s="1"/>
  <c r="D13" i="19"/>
  <c r="D15" i="19" s="1"/>
  <c r="H33" i="38"/>
  <c r="G26" i="22" l="1"/>
  <c r="H26" i="22" l="1"/>
  <c r="E14" i="19"/>
  <c r="B13" i="19"/>
  <c r="D8" i="19" l="1"/>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G24" i="22" l="1"/>
  <c r="H24" i="22" s="1"/>
  <c r="G22" i="22"/>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75" i="13"/>
  <c r="K76" i="13"/>
  <c r="K77" i="13"/>
  <c r="K78" i="13"/>
  <c r="K79" i="13"/>
  <c r="K80" i="13"/>
  <c r="K81" i="13"/>
  <c r="K82" i="13"/>
  <c r="K83" i="13"/>
  <c r="K84" i="13"/>
  <c r="K85" i="13"/>
  <c r="K86" i="13"/>
  <c r="K87" i="13"/>
  <c r="K88" i="13"/>
  <c r="K89" i="13"/>
  <c r="K90" i="13"/>
  <c r="K91" i="13"/>
  <c r="K92" i="13"/>
  <c r="H22" i="22" l="1"/>
  <c r="G23" i="22"/>
  <c r="H23" i="22" s="1"/>
  <c r="F13" i="19" l="1"/>
  <c r="H32" i="22"/>
  <c r="G32" i="22"/>
  <c r="E8" i="19" l="1"/>
  <c r="F8" i="19" s="1"/>
  <c r="G20" i="32" l="1"/>
  <c r="E13" i="19" s="1"/>
  <c r="E15" i="19" l="1"/>
  <c r="H20" i="32"/>
  <c r="S5" i="13" l="1"/>
  <c r="T5" i="13" s="1"/>
  <c r="Y5" i="13"/>
  <c r="AA5" i="13" l="1"/>
  <c r="Z5" i="13"/>
  <c r="AB5" i="13" s="1"/>
  <c r="AC5" i="13" s="1"/>
  <c r="U5" i="13"/>
  <c r="AD5" i="13" l="1"/>
  <c r="V5" i="13"/>
  <c r="W5" i="13" l="1"/>
  <c r="AE5" i="13"/>
  <c r="D7" i="19" s="1"/>
  <c r="C9" i="19" l="1"/>
  <c r="AF5" i="13" l="1"/>
  <c r="C13" i="19" l="1"/>
  <c r="E7" i="19"/>
  <c r="F7" i="19" s="1"/>
  <c r="C14" i="19"/>
  <c r="D9" i="19" l="1"/>
  <c r="E9" i="19"/>
  <c r="F9" i="19" l="1"/>
  <c r="C15" i="19"/>
  <c r="H14" i="19" l="1"/>
  <c r="F15" i="19" l="1"/>
  <c r="H13" i="19"/>
  <c r="H15" i="19" s="1"/>
</calcChain>
</file>

<file path=xl/sharedStrings.xml><?xml version="1.0" encoding="utf-8"?>
<sst xmlns="http://schemas.openxmlformats.org/spreadsheetml/2006/main" count="26789" uniqueCount="1704">
  <si>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</si>
  <si>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</si>
  <si>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</si>
  <si>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</si>
  <si>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</si>
  <si>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</si>
  <si>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</si>
  <si>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</si>
  <si>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</si>
  <si>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</si>
  <si>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</si>
  <si>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</si>
  <si>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</si>
  <si>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</si>
  <si>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</si>
  <si>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</si>
  <si>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</si>
  <si>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</si>
  <si>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</si>
  <si>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</si>
  <si>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</si>
  <si>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</si>
  <si>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</si>
  <si>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</si>
  <si>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</si>
  <si>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</si>
  <si>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</si>
  <si>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</si>
  <si>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</si>
  <si>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</si>
  <si>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</si>
  <si>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</si>
  <si>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</si>
  <si>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</si>
  <si>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</si>
  <si>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</si>
  <si>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</si>
  <si>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</si>
  <si>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</si>
  <si>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</si>
  <si>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</si>
  <si>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</si>
  <si>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</si>
  <si>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</si>
  <si>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</si>
  <si>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</si>
  <si>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</si>
  <si>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</si>
  <si>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</si>
  <si>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</si>
  <si>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</si>
  <si>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</si>
  <si>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</si>
  <si>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</si>
  <si>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</si>
  <si>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</si>
  <si>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</si>
  <si>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</si>
  <si>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</si>
  <si>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</si>
  <si>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</si>
  <si>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</si>
  <si>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</si>
  <si>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</si>
  <si>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</si>
  <si>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</si>
  <si>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</si>
  <si>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</si>
  <si>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</si>
  <si>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</si>
  <si>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</si>
  <si>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</si>
  <si>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</si>
  <si>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</si>
  <si>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</si>
  <si>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</si>
  <si>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</si>
  <si>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</si>
  <si>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</si>
  <si>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</si>
  <si>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</si>
  <si>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</si>
  <si>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</si>
  <si>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</si>
  <si>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</si>
  <si>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</si>
  <si>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</si>
  <si>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</si>
  <si>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</si>
  <si>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</si>
  <si>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</si>
  <si>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</si>
  <si>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</si>
  <si>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</si>
  <si>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</si>
  <si>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</si>
  <si>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</si>
  <si>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</si>
  <si>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</si>
  <si>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</si>
  <si>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</si>
  <si>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</si>
  <si>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</si>
  <si>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</si>
  <si>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</si>
  <si>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</si>
  <si>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</si>
  <si>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</si>
  <si>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</si>
  <si>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</si>
  <si>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</si>
  <si>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</si>
  <si>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</si>
  <si>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</si>
  <si>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</si>
  <si>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</si>
  <si>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</si>
  <si>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</si>
  <si>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</si>
  <si>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</si>
  <si>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</si>
  <si>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</si>
  <si>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</si>
  <si>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</si>
  <si>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</si>
  <si>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</si>
  <si>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</si>
  <si>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</si>
  <si>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</si>
  <si>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</si>
  <si>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</si>
  <si>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</si>
  <si>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</si>
  <si>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</si>
  <si>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</si>
  <si>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</si>
  <si>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</si>
  <si>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</si>
  <si>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</si>
  <si>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</si>
  <si>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</si>
  <si>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</si>
  <si>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</si>
  <si>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</si>
  <si>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</si>
  <si>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</si>
  <si>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</si>
  <si>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</si>
  <si>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</si>
  <si>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</si>
  <si>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</si>
  <si>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</si>
  <si>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</si>
  <si>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</si>
  <si>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</si>
  <si>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</si>
  <si>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</si>
  <si>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</si>
  <si>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</si>
  <si>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</si>
  <si>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</si>
  <si>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</si>
  <si>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</si>
  <si>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</si>
  <si>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</si>
  <si>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</si>
  <si>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</si>
  <si>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</si>
  <si>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</si>
  <si>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</si>
  <si>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</si>
  <si>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</si>
  <si>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</si>
  <si>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</si>
  <si>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</si>
  <si>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</si>
  <si>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</si>
  <si>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</si>
  <si>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</si>
  <si>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</si>
  <si>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</si>
  <si>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</si>
  <si>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</si>
  <si>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</si>
  <si>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</si>
  <si>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</si>
  <si>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</si>
  <si>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</si>
  <si>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</si>
  <si>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</si>
  <si>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</si>
  <si>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</si>
  <si>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</si>
  <si>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</si>
  <si>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</si>
  <si>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</si>
  <si>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</si>
  <si>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</si>
  <si>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</si>
  <si>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</si>
  <si>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</si>
  <si>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Totalisatie</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</si>
  <si>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</si>
  <si>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</si>
  <si>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</si>
  <si>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</si>
  <si>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</si>
  <si>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</si>
  <si>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</si>
  <si>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</si>
  <si>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</si>
  <si>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</si>
  <si>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</si>
  <si>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</si>
  <si>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</si>
  <si>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</si>
  <si>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</si>
  <si>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</si>
  <si>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</si>
  <si>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</si>
  <si>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</si>
  <si>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</si>
  <si>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</si>
  <si>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</si>
  <si>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</si>
  <si>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</si>
  <si>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</si>
  <si>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</si>
  <si>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</si>
  <si>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</si>
  <si>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</si>
  <si>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</si>
  <si>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</si>
  <si>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</si>
  <si>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</si>
  <si>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</si>
  <si>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</si>
  <si>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</si>
  <si>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</si>
  <si>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</si>
  <si>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</si>
  <si>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</si>
  <si>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</si>
  <si>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</si>
  <si>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</si>
  <si>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</si>
  <si>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</si>
  <si>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</si>
  <si>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</si>
  <si>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</si>
  <si>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</si>
  <si>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</si>
  <si>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</si>
  <si>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</si>
  <si>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</si>
  <si>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</si>
  <si>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</si>
  <si>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</si>
  <si>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</si>
  <si>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</si>
  <si>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</si>
  <si>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</si>
  <si>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</si>
  <si>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</si>
  <si>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</si>
  <si>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</si>
  <si>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</si>
  <si>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</si>
  <si>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</si>
  <si>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</si>
  <si>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</si>
  <si>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</si>
  <si>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</si>
  <si>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</si>
  <si>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</si>
  <si>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</si>
  <si>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</si>
  <si>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</si>
  <si>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</si>
  <si>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</si>
  <si>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</si>
  <si>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</si>
  <si>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</si>
  <si>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</si>
  <si>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</si>
  <si>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</si>
  <si>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</si>
  <si>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</si>
  <si>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</si>
  <si>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</si>
  <si>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</si>
  <si>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</si>
  <si>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</si>
  <si>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</si>
  <si>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</si>
  <si>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</si>
  <si>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</si>
  <si>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</si>
  <si>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</si>
  <si>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</si>
  <si>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</si>
  <si>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</si>
  <si>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</si>
  <si>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</si>
  <si>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</si>
  <si>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</si>
  <si>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</si>
  <si>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</si>
  <si>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</si>
  <si>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</si>
  <si>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</si>
  <si>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</si>
  <si>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</si>
  <si>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</si>
  <si>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</si>
  <si>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</si>
  <si>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</si>
  <si>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</si>
  <si>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</si>
  <si>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</si>
  <si>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</si>
  <si>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</si>
  <si>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</si>
  <si>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</si>
  <si>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</si>
  <si>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</si>
  <si>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</si>
  <si>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</si>
  <si>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</si>
  <si>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</si>
  <si>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</si>
  <si>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</si>
  <si>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</si>
  <si>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</si>
  <si>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</si>
  <si>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</si>
  <si>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</si>
  <si>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</si>
  <si>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</si>
  <si>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</si>
  <si>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</si>
  <si>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</si>
  <si>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</si>
  <si>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</si>
  <si>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</si>
  <si>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</si>
  <si>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</si>
  <si>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</si>
  <si>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</si>
  <si>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</si>
  <si>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</si>
  <si>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</si>
  <si>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</si>
  <si>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</si>
  <si>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</si>
  <si>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</si>
  <si>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</si>
  <si>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</si>
  <si>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</si>
  <si>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</si>
  <si>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</si>
  <si>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</si>
  <si>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</si>
  <si>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</si>
  <si>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</si>
  <si>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</si>
  <si>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</si>
  <si>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</si>
  <si>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</si>
  <si>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</si>
  <si>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</si>
  <si>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</si>
  <si>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</si>
  <si>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</si>
  <si>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</si>
  <si>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</si>
  <si>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</si>
  <si>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</si>
  <si>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</si>
  <si>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</si>
  <si>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</si>
  <si>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</si>
  <si>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</si>
  <si>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</si>
  <si>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</si>
  <si>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</si>
  <si>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</si>
  <si>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</si>
  <si>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</si>
  <si>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</si>
  <si>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</si>
  <si>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</si>
  <si>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</si>
  <si>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</si>
  <si>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</si>
  <si>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</si>
  <si>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</si>
  <si>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</si>
  <si>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</si>
  <si>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</si>
  <si>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</si>
  <si>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</si>
  <si>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</si>
  <si>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</si>
  <si>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</si>
  <si>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</si>
  <si>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</si>
  <si>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</si>
  <si>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</si>
  <si>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</si>
  <si>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</si>
  <si>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</si>
  <si>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</si>
  <si>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</si>
  <si>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</si>
  <si>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</si>
  <si>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</si>
  <si>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</si>
  <si>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</si>
  <si>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</si>
  <si>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</si>
  <si>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</si>
  <si>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</si>
  <si>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</si>
  <si>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</si>
  <si>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</si>
  <si>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</si>
  <si>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</si>
  <si>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</si>
  <si>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</si>
  <si>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</si>
  <si>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</si>
  <si>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</si>
  <si>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</si>
  <si>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</si>
  <si>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</si>
  <si>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</si>
  <si>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</si>
  <si>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</si>
  <si>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</si>
  <si>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</si>
  <si>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</si>
  <si>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</si>
  <si>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</si>
  <si>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</si>
  <si>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</si>
  <si>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</si>
  <si>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</si>
  <si>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</si>
  <si>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</si>
  <si>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</si>
  <si>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</si>
  <si>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</si>
  <si>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</si>
  <si>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</si>
  <si>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</si>
  <si>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</si>
  <si>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</si>
  <si>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</si>
  <si>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</si>
  <si>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</si>
  <si>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</si>
  <si>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</si>
  <si>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</si>
  <si>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</si>
  <si>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</si>
  <si>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</si>
  <si>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</si>
  <si>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</si>
  <si>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</si>
  <si>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</si>
  <si>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</si>
  <si>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</si>
  <si>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</si>
  <si>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</si>
  <si>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</si>
  <si>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</si>
  <si>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</si>
  <si>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</si>
  <si>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</si>
  <si>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</si>
  <si>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</si>
  <si>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</si>
  <si>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</si>
  <si>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</si>
  <si>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</si>
  <si>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</si>
  <si>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</si>
  <si>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</si>
  <si>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</si>
  <si>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</si>
  <si>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</si>
  <si>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</si>
  <si>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</si>
  <si>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</si>
  <si>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</si>
  <si>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</si>
  <si>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</si>
  <si>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</si>
  <si>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</si>
  <si>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</si>
  <si>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</si>
  <si>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</si>
  <si>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</si>
  <si>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</si>
  <si>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</si>
  <si>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</si>
  <si>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</si>
  <si>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</si>
  <si>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</si>
  <si>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</si>
  <si>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</si>
  <si>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</si>
  <si>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</si>
  <si>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</si>
  <si>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</si>
  <si>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</si>
  <si>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</si>
  <si>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</si>
  <si>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</si>
  <si>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</si>
  <si>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</si>
  <si>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</si>
  <si>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</si>
  <si>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</si>
  <si>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</si>
  <si>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</si>
  <si>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</si>
  <si>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</si>
  <si>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</si>
  <si>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</si>
  <si>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</si>
  <si>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</si>
  <si>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</si>
  <si>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</si>
  <si>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</si>
  <si>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</si>
  <si>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</si>
  <si>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</si>
  <si>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</si>
  <si>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</si>
  <si>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</si>
  <si>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</si>
  <si>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</si>
  <si>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</si>
  <si>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</si>
  <si>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</si>
  <si>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</si>
  <si>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</si>
  <si>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</si>
  <si>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</si>
  <si>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</si>
  <si>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</si>
  <si>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</si>
  <si>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</si>
  <si>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</si>
  <si>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</si>
  <si>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</si>
  <si>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</si>
  <si>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</si>
  <si>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</si>
  <si>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</si>
  <si>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</si>
  <si>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</si>
  <si>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</si>
  <si>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</si>
  <si>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</si>
  <si>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</si>
  <si>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</si>
  <si>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</si>
  <si>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</si>
  <si>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</si>
  <si>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</si>
  <si>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</si>
  <si>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</si>
  <si>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</si>
  <si>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</si>
  <si>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</si>
  <si>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</si>
  <si>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</si>
  <si>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</si>
  <si>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</si>
  <si>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</si>
  <si>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</si>
  <si>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</si>
  <si>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</si>
  <si>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</si>
  <si>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</si>
  <si>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</si>
  <si>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</si>
  <si>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</si>
  <si>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</si>
  <si>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</si>
  <si>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</si>
  <si>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</si>
  <si>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</si>
  <si>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</si>
  <si>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</si>
  <si>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</si>
  <si>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</si>
  <si>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</si>
  <si>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</si>
  <si>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</si>
  <si>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</si>
  <si>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</si>
  <si>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</si>
  <si>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</si>
  <si>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</si>
  <si>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</si>
  <si>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</si>
  <si>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</si>
  <si>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</si>
  <si>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</si>
  <si>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</si>
  <si>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</si>
  <si>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</si>
  <si>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</si>
  <si>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</si>
  <si>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</si>
  <si>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</si>
  <si>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</si>
  <si>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</si>
  <si>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</si>
  <si>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</si>
  <si>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</si>
  <si>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</si>
  <si>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</si>
  <si>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</si>
  <si>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</si>
  <si>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</si>
  <si>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</si>
  <si>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</si>
  <si>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</si>
  <si>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</si>
  <si>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</si>
  <si>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</si>
  <si>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</si>
  <si>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</si>
  <si>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</si>
  <si>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</si>
  <si>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</si>
  <si>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</si>
  <si>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</si>
  <si>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</si>
  <si>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</si>
  <si>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</si>
  <si>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</si>
  <si>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</si>
  <si>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</si>
  <si>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</si>
  <si>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</si>
  <si>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</si>
  <si>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</si>
  <si>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</si>
  <si>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</si>
  <si>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</si>
  <si>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</si>
  <si>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</si>
  <si>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</si>
  <si>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</si>
  <si>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</si>
  <si>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</si>
  <si>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</si>
  <si>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</si>
  <si>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</si>
  <si>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</si>
  <si>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</si>
  <si>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</si>
  <si>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</si>
  <si>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</si>
  <si>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</si>
  <si>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</si>
  <si>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</si>
  <si>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</si>
  <si>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</si>
  <si>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</si>
  <si>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</si>
  <si>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</si>
  <si>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</si>
  <si>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</si>
  <si>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</si>
  <si>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</si>
  <si>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</si>
  <si>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</si>
  <si>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</si>
  <si>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</si>
  <si>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</si>
  <si>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</si>
  <si>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</si>
  <si>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</si>
  <si>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</si>
  <si>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</si>
  <si>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</si>
  <si>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</si>
  <si>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</si>
  <si>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</si>
  <si>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</si>
  <si>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</si>
  <si>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</si>
  <si>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</si>
  <si>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</si>
  <si>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</si>
  <si>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</si>
  <si>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</si>
  <si>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</si>
  <si>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</si>
  <si>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</si>
  <si>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</si>
  <si>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</si>
  <si>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</si>
  <si>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</si>
  <si>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</si>
  <si>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</si>
  <si>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</si>
  <si>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</si>
  <si>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</si>
  <si>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</si>
  <si>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</si>
  <si>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</si>
  <si>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</si>
  <si>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</si>
  <si>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</si>
  <si>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</si>
  <si>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</si>
  <si>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</si>
  <si>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</si>
  <si>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</si>
  <si>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</si>
  <si>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</si>
  <si>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</si>
  <si>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</si>
  <si>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</si>
  <si>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</si>
  <si>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</si>
  <si>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</si>
  <si>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</si>
  <si>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</si>
  <si>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</si>
  <si>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</si>
  <si>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</si>
  <si>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</si>
  <si>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</si>
  <si>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</si>
  <si>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</si>
  <si>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</si>
  <si>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</si>
  <si>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</si>
  <si>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</si>
  <si>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</si>
  <si>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</si>
  <si>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</si>
  <si>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</si>
  <si>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</si>
  <si>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</si>
  <si>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</si>
  <si>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</si>
  <si>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</si>
  <si>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</si>
  <si>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</si>
  <si>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</si>
  <si>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</si>
  <si>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</si>
  <si>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</si>
  <si>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</si>
  <si>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</si>
  <si>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</si>
  <si>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</si>
  <si>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</si>
  <si>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</si>
  <si>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</si>
  <si>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</si>
  <si>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</si>
  <si>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</si>
  <si>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</si>
  <si>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</si>
  <si>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</si>
  <si>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</si>
  <si>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</si>
  <si>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</si>
  <si>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</si>
  <si>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</si>
  <si>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</si>
  <si>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</si>
  <si>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</si>
  <si>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</si>
  <si>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</si>
  <si>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</si>
  <si>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</si>
  <si>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</si>
  <si>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</si>
  <si>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</si>
  <si>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</si>
  <si>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</si>
  <si>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</si>
  <si>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</si>
  <si>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</si>
  <si>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</si>
  <si>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</si>
  <si>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</si>
  <si>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</si>
  <si>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</si>
  <si>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</si>
  <si>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</si>
  <si>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</si>
  <si>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</si>
  <si>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</si>
  <si>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</si>
  <si>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</si>
  <si>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</si>
  <si>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</si>
  <si>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</si>
  <si>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</si>
  <si>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</si>
  <si>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</si>
  <si>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</si>
  <si>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</si>
  <si>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</si>
  <si>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</si>
  <si>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</si>
  <si>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</si>
  <si>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</si>
  <si>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</si>
  <si>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</si>
  <si>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</si>
  <si>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</si>
  <si>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</si>
  <si>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</si>
  <si>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</si>
  <si>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</si>
  <si>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</si>
  <si>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</si>
  <si>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</si>
  <si>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</si>
  <si>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</si>
  <si>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</si>
  <si>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</si>
  <si>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</si>
  <si>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</si>
  <si>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</si>
  <si>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</si>
  <si>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</si>
  <si>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</si>
  <si>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</si>
  <si>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</si>
  <si>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</si>
  <si>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</si>
  <si>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</si>
  <si>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</si>
  <si>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</si>
  <si>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</si>
  <si>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</si>
  <si>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</si>
  <si>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</si>
  <si>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</si>
  <si>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</si>
  <si>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</si>
  <si>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</si>
  <si>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</si>
  <si>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</si>
  <si>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</si>
  <si>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</si>
  <si>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</si>
  <si>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</si>
  <si>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</si>
  <si>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</si>
  <si>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</si>
  <si>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</si>
  <si>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</si>
  <si>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</si>
  <si>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</si>
  <si>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</si>
  <si>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</si>
  <si>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</si>
  <si>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</si>
  <si>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</si>
  <si>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</si>
  <si>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</si>
  <si>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</si>
  <si>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</si>
  <si>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</si>
  <si>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</si>
  <si>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</si>
  <si>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</si>
  <si>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</si>
  <si>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</si>
  <si>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</si>
  <si>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</si>
  <si>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</si>
  <si>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</si>
  <si>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</si>
  <si>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</si>
  <si>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</si>
  <si>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</si>
  <si>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</si>
  <si>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</si>
  <si>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</si>
  <si>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</si>
  <si>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</si>
  <si>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</si>
  <si>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</si>
  <si>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</si>
  <si>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</si>
  <si>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</si>
  <si>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</si>
  <si>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</si>
  <si>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</si>
  <si>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</si>
  <si>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</si>
  <si>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</si>
  <si>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</si>
  <si>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</si>
  <si>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</si>
  <si>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</si>
  <si>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</si>
  <si>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</si>
  <si>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</si>
  <si>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</si>
  <si>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</si>
  <si>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</si>
  <si>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</si>
  <si>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</si>
  <si>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</si>
  <si>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</si>
  <si>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</si>
  <si>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</si>
  <si>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</si>
  <si>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</si>
  <si>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</si>
  <si>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</si>
  <si>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</si>
  <si>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</si>
  <si>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</si>
  <si>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</si>
  <si>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</si>
  <si>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</si>
  <si>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</si>
  <si>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</si>
  <si>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</si>
  <si>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</si>
  <si>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</si>
  <si>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</si>
  <si>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</si>
  <si>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</si>
  <si>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</si>
  <si>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</si>
  <si>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</si>
  <si>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</si>
  <si>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</si>
  <si>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</si>
  <si>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</si>
  <si>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</si>
  <si>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</si>
  <si>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</si>
  <si>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</si>
  <si>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</si>
  <si>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</si>
  <si>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</si>
  <si>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</si>
  <si>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</si>
  <si>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</si>
  <si>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</si>
  <si>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</si>
  <si>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</si>
  <si>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</si>
  <si>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</si>
  <si>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</si>
  <si>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</si>
  <si>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</si>
  <si>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</si>
  <si>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</si>
  <si>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</si>
  <si>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</si>
  <si>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</si>
  <si>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</si>
  <si>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</si>
  <si>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</si>
  <si>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</si>
  <si>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</si>
  <si>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</si>
  <si>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</si>
  <si>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</si>
  <si>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</si>
  <si>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</si>
  <si>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</si>
  <si>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</si>
  <si>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</si>
  <si>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</si>
  <si>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</si>
  <si>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</si>
  <si>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</si>
  <si>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</si>
  <si>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</si>
  <si>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</si>
  <si>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</si>
  <si>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</si>
  <si>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</si>
  <si>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</si>
  <si>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</si>
  <si>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</si>
  <si>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</si>
  <si>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</si>
  <si>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</si>
  <si>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</si>
  <si>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</si>
  <si>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</si>
  <si>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</si>
  <si>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</si>
  <si>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</si>
  <si>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</si>
  <si>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</si>
  <si>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</si>
  <si>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</si>
  <si>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</si>
  <si>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</si>
  <si>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</si>
  <si>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</si>
  <si>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</si>
  <si>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</si>
  <si>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</si>
  <si>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</si>
  <si>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</si>
  <si>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</si>
  <si>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</si>
  <si>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</si>
  <si>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</si>
  <si>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</si>
  <si>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</si>
  <si>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</si>
  <si>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</si>
  <si>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</si>
  <si>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</si>
  <si>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</si>
  <si>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</si>
  <si>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</si>
  <si>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</si>
  <si>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</si>
  <si>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</si>
  <si>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</si>
  <si>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</si>
  <si>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</si>
  <si>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</si>
  <si>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</si>
  <si>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</si>
  <si>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</si>
  <si>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</si>
  <si>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</si>
  <si>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</si>
  <si>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</si>
  <si>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</si>
  <si>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</si>
  <si>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</si>
  <si>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</si>
  <si>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</si>
  <si>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</si>
  <si>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</si>
  <si>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</si>
  <si>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</si>
  <si>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</si>
  <si>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</si>
  <si>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</si>
  <si>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</si>
  <si>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</si>
  <si>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</si>
  <si>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</si>
  <si>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</si>
  <si>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</si>
  <si>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</si>
  <si>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</si>
  <si>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</si>
  <si>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</si>
  <si>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</si>
  <si>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</si>
  <si>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</si>
  <si>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</si>
  <si>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</si>
  <si>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</si>
  <si>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</si>
  <si>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</si>
  <si>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</si>
  <si>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</si>
  <si>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</si>
  <si>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</si>
  <si>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</si>
  <si>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</si>
  <si>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</si>
  <si>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</si>
  <si>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</si>
  <si>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</si>
  <si>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</si>
  <si>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</si>
  <si>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</si>
  <si>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</si>
  <si>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</si>
  <si>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</si>
  <si>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</si>
  <si>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</si>
  <si>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</si>
  <si>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</si>
  <si>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</si>
  <si>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</si>
  <si>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</si>
  <si>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</si>
  <si>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</si>
  <si>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</si>
  <si>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</si>
  <si>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</si>
  <si>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</si>
  <si>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</si>
  <si>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</si>
  <si>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</si>
  <si>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</si>
  <si>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</si>
  <si>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</si>
  <si>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</si>
  <si>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</si>
  <si>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</si>
  <si>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</si>
  <si>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</si>
  <si>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</si>
  <si>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</si>
  <si>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</si>
  <si>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</si>
  <si>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</si>
  <si>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</si>
  <si>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</si>
  <si>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</si>
  <si>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</si>
  <si>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</si>
  <si>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</si>
  <si>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</si>
  <si>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</si>
  <si>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</si>
  <si>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</si>
  <si>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</si>
  <si>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</si>
  <si>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</si>
  <si>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</si>
  <si>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</si>
  <si>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</si>
  <si>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</si>
  <si>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</si>
  <si>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</si>
  <si>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</si>
  <si>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</si>
  <si>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</si>
  <si>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</si>
  <si>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</si>
  <si>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</si>
  <si>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</si>
  <si>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</si>
  <si>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</si>
  <si>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</si>
  <si>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</si>
  <si>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</si>
  <si>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</si>
  <si>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</si>
  <si>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</si>
  <si>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</si>
  <si>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</si>
  <si>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</si>
  <si>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</si>
  <si>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</si>
  <si>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</si>
  <si>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</si>
  <si>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</si>
  <si>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</si>
  <si>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</si>
  <si>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</si>
  <si>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</si>
  <si>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</si>
  <si>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</si>
  <si>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</si>
  <si>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</si>
  <si>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</si>
  <si>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</si>
  <si>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</si>
  <si>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</si>
  <si>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</si>
  <si>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</si>
  <si>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</si>
  <si>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</si>
  <si>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</si>
  <si>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</si>
  <si>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</si>
  <si>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</si>
  <si>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</si>
  <si>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</si>
  <si>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</si>
  <si>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</si>
  <si>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</si>
  <si>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</si>
  <si>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</si>
  <si>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</si>
  <si>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</si>
  <si>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</si>
  <si>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</si>
  <si>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</si>
  <si>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</si>
  <si>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</si>
  <si>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</si>
  <si>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</si>
  <si>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</si>
  <si>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</si>
  <si>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</si>
  <si>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</si>
  <si>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</si>
  <si>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</si>
  <si>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</si>
  <si>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</si>
  <si>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</si>
  <si>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</si>
  <si>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</si>
  <si>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</si>
  <si>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</si>
  <si>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</si>
  <si>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</si>
  <si>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</si>
  <si>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</si>
  <si>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</si>
  <si>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</si>
  <si>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</si>
  <si>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</si>
  <si>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</si>
  <si>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</si>
  <si>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</si>
  <si>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</si>
  <si>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</si>
  <si>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</si>
  <si>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</si>
  <si>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</si>
  <si>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</si>
  <si>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</si>
  <si>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</si>
  <si>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</si>
  <si>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</si>
  <si>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</si>
  <si>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</si>
  <si>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</si>
  <si>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</si>
  <si>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</si>
  <si>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</si>
  <si>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</si>
  <si>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</si>
  <si>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</si>
  <si>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</si>
  <si>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</si>
  <si>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</si>
  <si>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</si>
  <si>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</si>
  <si>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</si>
  <si>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</si>
  <si>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</si>
  <si>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</si>
  <si>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</si>
  <si>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</si>
  <si>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</si>
  <si>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</si>
  <si>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</si>
  <si>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</si>
  <si>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</si>
  <si>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</si>
  <si>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</si>
  <si>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</si>
  <si>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</si>
  <si>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</si>
  <si>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Voorzetramen</t>
  </si>
  <si>
    <t>Beplating wassen</t>
  </si>
  <si>
    <t>Glazen wandtuin</t>
  </si>
  <si>
    <t>Bibliotheek/OLC</t>
  </si>
  <si>
    <t>Garderobes</t>
  </si>
  <si>
    <t>Kantine/Aula</t>
  </si>
  <si>
    <t>Praktijklokalen</t>
  </si>
  <si>
    <t>Leslokalen</t>
  </si>
  <si>
    <t>Toestelberging</t>
  </si>
  <si>
    <t>Gymzaal</t>
  </si>
  <si>
    <t>Niet in Onderhoud</t>
  </si>
  <si>
    <t>Le</t>
  </si>
  <si>
    <t>Ve</t>
  </si>
  <si>
    <t>Bu</t>
  </si>
  <si>
    <t>Sa</t>
  </si>
  <si>
    <t>kleedruimten</t>
  </si>
  <si>
    <t>Sp</t>
  </si>
  <si>
    <t>Kinderopvang</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</si>
  <si>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</si>
  <si>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</si>
  <si>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</si>
  <si>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</si>
  <si>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</si>
  <si>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</si>
  <si>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</si>
  <si>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</si>
  <si>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</si>
  <si>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</si>
  <si>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</si>
  <si>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</si>
  <si>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</si>
  <si>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</si>
  <si>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</si>
  <si>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</si>
  <si>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</si>
  <si>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 xml:space="preserve">Beeldschermen dienen dagelijks te worden gereinigd (stof- en vlekvrij). </t>
  </si>
  <si>
    <t>Sanitaire voorzieningen</t>
  </si>
  <si>
    <t>Omschrijving</t>
  </si>
  <si>
    <t>Aantal</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</si>
  <si>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</si>
  <si>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</si>
  <si>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</si>
  <si>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</si>
  <si>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</si>
  <si>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</si>
  <si>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</si>
  <si>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</si>
  <si>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</si>
  <si>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</si>
  <si>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</si>
  <si>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</si>
  <si>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</si>
  <si>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</si>
  <si>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</si>
  <si>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</si>
  <si>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</si>
  <si>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</si>
  <si>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</si>
  <si>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</si>
  <si>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</si>
  <si>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</si>
  <si>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</si>
  <si>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</si>
  <si>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</si>
  <si>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</si>
  <si>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</si>
  <si>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</si>
  <si>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</si>
  <si>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</si>
  <si>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</si>
  <si>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</si>
  <si>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</si>
  <si>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</si>
  <si>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</si>
  <si>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</si>
  <si>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</si>
  <si>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</si>
  <si>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</si>
  <si>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</si>
  <si>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</si>
  <si>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</si>
  <si>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</si>
  <si>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</si>
  <si>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</si>
  <si>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</si>
  <si>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</si>
  <si>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</si>
  <si>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</si>
  <si>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</si>
  <si>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</si>
  <si>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</si>
  <si>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</si>
  <si>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</si>
  <si>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</si>
  <si>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</si>
  <si>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</si>
  <si>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</si>
  <si>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</si>
  <si>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</si>
  <si>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</si>
  <si>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</si>
  <si>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</si>
  <si>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</si>
  <si>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</si>
  <si>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</si>
  <si>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</si>
  <si>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</si>
  <si>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</si>
  <si>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</si>
  <si>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</si>
  <si>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</si>
  <si>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</si>
  <si>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</si>
  <si>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</si>
  <si>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</si>
  <si>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</si>
  <si>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</si>
  <si>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</si>
  <si>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</si>
  <si>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</si>
  <si>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</si>
  <si>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</si>
  <si>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</si>
  <si>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</si>
  <si>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</si>
  <si>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</si>
  <si>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</si>
  <si>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</si>
  <si>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</si>
  <si>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</si>
  <si>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</si>
  <si>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</si>
  <si>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</si>
  <si>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</si>
  <si>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</si>
  <si>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</si>
  <si>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</si>
  <si>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</si>
  <si>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</si>
  <si>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</si>
  <si>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</si>
  <si>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</si>
  <si>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</si>
  <si>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</si>
  <si>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</si>
  <si>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</si>
  <si>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</si>
  <si>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</si>
  <si>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</si>
  <si>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</si>
  <si>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</si>
  <si>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</si>
  <si>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</si>
  <si>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</si>
  <si>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</si>
  <si>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</si>
  <si>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</si>
  <si>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</si>
  <si>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</si>
  <si>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</si>
  <si>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</si>
  <si>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</si>
  <si>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</si>
  <si>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</si>
  <si>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</si>
  <si>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</si>
  <si>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</si>
  <si>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</si>
  <si>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</si>
  <si>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</si>
  <si>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</si>
  <si>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</si>
  <si>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</si>
  <si>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</si>
  <si>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</si>
  <si>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</si>
  <si>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</si>
  <si>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</si>
  <si>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</si>
  <si>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</si>
  <si>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</si>
  <si>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</si>
  <si>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</si>
  <si>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</si>
  <si>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</si>
  <si>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</si>
  <si>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</si>
  <si>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</si>
  <si>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</si>
  <si>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</si>
  <si>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</si>
  <si>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</si>
  <si>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</si>
  <si>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</si>
  <si>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</si>
  <si>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</si>
  <si>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</si>
  <si>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</si>
  <si>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</si>
  <si>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</si>
  <si>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</si>
  <si>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</si>
  <si>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</si>
  <si>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</si>
  <si>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</si>
  <si>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</si>
  <si>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</si>
  <si>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</si>
  <si>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</si>
  <si>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</si>
  <si>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</si>
  <si>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</si>
  <si>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</si>
  <si>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</si>
  <si>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</si>
  <si>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</si>
  <si>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</si>
  <si>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</si>
  <si>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</si>
  <si>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</si>
  <si>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</si>
  <si>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</si>
  <si>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</si>
  <si>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</si>
  <si>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</si>
  <si>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</si>
  <si>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</si>
  <si>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</si>
  <si>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</si>
  <si>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</si>
  <si>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</si>
  <si>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</si>
  <si>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</si>
  <si>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Werkzaamheden/Producten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</si>
  <si>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</si>
  <si>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</si>
  <si>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</si>
  <si>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</si>
  <si>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</si>
  <si>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</si>
  <si>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</si>
  <si>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</si>
  <si>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</si>
  <si>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</si>
  <si>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</si>
  <si>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</si>
  <si>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</si>
  <si>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</si>
  <si>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</si>
  <si>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</si>
  <si>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</si>
  <si>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</si>
  <si>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</si>
  <si>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</si>
  <si>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</si>
  <si>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</si>
  <si>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</si>
  <si>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</si>
  <si>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</si>
  <si>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</si>
  <si>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</si>
  <si>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</si>
  <si>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</si>
  <si>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</si>
  <si>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</si>
  <si>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</si>
  <si>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</si>
  <si>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</si>
  <si>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</si>
  <si>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</si>
  <si>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</si>
  <si>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</si>
  <si>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</si>
  <si>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</si>
  <si>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</si>
  <si>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</si>
  <si>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</si>
  <si>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</si>
  <si>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</si>
  <si>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</si>
  <si>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</si>
  <si>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</si>
  <si>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</si>
  <si>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</si>
  <si>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</si>
  <si>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</si>
  <si>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</si>
  <si>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</si>
  <si>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</si>
  <si>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</si>
  <si>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</si>
  <si>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</si>
  <si>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</si>
  <si>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</si>
  <si>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</si>
  <si>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</si>
  <si>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</si>
  <si>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</si>
  <si>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</si>
  <si>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</si>
  <si>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</si>
  <si>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</si>
  <si>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</si>
  <si>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</si>
  <si>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</si>
  <si>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</si>
  <si>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</si>
  <si>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</si>
  <si>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</si>
  <si>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</si>
  <si>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</si>
  <si>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</si>
  <si>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</si>
  <si>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Sanitaire voorzieningen kosten/ jaar excl. Btw2</t>
  </si>
  <si>
    <t>Glasbewassing kosten/ jaar excl. Btw</t>
  </si>
  <si>
    <t>Gewogen
indexering</t>
  </si>
  <si>
    <t>Code2</t>
  </si>
  <si>
    <t>2029</t>
  </si>
  <si>
    <t>Opmerkingen</t>
  </si>
  <si>
    <t>Prijs
Excl. BTW</t>
  </si>
  <si>
    <t>Toelichting</t>
  </si>
  <si>
    <t>CBS DPI</t>
  </si>
  <si>
    <t>Prijs per dag</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</si>
  <si>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</si>
  <si>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</si>
  <si>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</si>
  <si>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</si>
  <si>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vl1</t>
    </r>
    <r>
      <rPr>
        <sz val="10"/>
        <color theme="6"/>
        <rFont val="Aptos"/>
        <family val="2"/>
      </rPr>
      <t>2</t>
    </r>
  </si>
  <si>
    <r>
      <t>vl2</t>
    </r>
    <r>
      <rPr>
        <sz val="10"/>
        <color theme="6"/>
        <rFont val="Aptos"/>
        <family val="2"/>
      </rPr>
      <t>3</t>
    </r>
  </si>
  <si>
    <r>
      <t>vl3</t>
    </r>
    <r>
      <rPr>
        <sz val="10"/>
        <color theme="6"/>
        <rFont val="Aptos"/>
        <family val="2"/>
      </rPr>
      <t>4</t>
    </r>
  </si>
  <si>
    <r>
      <t>vl4</t>
    </r>
    <r>
      <rPr>
        <sz val="10"/>
        <color theme="6"/>
        <rFont val="Aptos"/>
        <family val="2"/>
      </rPr>
      <t>5</t>
    </r>
  </si>
  <si>
    <r>
      <t>vl5</t>
    </r>
    <r>
      <rPr>
        <sz val="10"/>
        <color theme="6"/>
        <rFont val="Aptos"/>
        <family val="2"/>
      </rPr>
      <t>6</t>
    </r>
  </si>
  <si>
    <r>
      <t>vl6</t>
    </r>
    <r>
      <rPr>
        <sz val="10"/>
        <color theme="6"/>
        <rFont val="Aptos"/>
        <family val="2"/>
      </rPr>
      <t>7</t>
    </r>
  </si>
  <si>
    <r>
      <t>vl7</t>
    </r>
    <r>
      <rPr>
        <sz val="10"/>
        <color theme="6"/>
        <rFont val="Aptos"/>
        <family val="2"/>
      </rPr>
      <t>8</t>
    </r>
  </si>
  <si>
    <r>
      <t>vnl</t>
    </r>
    <r>
      <rPr>
        <sz val="10"/>
        <color theme="6"/>
        <rFont val="Aptos"/>
        <family val="2"/>
      </rPr>
      <t>9</t>
    </r>
  </si>
  <si>
    <r>
      <t>i8</t>
    </r>
    <r>
      <rPr>
        <sz val="10"/>
        <color theme="4" tint="0.39997558519241921"/>
        <rFont val="Aptos"/>
        <family val="2"/>
      </rPr>
      <t>10</t>
    </r>
  </si>
  <si>
    <r>
      <t>i9</t>
    </r>
    <r>
      <rPr>
        <sz val="10"/>
        <color theme="4" tint="0.39997558519241921"/>
        <rFont val="Aptos"/>
        <family val="2"/>
      </rPr>
      <t>11</t>
    </r>
  </si>
  <si>
    <r>
      <t>i10</t>
    </r>
    <r>
      <rPr>
        <sz val="10"/>
        <color theme="3" tint="0.59999389629810485"/>
        <rFont val="Aptos"/>
        <family val="2"/>
      </rPr>
      <t>2</t>
    </r>
  </si>
  <si>
    <r>
      <rPr>
        <sz val="10"/>
        <rFont val="Aptos"/>
        <family val="2"/>
      </rPr>
      <t>i11</t>
    </r>
    <r>
      <rPr>
        <sz val="10"/>
        <color theme="4" tint="0.39997558519241921"/>
        <rFont val="Aptos"/>
        <family val="2"/>
      </rPr>
      <t>2</t>
    </r>
  </si>
  <si>
    <r>
      <t>i12</t>
    </r>
    <r>
      <rPr>
        <sz val="10"/>
        <color theme="3" tint="0.59999389629810485"/>
        <rFont val="Aptos"/>
        <family val="2"/>
      </rPr>
      <t>2</t>
    </r>
  </si>
  <si>
    <r>
      <t>i13</t>
    </r>
    <r>
      <rPr>
        <sz val="10"/>
        <color theme="3" tint="0.59999389629810485"/>
        <rFont val="Aptos"/>
        <family val="2"/>
      </rPr>
      <t>2</t>
    </r>
  </si>
  <si>
    <r>
      <t>i14</t>
    </r>
    <r>
      <rPr>
        <sz val="10"/>
        <color theme="3" tint="0.59999389629810485"/>
        <rFont val="Aptos"/>
        <family val="2"/>
      </rPr>
      <t>2</t>
    </r>
  </si>
  <si>
    <r>
      <t>inl</t>
    </r>
    <r>
      <rPr>
        <sz val="10"/>
        <color theme="3" tint="0.59999389629810485"/>
        <rFont val="Aptos"/>
        <family val="2"/>
      </rPr>
      <t>2</t>
    </r>
  </si>
  <si>
    <r>
      <t>s15</t>
    </r>
    <r>
      <rPr>
        <sz val="10"/>
        <color theme="5" tint="0.39997558519241921"/>
        <rFont val="Aptos"/>
        <family val="2"/>
      </rPr>
      <t>2</t>
    </r>
  </si>
  <si>
    <r>
      <t>s16</t>
    </r>
    <r>
      <rPr>
        <sz val="10"/>
        <color theme="5" tint="0.39997558519241921"/>
        <rFont val="Aptos"/>
        <family val="2"/>
      </rPr>
      <t>2</t>
    </r>
  </si>
  <si>
    <r>
      <t>snl</t>
    </r>
    <r>
      <rPr>
        <sz val="10"/>
        <color theme="5" tint="0.39997558519241921"/>
        <rFont val="Aptos"/>
        <family val="2"/>
      </rPr>
      <t>2</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</si>
  <si>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</si>
  <si>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</si>
  <si>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</si>
  <si>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</si>
  <si>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Bijlage 4 dient in Excel format te worden toegevoegd, deze pagina dient daarnaast rechtsgeldig ondertekend als PDF te worden toegevoegd.</t>
  </si>
  <si>
    <t>2031</t>
  </si>
  <si>
    <t>2030</t>
  </si>
  <si>
    <t>Algemeen</t>
  </si>
  <si>
    <t>Handelingen dieptereiniging 2 x per jaar</t>
  </si>
  <si>
    <t>Borden</t>
  </si>
  <si>
    <t>Alle bewegwijzeringsborden, informatieborden en dergelijke welke zich in de panden bevinden dienen één keer per maand stofvrij te worden gemaakt.</t>
  </si>
  <si>
    <t>Telefoontoestellen, beeldschermen, toetsenborden e.d. stof en vlekvrij maken;</t>
  </si>
  <si>
    <t>Jansstraat 40</t>
  </si>
  <si>
    <t>Haarlem</t>
  </si>
  <si>
    <t>Kleine Houtweg</t>
  </si>
  <si>
    <t>Kleine Houtweg 18</t>
  </si>
  <si>
    <t>3a</t>
  </si>
  <si>
    <t>Receptie</t>
  </si>
  <si>
    <t>Studiezaal</t>
  </si>
  <si>
    <t>Garderobe</t>
  </si>
  <si>
    <t>Hal</t>
  </si>
  <si>
    <t>Restaurant</t>
  </si>
  <si>
    <t>Zitruimte Restaurant</t>
  </si>
  <si>
    <t>Steen/tapijt</t>
  </si>
  <si>
    <t>Tegels</t>
  </si>
  <si>
    <t>Voorruimte Sanitair</t>
  </si>
  <si>
    <t>MIVA</t>
  </si>
  <si>
    <t>Stilte studieruimte</t>
  </si>
  <si>
    <t>Begane grond</t>
  </si>
  <si>
    <t>Eerste etage</t>
  </si>
  <si>
    <t>Trap</t>
  </si>
  <si>
    <t>Gang</t>
  </si>
  <si>
    <t>Wentel trap</t>
  </si>
  <si>
    <t>Voorgebouw</t>
  </si>
  <si>
    <t>Tweede etage</t>
  </si>
  <si>
    <t>Kantoor</t>
  </si>
  <si>
    <t>Linoleum</t>
  </si>
  <si>
    <t>1a</t>
  </si>
  <si>
    <t>Expositieruimte</t>
  </si>
  <si>
    <t>Deel 1</t>
  </si>
  <si>
    <t>Vergaderruimte</t>
  </si>
  <si>
    <t>Lift</t>
  </si>
  <si>
    <t>Druklab</t>
  </si>
  <si>
    <t>Drukkerij</t>
  </si>
  <si>
    <t>Derde etage</t>
  </si>
  <si>
    <t>10a</t>
  </si>
  <si>
    <t>12+14</t>
  </si>
  <si>
    <t>16a</t>
  </si>
  <si>
    <t>Directie</t>
  </si>
  <si>
    <t>2a</t>
  </si>
  <si>
    <t>Gietvloer</t>
  </si>
  <si>
    <t>Belcel</t>
  </si>
  <si>
    <t>Pauze deel</t>
  </si>
  <si>
    <t>Fotolab</t>
  </si>
  <si>
    <t>Werkplaats</t>
  </si>
  <si>
    <t>PU-coating</t>
  </si>
  <si>
    <t>Kelder -2</t>
  </si>
  <si>
    <t>Depot</t>
  </si>
  <si>
    <t>Beton</t>
  </si>
  <si>
    <t>Kelder -1</t>
  </si>
  <si>
    <t>Rubber</t>
  </si>
  <si>
    <t>Betreft m²</t>
  </si>
  <si>
    <t>Opmerking</t>
  </si>
  <si>
    <t>Reinigen depot conform bijlage 9a 1200 m²</t>
  </si>
  <si>
    <t>Reinigen depot conform bijlage 9a 3600 m2</t>
  </si>
  <si>
    <t>Uren / beurt</t>
  </si>
  <si>
    <t>Prijs per uur, overgenomen vanuit tariefsopbouw</t>
  </si>
  <si>
    <t>Jansstraat en Janskerk</t>
  </si>
  <si>
    <t>2011 RX</t>
  </si>
  <si>
    <t>2012 CH</t>
  </si>
  <si>
    <t>2032</t>
  </si>
  <si>
    <t>Koffieautomaat reinigen en bijvullen</t>
  </si>
  <si>
    <t>Trappenhuis</t>
  </si>
  <si>
    <t>Metaal</t>
  </si>
  <si>
    <t>Reinigen stellingkasten op afroep</t>
  </si>
  <si>
    <t>Scankamer</t>
  </si>
  <si>
    <t>Restauratieatelier</t>
  </si>
  <si>
    <t>Quarantaineruimte op afroep Kleine Houtweg</t>
  </si>
  <si>
    <t>Maximaal 12 uitvoeringsmomenten</t>
  </si>
  <si>
    <t>Voorziening</t>
  </si>
  <si>
    <t>Luchtverfrisser Kimberly Clark navulling</t>
  </si>
  <si>
    <t>Tork mini jumbo toiletpapier 2-laags</t>
  </si>
  <si>
    <t>12 stuks per doos, prijs per doos</t>
  </si>
  <si>
    <t>6 stuks per doos, prijs per doos</t>
  </si>
  <si>
    <t>Handdoek Z-vouw 1-laags</t>
  </si>
  <si>
    <t>5000 stuks, prijs per doos</t>
  </si>
  <si>
    <t>Tork toiletpapier 2-laags</t>
  </si>
  <si>
    <t>Toiletborstel</t>
  </si>
  <si>
    <t>Interieurverzorgster</t>
  </si>
  <si>
    <t>Onbepaalde tijd</t>
  </si>
  <si>
    <t>Ja</t>
  </si>
  <si>
    <t>Nee</t>
  </si>
  <si>
    <t>€1,71 p/werkdag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</si>
</sst>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 numFmtId="187" formatCode="#.##000"/>
  </numFmts>
  <fonts count="66">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theme="1"/>
      <name val="Aptos"/>
      <family val="2"/>
    </font>
    <font>
      <sz val="10"/>
      <name val="Aptos"/>
      <family val="2"/>
    </font>
    <font>
      <b/>
      <sz val="22"/>
      <name val="Aptos"/>
      <family val="2"/>
    </font>
    <font>
      <b/>
      <sz val="10"/>
      <color indexed="10"/>
      <name val="Aptos"/>
      <family val="2"/>
    </font>
    <font>
      <b/>
      <sz val="10"/>
      <name val="Aptos"/>
      <family val="2"/>
    </font>
    <font>
      <b/>
      <sz val="9"/>
      <name val="Aptos"/>
      <family val="2"/>
    </font>
    <font>
      <sz val="9"/>
      <name val="Aptos"/>
      <family val="2"/>
    </font>
    <font>
      <b/>
      <sz val="11"/>
      <name val="Aptos"/>
      <family val="2"/>
    </font>
    <font>
      <b/>
      <sz val="12"/>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b/>
      <sz val="14"/>
      <color theme="0"/>
      <name val="Aptos"/>
      <family val="2"/>
    </font>
    <font>
      <b/>
      <sz val="11"/>
      <color theme="0"/>
      <name val="Aptos"/>
      <family val="2"/>
    </font>
    <font>
      <sz val="10"/>
      <color theme="6"/>
      <name val="Aptos"/>
      <family val="2"/>
    </font>
    <font>
      <sz val="10"/>
      <color theme="4" tint="0.39997558519241921"/>
      <name val="Aptos"/>
      <family val="2"/>
    </font>
    <font>
      <sz val="10"/>
      <color theme="3" tint="0.59999389629810485"/>
      <name val="Aptos"/>
      <family val="2"/>
    </font>
    <font>
      <sz val="10"/>
      <color theme="5" tint="0.39997558519241921"/>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b/>
      <sz val="10"/>
      <color theme="0"/>
      <name val="Aptos"/>
      <family val="2"/>
    </font>
    <font>
      <b/>
      <sz val="9"/>
      <color indexed="9"/>
      <name val="Aptos"/>
      <family val="2"/>
    </font>
    <font>
      <b/>
      <u/>
      <sz val="9"/>
      <color indexed="9"/>
      <name val="Aptos"/>
      <family val="2"/>
    </font>
    <font>
      <b/>
      <u/>
      <sz val="9"/>
      <color theme="0"/>
      <name val="Aptos"/>
      <family val="2"/>
    </font>
    <font>
      <b/>
      <sz val="20"/>
      <name val="Aptos"/>
      <family val="2"/>
    </font>
    <font>
      <b/>
      <sz val="10"/>
      <color rgb="FFFFFFFF"/>
      <name val="Aptos"/>
      <family val="2"/>
    </font>
    <font>
      <b/>
      <sz val="12"/>
      <color theme="0"/>
      <name val="Aptos"/>
      <family val="2"/>
    </font>
    <font>
      <b/>
      <sz val="9"/>
      <color theme="0"/>
      <name val="Aptos"/>
      <family val="2"/>
    </font>
  </fonts>
  <fills count="31">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2B4155"/>
        <bgColor theme="4"/>
      </patternFill>
    </fill>
    <fill>
      <patternFill patternType="solid">
        <fgColor rgb="FF00FF00"/>
        <bgColor indexed="64"/>
      </patternFill>
    </fill>
  </fills>
  <borders count="35">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513">
    <xf numFmtId="0" fontId="0" fillId="0" borderId="0" xfId="0"/>
    <xf numFmtId="0" fontId="29" fillId="0" borderId="9" xfId="0" applyFont="1" applyBorder="1" applyAlignment="1">
      <alignment horizontal="right" vertical="center"/>
    </xf>
    <xf numFmtId="14" fontId="29" fillId="0" borderId="9" xfId="0" applyNumberFormat="1" applyFont="1" applyBorder="1" applyAlignment="1">
      <alignment vertical="center"/>
    </xf>
    <xf numFmtId="0" fontId="29" fillId="0" borderId="9" xfId="0" applyFont="1" applyBorder="1" applyAlignment="1">
      <alignment vertical="center"/>
    </xf>
    <xf numFmtId="168" fontId="29" fillId="0" borderId="9" xfId="20" applyFont="1" applyBorder="1" applyAlignment="1">
      <alignment horizontal="right" vertical="center"/>
    </xf>
    <xf numFmtId="0" fontId="29" fillId="0" borderId="9" xfId="0" applyFont="1" applyBorder="1" applyAlignment="1">
      <alignment horizontal="center" vertical="center"/>
    </xf>
    <xf numFmtId="185" fontId="29" fillId="0" borderId="9" xfId="48" applyNumberFormat="1" applyFont="1" applyBorder="1" applyAlignment="1">
      <alignment horizontal="center" vertical="center"/>
    </xf>
    <xf numFmtId="44" fontId="29" fillId="0" borderId="9" xfId="48" applyFont="1" applyBorder="1" applyAlignment="1">
      <alignment vertical="center"/>
    </xf>
    <xf numFmtId="186" fontId="29" fillId="0" borderId="9" xfId="20" applyNumberFormat="1" applyFont="1" applyBorder="1" applyAlignment="1">
      <alignment vertical="center"/>
    </xf>
    <xf numFmtId="0" fontId="30" fillId="0" borderId="0" xfId="0" applyFont="1"/>
    <xf numFmtId="0" fontId="29" fillId="0" borderId="0" xfId="0" applyFont="1"/>
    <xf numFmtId="0" fontId="29" fillId="0" borderId="0" xfId="0" applyFont="1" applyAlignment="1">
      <alignment horizontal="center"/>
    </xf>
    <xf numFmtId="0" fontId="30" fillId="0" borderId="0" xfId="30" applyFont="1"/>
    <xf numFmtId="0" fontId="30" fillId="0" borderId="0" xfId="42" applyFont="1" applyAlignment="1">
      <alignment wrapText="1"/>
    </xf>
    <xf numFmtId="0" fontId="32" fillId="0" borderId="0" xfId="30" applyFont="1" applyAlignment="1">
      <alignment vertical="top" wrapText="1"/>
    </xf>
    <xf numFmtId="0" fontId="34" fillId="0" borderId="7" xfId="0" applyFont="1" applyBorder="1" applyAlignment="1">
      <alignment vertical="center" wrapText="1"/>
    </xf>
    <xf numFmtId="0" fontId="35" fillId="0" borderId="9" xfId="0" applyFont="1" applyBorder="1" applyAlignment="1">
      <alignment vertical="center" wrapText="1"/>
    </xf>
    <xf numFmtId="0" fontId="34" fillId="0" borderId="0" xfId="0" applyFont="1" applyAlignment="1">
      <alignment vertical="center" wrapText="1"/>
    </xf>
    <xf numFmtId="0" fontId="35" fillId="0" borderId="25" xfId="30" applyFont="1" applyBorder="1" applyAlignment="1">
      <alignment vertical="center"/>
    </xf>
    <xf numFmtId="0" fontId="35" fillId="0" borderId="23" xfId="0" applyFont="1" applyBorder="1" applyAlignment="1">
      <alignment vertical="top" wrapText="1"/>
    </xf>
    <xf numFmtId="0" fontId="35" fillId="0" borderId="5" xfId="0" applyFont="1" applyBorder="1" applyAlignment="1">
      <alignment vertical="center" wrapText="1"/>
    </xf>
    <xf numFmtId="0" fontId="35" fillId="0" borderId="10" xfId="0" applyFont="1" applyBorder="1" applyAlignment="1">
      <alignment vertical="center" wrapText="1"/>
    </xf>
    <xf numFmtId="0" fontId="34" fillId="0" borderId="9" xfId="0" applyFont="1" applyBorder="1" applyAlignment="1">
      <alignment vertical="center" wrapText="1"/>
    </xf>
    <xf numFmtId="0" fontId="34" fillId="6" borderId="9" xfId="0" applyFont="1" applyFill="1" applyBorder="1" applyAlignment="1">
      <alignment vertical="center" wrapText="1"/>
    </xf>
    <xf numFmtId="0" fontId="35" fillId="6" borderId="9" xfId="0" applyFont="1" applyFill="1" applyBorder="1" applyAlignment="1">
      <alignment vertical="center" wrapText="1"/>
    </xf>
    <xf numFmtId="0" fontId="35" fillId="0" borderId="23" xfId="0" applyFont="1" applyBorder="1" applyAlignment="1">
      <alignment vertical="center" wrapText="1"/>
    </xf>
    <xf numFmtId="0" fontId="35" fillId="0" borderId="0" xfId="30" applyFont="1" applyAlignment="1">
      <alignment vertical="center"/>
    </xf>
    <xf numFmtId="0" fontId="30" fillId="0" borderId="0" xfId="0" applyFont="1" applyAlignment="1">
      <alignment horizontal="center"/>
    </xf>
    <xf numFmtId="0" fontId="35" fillId="0" borderId="0" xfId="0" applyFont="1" applyAlignment="1">
      <alignment vertical="center"/>
    </xf>
    <xf numFmtId="0" fontId="35" fillId="0" borderId="0" xfId="0" applyFont="1" applyAlignment="1">
      <alignment vertical="center" wrapText="1"/>
    </xf>
    <xf numFmtId="0" fontId="34" fillId="0" borderId="0" xfId="0" applyFont="1" applyAlignment="1">
      <alignment horizontal="center" vertical="center"/>
    </xf>
    <xf numFmtId="170" fontId="35" fillId="0" borderId="0" xfId="0" applyNumberFormat="1" applyFont="1" applyAlignment="1">
      <alignment vertical="center"/>
    </xf>
    <xf numFmtId="0" fontId="35" fillId="0" borderId="0" xfId="0" applyFont="1" applyAlignment="1">
      <alignment horizontal="center" vertical="center"/>
    </xf>
    <xf numFmtId="173" fontId="35" fillId="0" borderId="0" xfId="0" applyNumberFormat="1" applyFont="1" applyAlignment="1">
      <alignment vertical="center"/>
    </xf>
    <xf numFmtId="0" fontId="39" fillId="0" borderId="0" xfId="30" applyFont="1" applyAlignment="1">
      <alignment vertical="center"/>
    </xf>
    <xf numFmtId="170" fontId="35" fillId="5" borderId="0" xfId="0" applyNumberFormat="1" applyFont="1" applyFill="1" applyAlignment="1">
      <alignment vertical="center"/>
    </xf>
    <xf numFmtId="2" fontId="34" fillId="6" borderId="0" xfId="0" applyNumberFormat="1" applyFont="1" applyFill="1" applyAlignment="1">
      <alignment vertical="center"/>
    </xf>
    <xf numFmtId="0" fontId="35" fillId="6" borderId="0" xfId="0" applyFont="1" applyFill="1" applyAlignment="1">
      <alignment vertical="center"/>
    </xf>
    <xf numFmtId="0" fontId="35" fillId="6" borderId="0" xfId="0" applyFont="1" applyFill="1"/>
    <xf numFmtId="169" fontId="35" fillId="6" borderId="0" xfId="0" applyNumberFormat="1" applyFont="1" applyFill="1"/>
    <xf numFmtId="17" fontId="35" fillId="6" borderId="0" xfId="0" applyNumberFormat="1" applyFont="1" applyFill="1" applyAlignment="1">
      <alignment horizontal="center"/>
    </xf>
    <xf numFmtId="0" fontId="35" fillId="6" borderId="0" xfId="0" applyFont="1" applyFill="1" applyAlignment="1">
      <alignment horizontal="center"/>
    </xf>
    <xf numFmtId="169" fontId="35" fillId="0" borderId="0" xfId="0" applyNumberFormat="1" applyFont="1" applyAlignment="1">
      <alignment vertical="center"/>
    </xf>
    <xf numFmtId="0" fontId="35" fillId="0" borderId="18" xfId="30" applyFont="1" applyBorder="1" applyAlignment="1">
      <alignment horizontal="center" vertical="center"/>
    </xf>
    <xf numFmtId="0" fontId="29" fillId="0" borderId="19" xfId="0" applyFont="1" applyBorder="1" applyAlignment="1">
      <alignment horizontal="left" vertical="top"/>
    </xf>
    <xf numFmtId="0" fontId="35" fillId="0" borderId="18" xfId="30" applyFont="1" applyBorder="1" applyAlignment="1">
      <alignment horizontal="left" vertical="center"/>
    </xf>
    <xf numFmtId="0" fontId="35" fillId="0" borderId="0" xfId="30" applyFont="1" applyAlignment="1">
      <alignment horizontal="left" vertical="center"/>
    </xf>
    <xf numFmtId="0" fontId="35" fillId="0" borderId="19" xfId="0" applyFont="1" applyBorder="1" applyAlignment="1">
      <alignment vertical="center"/>
    </xf>
    <xf numFmtId="0" fontId="35" fillId="0" borderId="26" xfId="0" applyFont="1" applyBorder="1" applyAlignment="1">
      <alignment vertical="center"/>
    </xf>
    <xf numFmtId="0" fontId="34" fillId="6" borderId="0" xfId="0" applyFont="1" applyFill="1" applyAlignment="1">
      <alignment horizontal="left" vertical="center"/>
    </xf>
    <xf numFmtId="2" fontId="35" fillId="6" borderId="0" xfId="0" applyNumberFormat="1" applyFont="1" applyFill="1"/>
    <xf numFmtId="0" fontId="35" fillId="0" borderId="0" xfId="30" applyFont="1" applyAlignment="1">
      <alignment horizontal="center" vertical="center"/>
    </xf>
    <xf numFmtId="2" fontId="35" fillId="0" borderId="0" xfId="0" applyNumberFormat="1" applyFont="1" applyAlignment="1">
      <alignment horizontal="center" vertical="center"/>
    </xf>
    <xf numFmtId="1" fontId="35" fillId="6" borderId="0" xfId="0" applyNumberFormat="1" applyFont="1" applyFill="1"/>
    <xf numFmtId="44" fontId="35" fillId="6" borderId="0" xfId="0" applyNumberFormat="1" applyFont="1" applyFill="1"/>
    <xf numFmtId="1" fontId="35" fillId="6" borderId="0" xfId="0" applyNumberFormat="1" applyFont="1" applyFill="1" applyAlignment="1">
      <alignment vertical="center"/>
    </xf>
    <xf numFmtId="1" fontId="35" fillId="6" borderId="0" xfId="0" applyNumberFormat="1" applyFont="1" applyFill="1" applyAlignment="1">
      <alignment wrapText="1"/>
    </xf>
    <xf numFmtId="44" fontId="35" fillId="6" borderId="0" xfId="0" applyNumberFormat="1" applyFont="1" applyFill="1" applyAlignment="1">
      <alignment horizontal="center"/>
    </xf>
    <xf numFmtId="44" fontId="35" fillId="6" borderId="0" xfId="54" applyFont="1" applyFill="1"/>
    <xf numFmtId="169" fontId="35" fillId="6" borderId="0" xfId="0" applyNumberFormat="1" applyFont="1" applyFill="1" applyAlignment="1">
      <alignment vertical="center"/>
    </xf>
    <xf numFmtId="0" fontId="35" fillId="6" borderId="0" xfId="0" applyFont="1" applyFill="1" applyAlignment="1">
      <alignment horizontal="center" vertical="center"/>
    </xf>
    <xf numFmtId="44" fontId="35" fillId="6" borderId="0" xfId="54" applyFont="1" applyFill="1" applyAlignment="1">
      <alignment horizontal="center" vertical="center"/>
    </xf>
    <xf numFmtId="44" fontId="35" fillId="6" borderId="0" xfId="54" applyFont="1" applyFill="1" applyAlignment="1">
      <alignment vertical="center"/>
    </xf>
    <xf numFmtId="0" fontId="35" fillId="6" borderId="0" xfId="0" applyFont="1" applyFill="1" applyAlignment="1">
      <alignment wrapText="1"/>
    </xf>
    <xf numFmtId="169" fontId="35" fillId="6" borderId="0" xfId="0" applyNumberFormat="1" applyFont="1" applyFill="1" applyAlignment="1">
      <alignment wrapText="1"/>
    </xf>
    <xf numFmtId="0" fontId="35" fillId="6" borderId="0" xfId="0" applyFont="1" applyFill="1" applyAlignment="1">
      <alignment horizontal="center" wrapText="1"/>
    </xf>
    <xf numFmtId="44" fontId="35" fillId="6" borderId="0" xfId="54" applyFont="1" applyFill="1" applyAlignment="1">
      <alignment horizontal="center" wrapText="1"/>
    </xf>
    <xf numFmtId="44" fontId="35" fillId="0" borderId="0" xfId="54" applyFont="1" applyAlignment="1">
      <alignment wrapText="1"/>
    </xf>
    <xf numFmtId="0" fontId="35" fillId="0" borderId="0" xfId="0" applyFont="1" applyAlignment="1">
      <alignment wrapText="1"/>
    </xf>
    <xf numFmtId="44" fontId="35" fillId="6" borderId="0" xfId="0" applyNumberFormat="1" applyFont="1" applyFill="1" applyAlignment="1">
      <alignment wrapText="1"/>
    </xf>
    <xf numFmtId="44" fontId="35" fillId="6" borderId="0" xfId="54" applyFont="1" applyFill="1" applyAlignment="1">
      <alignment wrapText="1"/>
    </xf>
    <xf numFmtId="0" fontId="34" fillId="6" borderId="0" xfId="0" applyFont="1" applyFill="1" applyAlignment="1">
      <alignment vertical="center"/>
    </xf>
    <xf numFmtId="44" fontId="35" fillId="6" borderId="0" xfId="0" applyNumberFormat="1" applyFont="1" applyFill="1" applyAlignment="1">
      <alignment vertical="center"/>
    </xf>
    <xf numFmtId="2" fontId="35" fillId="6" borderId="0" xfId="0" applyNumberFormat="1" applyFont="1" applyFill="1" applyAlignment="1">
      <alignment vertical="center"/>
    </xf>
    <xf numFmtId="0" fontId="35" fillId="0" borderId="0" xfId="0" applyFont="1" applyAlignment="1">
      <alignment horizontal="center" vertical="center" wrapText="1"/>
    </xf>
    <xf numFmtId="0" fontId="43" fillId="0" borderId="0" xfId="30" applyFont="1" applyAlignment="1">
      <alignment horizontal="center" vertical="center"/>
    </xf>
    <xf numFmtId="17" fontId="34" fillId="6" borderId="0" xfId="0" applyNumberFormat="1" applyFont="1" applyFill="1" applyAlignment="1">
      <alignment horizontal="center"/>
    </xf>
    <xf numFmtId="0" fontId="34" fillId="6" borderId="0" xfId="0" applyFont="1" applyFill="1" applyAlignment="1">
      <alignment horizontal="center"/>
    </xf>
    <xf numFmtId="0" fontId="35" fillId="0" borderId="0" xfId="0" applyFont="1"/>
    <xf numFmtId="17" fontId="35" fillId="6" borderId="0" xfId="0" applyNumberFormat="1" applyFont="1" applyFill="1" applyAlignment="1">
      <alignment horizontal="center" vertical="center"/>
    </xf>
    <xf numFmtId="10" fontId="35" fillId="6" borderId="0" xfId="0" applyNumberFormat="1" applyFont="1" applyFill="1"/>
    <xf numFmtId="0" fontId="34" fillId="0" borderId="0" xfId="0" applyFont="1" applyAlignment="1">
      <alignment horizontal="center"/>
    </xf>
    <xf numFmtId="2" fontId="35" fillId="0" borderId="0" xfId="0" applyNumberFormat="1" applyFont="1"/>
    <xf numFmtId="169" fontId="35" fillId="0" borderId="0" xfId="0" applyNumberFormat="1" applyFont="1"/>
    <xf numFmtId="0" fontId="35" fillId="0" borderId="0" xfId="0" applyFont="1" applyAlignment="1">
      <alignment horizontal="center"/>
    </xf>
    <xf numFmtId="0" fontId="30" fillId="0" borderId="0" xfId="0" applyFont="1" applyAlignment="1">
      <alignment horizontal="center" wrapText="1"/>
    </xf>
    <xf numFmtId="0" fontId="44" fillId="6" borderId="0" xfId="0" applyFont="1" applyFill="1" applyAlignment="1">
      <alignment horizontal="center" wrapText="1"/>
    </xf>
    <xf numFmtId="0" fontId="35" fillId="6" borderId="0" xfId="0" applyFont="1" applyFill="1" applyAlignment="1">
      <alignment vertical="center" wrapText="1"/>
    </xf>
    <xf numFmtId="0" fontId="35" fillId="0" borderId="0" xfId="0" applyFont="1" applyAlignment="1">
      <alignment horizontal="left" vertical="top"/>
    </xf>
    <xf numFmtId="49" fontId="35" fillId="0" borderId="0" xfId="0" applyNumberFormat="1" applyFont="1" applyAlignment="1">
      <alignment horizontal="center" vertical="center"/>
    </xf>
    <xf numFmtId="0" fontId="35" fillId="0" borderId="0" xfId="0" applyFont="1" applyAlignment="1">
      <alignment horizontal="left" vertical="center"/>
    </xf>
    <xf numFmtId="177" fontId="35" fillId="0" borderId="0" xfId="0" applyNumberFormat="1" applyFont="1" applyAlignment="1">
      <alignment vertical="center"/>
    </xf>
    <xf numFmtId="177" fontId="35" fillId="0" borderId="0" xfId="0" applyNumberFormat="1" applyFont="1" applyAlignment="1">
      <alignment horizontal="center" vertical="center"/>
    </xf>
    <xf numFmtId="169" fontId="35" fillId="0" borderId="0" xfId="0" applyNumberFormat="1" applyFont="1" applyAlignment="1" applyProtection="1">
      <alignment vertical="center"/>
      <protection hidden="1"/>
    </xf>
    <xf numFmtId="2" fontId="35" fillId="0" borderId="0" xfId="0" applyNumberFormat="1" applyFont="1" applyAlignment="1" applyProtection="1">
      <alignment vertical="center"/>
      <protection hidden="1"/>
    </xf>
    <xf numFmtId="168" fontId="35" fillId="0" borderId="0" xfId="19" applyFont="1" applyAlignment="1" applyProtection="1">
      <alignment vertical="center"/>
      <protection hidden="1"/>
    </xf>
    <xf numFmtId="44" fontId="34" fillId="0" borderId="0" xfId="54" applyFont="1" applyAlignment="1">
      <alignment horizontal="center" vertical="center"/>
    </xf>
    <xf numFmtId="0" fontId="35" fillId="0" borderId="0" xfId="0" applyFont="1" applyAlignment="1" applyProtection="1">
      <alignment vertical="center"/>
      <protection hidden="1"/>
    </xf>
    <xf numFmtId="168" fontId="35" fillId="0" borderId="0" xfId="19" applyFont="1" applyAlignment="1">
      <alignment vertical="center"/>
    </xf>
    <xf numFmtId="0" fontId="45" fillId="0" borderId="0" xfId="0" applyFont="1" applyAlignment="1">
      <alignment vertical="center"/>
    </xf>
    <xf numFmtId="0" fontId="46" fillId="0" borderId="0" xfId="0" applyFont="1" applyAlignment="1">
      <alignment vertical="center"/>
    </xf>
    <xf numFmtId="0" fontId="35" fillId="0" borderId="0" xfId="0" applyFont="1" applyAlignment="1">
      <alignment horizontal="right" vertical="center"/>
    </xf>
    <xf numFmtId="4" fontId="35" fillId="0" borderId="0" xfId="0" applyNumberFormat="1" applyFont="1" applyAlignment="1">
      <alignment horizontal="center" vertical="center"/>
    </xf>
    <xf numFmtId="164" fontId="35" fillId="0" borderId="0" xfId="8" applyFont="1" applyAlignment="1">
      <alignment horizontal="right" vertical="center"/>
    </xf>
    <xf numFmtId="164" fontId="35" fillId="0" borderId="0" xfId="8" applyFont="1" applyAlignment="1">
      <alignment vertical="center"/>
    </xf>
    <xf numFmtId="3" fontId="35" fillId="0" borderId="0" xfId="0" applyNumberFormat="1" applyFont="1" applyAlignment="1">
      <alignment horizontal="center" vertical="center"/>
    </xf>
    <xf numFmtId="2" fontId="53" fillId="0" borderId="0" xfId="0" applyNumberFormat="1" applyFont="1" applyAlignment="1">
      <alignment horizontal="left" vertical="center"/>
    </xf>
    <xf numFmtId="2" fontId="53" fillId="0" borderId="0" xfId="0" applyNumberFormat="1" applyFont="1" applyAlignment="1">
      <alignment horizontal="right" vertical="center"/>
    </xf>
    <xf numFmtId="4" fontId="35" fillId="0" borderId="0" xfId="0" applyNumberFormat="1" applyFont="1" applyAlignment="1">
      <alignment vertical="center"/>
    </xf>
    <xf numFmtId="44" fontId="35" fillId="0" borderId="0" xfId="0" applyNumberFormat="1" applyFont="1" applyAlignment="1">
      <alignment vertical="center"/>
    </xf>
    <xf numFmtId="44" fontId="35" fillId="0" borderId="0" xfId="0" applyNumberFormat="1" applyFont="1" applyAlignment="1">
      <alignment vertical="center" wrapText="1"/>
    </xf>
    <xf numFmtId="0" fontId="29" fillId="8" borderId="0" xfId="0" applyFont="1" applyFill="1" applyAlignment="1">
      <alignment horizontal="center" vertical="center"/>
    </xf>
    <xf numFmtId="0" fontId="29" fillId="8" borderId="0" xfId="0" applyFont="1" applyFill="1" applyAlignment="1">
      <alignment vertical="center"/>
    </xf>
    <xf numFmtId="164" fontId="29" fillId="5" borderId="0" xfId="0" applyNumberFormat="1" applyFont="1" applyFill="1" applyAlignment="1">
      <alignment horizontal="center" vertical="center"/>
    </xf>
    <xf numFmtId="0" fontId="29" fillId="8" borderId="0" xfId="0" applyFont="1" applyFill="1" applyAlignment="1">
      <alignment horizontal="left" vertical="center"/>
    </xf>
    <xf numFmtId="44" fontId="29" fillId="0" borderId="20" xfId="54" applyFont="1" applyFill="1" applyBorder="1" applyAlignment="1">
      <alignment horizontal="left" vertical="center"/>
    </xf>
    <xf numFmtId="44" fontId="29" fillId="8" borderId="20" xfId="0" applyNumberFormat="1" applyFont="1" applyFill="1" applyBorder="1" applyAlignment="1">
      <alignment horizontal="left" vertical="center"/>
    </xf>
    <xf numFmtId="0" fontId="29" fillId="7" borderId="0" xfId="0" applyFont="1" applyFill="1" applyAlignment="1">
      <alignment horizontal="center" vertical="center"/>
    </xf>
    <xf numFmtId="0" fontId="29" fillId="7" borderId="0" xfId="0" applyFont="1" applyFill="1" applyAlignment="1">
      <alignment vertical="center"/>
    </xf>
    <xf numFmtId="0" fontId="29" fillId="7" borderId="0" xfId="0" applyFont="1" applyFill="1" applyAlignment="1">
      <alignment horizontal="left" vertical="center"/>
    </xf>
    <xf numFmtId="44" fontId="29" fillId="7" borderId="20" xfId="54" applyFont="1" applyFill="1" applyBorder="1" applyAlignment="1">
      <alignment horizontal="left" vertical="center"/>
    </xf>
    <xf numFmtId="184" fontId="35" fillId="0" borderId="0" xfId="0" applyNumberFormat="1" applyFont="1" applyAlignment="1">
      <alignment vertical="center"/>
    </xf>
    <xf numFmtId="44" fontId="29" fillId="8" borderId="20" xfId="54" applyFont="1" applyFill="1" applyBorder="1" applyAlignment="1">
      <alignment horizontal="left" vertical="center"/>
    </xf>
    <xf numFmtId="1" fontId="35" fillId="0" borderId="0" xfId="0" applyNumberFormat="1" applyFont="1" applyAlignment="1">
      <alignment vertical="center"/>
    </xf>
    <xf numFmtId="164" fontId="35" fillId="6" borderId="0" xfId="0" applyNumberFormat="1" applyFont="1" applyFill="1" applyAlignment="1">
      <alignment horizontal="center" vertical="center"/>
    </xf>
    <xf numFmtId="4" fontId="35" fillId="0" borderId="0" xfId="0" applyNumberFormat="1"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4" fontId="29" fillId="0" borderId="0" xfId="0" applyNumberFormat="1" applyFont="1" applyAlignment="1">
      <alignment vertical="center"/>
    </xf>
    <xf numFmtId="173" fontId="29" fillId="0" borderId="0" xfId="0" applyNumberFormat="1" applyFont="1" applyAlignment="1">
      <alignment horizontal="center" vertical="center"/>
    </xf>
    <xf numFmtId="44" fontId="29" fillId="0" borderId="0" xfId="54" applyFont="1" applyFill="1" applyAlignment="1">
      <alignment horizontal="center" vertical="center"/>
    </xf>
    <xf numFmtId="0" fontId="29" fillId="10" borderId="0" xfId="0" applyFont="1" applyFill="1" applyAlignment="1">
      <alignment horizontal="center" vertical="center"/>
    </xf>
    <xf numFmtId="0" fontId="29" fillId="10" borderId="0" xfId="0" applyFont="1" applyFill="1" applyAlignment="1">
      <alignment horizontal="left" vertical="center"/>
    </xf>
    <xf numFmtId="0" fontId="29" fillId="10" borderId="0" xfId="0" applyFont="1" applyFill="1" applyAlignment="1">
      <alignment vertical="center"/>
    </xf>
    <xf numFmtId="0" fontId="29" fillId="10" borderId="0" xfId="0" applyFont="1" applyFill="1" applyAlignment="1">
      <alignment horizontal="right" vertical="center"/>
    </xf>
    <xf numFmtId="173" fontId="29" fillId="10" borderId="0" xfId="0" applyNumberFormat="1" applyFont="1" applyFill="1" applyAlignment="1">
      <alignment horizontal="center" vertical="center"/>
    </xf>
    <xf numFmtId="0" fontId="34" fillId="0" borderId="0" xfId="0" applyFont="1" applyAlignment="1">
      <alignment vertical="center"/>
    </xf>
    <xf numFmtId="3" fontId="35" fillId="0" borderId="0" xfId="8" applyNumberFormat="1" applyFont="1" applyAlignment="1">
      <alignment vertical="center"/>
    </xf>
    <xf numFmtId="0" fontId="29" fillId="0" borderId="0" xfId="0" applyFont="1" applyAlignment="1">
      <alignment vertical="center"/>
    </xf>
    <xf numFmtId="0" fontId="34" fillId="0" borderId="0" xfId="0" applyFont="1" applyAlignment="1">
      <alignment horizontal="center" vertical="center" wrapText="1"/>
    </xf>
    <xf numFmtId="44" fontId="29" fillId="0" borderId="0" xfId="0" applyNumberFormat="1" applyFont="1" applyAlignment="1">
      <alignment horizontal="left" vertical="center"/>
    </xf>
    <xf numFmtId="1" fontId="29" fillId="0" borderId="0" xfId="0" applyNumberFormat="1" applyFont="1" applyAlignment="1">
      <alignment horizontal="center" vertical="center"/>
    </xf>
    <xf numFmtId="3" fontId="29" fillId="0" borderId="0" xfId="58" applyNumberFormat="1" applyFont="1" applyAlignment="1">
      <alignment horizontal="center" vertical="center"/>
    </xf>
    <xf numFmtId="0" fontId="35" fillId="0" borderId="0" xfId="0" applyFont="1" applyAlignment="1">
      <alignment horizontal="center" vertical="center" textRotation="90"/>
    </xf>
    <xf numFmtId="9" fontId="35" fillId="0" borderId="0" xfId="38" applyFont="1" applyAlignment="1">
      <alignment vertical="center"/>
    </xf>
    <xf numFmtId="0" fontId="56" fillId="0" borderId="0" xfId="29" applyFont="1" applyAlignment="1">
      <alignment horizontal="center"/>
    </xf>
    <xf numFmtId="0" fontId="56" fillId="0" borderId="0" xfId="29" applyFont="1"/>
    <xf numFmtId="9" fontId="56" fillId="0" borderId="0" xfId="38" applyFont="1"/>
    <xf numFmtId="0" fontId="56" fillId="0" borderId="0" xfId="29" applyFont="1" applyAlignment="1">
      <alignment horizontal="center" vertical="center"/>
    </xf>
    <xf numFmtId="3" fontId="29" fillId="0" borderId="9" xfId="0" applyNumberFormat="1" applyFont="1" applyBorder="1" applyAlignment="1">
      <alignment vertical="center"/>
    </xf>
    <xf numFmtId="179" fontId="29" fillId="0" borderId="9" xfId="0" applyNumberFormat="1" applyFont="1" applyBorder="1" applyAlignment="1">
      <alignment vertical="center"/>
    </xf>
    <xf numFmtId="173" fontId="29" fillId="0" borderId="9" xfId="0" applyNumberFormat="1" applyFont="1" applyBorder="1" applyAlignment="1">
      <alignment vertical="center"/>
    </xf>
    <xf numFmtId="173" fontId="29" fillId="0" borderId="14" xfId="0" applyNumberFormat="1" applyFont="1" applyBorder="1" applyAlignment="1">
      <alignment vertical="center"/>
    </xf>
    <xf numFmtId="0" fontId="38" fillId="11" borderId="9" xfId="0" applyFont="1" applyFill="1" applyBorder="1" applyAlignment="1">
      <alignment horizontal="center" vertical="center"/>
    </xf>
    <xf numFmtId="0" fontId="38" fillId="11" borderId="9" xfId="0" applyFont="1" applyFill="1" applyBorder="1" applyAlignment="1">
      <alignment vertical="center"/>
    </xf>
    <xf numFmtId="180" fontId="38" fillId="11" borderId="9" xfId="0" applyNumberFormat="1" applyFont="1" applyFill="1" applyBorder="1" applyAlignment="1">
      <alignment vertical="center"/>
    </xf>
    <xf numFmtId="181" fontId="38" fillId="11" borderId="9" xfId="0" applyNumberFormat="1" applyFont="1" applyFill="1" applyBorder="1" applyAlignment="1">
      <alignment vertical="center"/>
    </xf>
    <xf numFmtId="173" fontId="38" fillId="11" borderId="9" xfId="0" applyNumberFormat="1" applyFont="1" applyFill="1" applyBorder="1" applyAlignment="1">
      <alignment vertical="center"/>
    </xf>
    <xf numFmtId="173" fontId="38" fillId="11" borderId="0" xfId="0" applyNumberFormat="1" applyFont="1" applyFill="1" applyAlignment="1">
      <alignment vertical="center"/>
    </xf>
    <xf numFmtId="0" fontId="57" fillId="0" borderId="0" xfId="29" applyFont="1"/>
    <xf numFmtId="173" fontId="30" fillId="0" borderId="9" xfId="0" applyNumberFormat="1" applyFont="1" applyBorder="1" applyAlignment="1">
      <alignment vertical="center"/>
    </xf>
    <xf numFmtId="184" fontId="56" fillId="0" borderId="0" xfId="29" applyNumberFormat="1" applyFont="1"/>
    <xf numFmtId="173" fontId="56" fillId="0" borderId="0" xfId="29" applyNumberFormat="1" applyFont="1"/>
    <xf numFmtId="0" fontId="29" fillId="7" borderId="9" xfId="0" applyFont="1" applyFill="1" applyBorder="1" applyAlignment="1">
      <alignment horizontal="left" vertical="center"/>
    </xf>
    <xf numFmtId="0" fontId="29" fillId="8" borderId="9" xfId="0" applyFont="1" applyFill="1" applyBorder="1" applyAlignment="1">
      <alignment horizontal="left" vertical="center"/>
    </xf>
    <xf numFmtId="0" fontId="35" fillId="7" borderId="9" xfId="0" applyFont="1" applyFill="1" applyBorder="1" applyAlignment="1">
      <alignment vertical="center"/>
    </xf>
    <xf numFmtId="182" fontId="35" fillId="7" borderId="9" xfId="0" applyNumberFormat="1" applyFont="1" applyFill="1" applyBorder="1" applyAlignment="1">
      <alignment horizontal="center" vertical="center"/>
    </xf>
    <xf numFmtId="0" fontId="35" fillId="7" borderId="7" xfId="0" applyFont="1" applyFill="1" applyBorder="1" applyAlignment="1">
      <alignment vertical="center"/>
    </xf>
    <xf numFmtId="0" fontId="35" fillId="7" borderId="4" xfId="0" applyFont="1" applyFill="1" applyBorder="1" applyAlignment="1">
      <alignment vertical="center"/>
    </xf>
    <xf numFmtId="0" fontId="35" fillId="7" borderId="14" xfId="0" applyFont="1" applyFill="1" applyBorder="1" applyAlignment="1">
      <alignment vertical="center"/>
    </xf>
    <xf numFmtId="44" fontId="56" fillId="0" borderId="0" xfId="54" applyFont="1"/>
    <xf numFmtId="0" fontId="30" fillId="0" borderId="0" xfId="30" applyFont="1" applyAlignment="1">
      <alignment vertical="center"/>
    </xf>
    <xf numFmtId="0" fontId="33" fillId="0" borderId="0" xfId="58" applyFont="1"/>
    <xf numFmtId="0" fontId="30" fillId="0" borderId="0" xfId="58" applyFont="1"/>
    <xf numFmtId="0" fontId="30" fillId="0" borderId="0" xfId="58" applyFont="1" applyAlignment="1">
      <alignment horizontal="center" vertical="center"/>
    </xf>
    <xf numFmtId="0" fontId="30" fillId="0" borderId="0" xfId="58" applyFont="1" applyAlignment="1">
      <alignment horizontal="center"/>
    </xf>
    <xf numFmtId="0" fontId="30" fillId="0" borderId="0" xfId="58" applyFont="1" applyAlignment="1">
      <alignment horizontal="left" indent="1"/>
    </xf>
    <xf numFmtId="0" fontId="33" fillId="0" borderId="0" xfId="58" applyFont="1" applyAlignment="1">
      <alignment horizontal="left" indent="1"/>
    </xf>
    <xf numFmtId="0" fontId="59" fillId="22" borderId="23" xfId="30" applyFont="1" applyFill="1" applyBorder="1"/>
    <xf numFmtId="0" fontId="53" fillId="22" borderId="10" xfId="30" applyFont="1" applyFill="1" applyBorder="1"/>
    <xf numFmtId="0" fontId="60" fillId="22" borderId="10" xfId="30" applyFont="1" applyFill="1" applyBorder="1" applyAlignment="1">
      <alignment vertical="top" wrapText="1"/>
    </xf>
    <xf numFmtId="0" fontId="35" fillId="0" borderId="5" xfId="30" applyFont="1" applyBorder="1"/>
    <xf numFmtId="0" fontId="35" fillId="0" borderId="5" xfId="30" applyFont="1" applyBorder="1" applyAlignment="1">
      <alignment vertical="top" wrapText="1"/>
    </xf>
    <xf numFmtId="0" fontId="53" fillId="22" borderId="9" xfId="30" applyFont="1" applyFill="1" applyBorder="1"/>
    <xf numFmtId="0" fontId="60" fillId="22" borderId="9" xfId="30" applyFont="1" applyFill="1" applyBorder="1" applyAlignment="1">
      <alignment vertical="top" wrapText="1"/>
    </xf>
    <xf numFmtId="0" fontId="61" fillId="22" borderId="9" xfId="30" applyFont="1" applyFill="1" applyBorder="1" applyAlignment="1">
      <alignment vertical="top" wrapText="1"/>
    </xf>
    <xf numFmtId="0" fontId="35" fillId="0" borderId="10" xfId="30" applyFont="1" applyBorder="1"/>
    <xf numFmtId="0" fontId="35" fillId="0" borderId="10" xfId="30" applyFont="1" applyBorder="1" applyAlignment="1">
      <alignment vertical="top" wrapText="1"/>
    </xf>
    <xf numFmtId="0" fontId="35" fillId="0" borderId="24" xfId="30" applyFont="1" applyBorder="1"/>
    <xf numFmtId="0" fontId="35" fillId="0" borderId="25" xfId="30" applyFont="1" applyBorder="1" applyAlignment="1">
      <alignment vertical="top" wrapText="1"/>
    </xf>
    <xf numFmtId="0" fontId="34" fillId="0" borderId="24" xfId="30" applyFont="1" applyBorder="1"/>
    <xf numFmtId="0" fontId="35" fillId="0" borderId="25" xfId="30" applyFont="1" applyBorder="1"/>
    <xf numFmtId="0" fontId="53" fillId="23" borderId="9" xfId="30" applyFont="1" applyFill="1" applyBorder="1"/>
    <xf numFmtId="0" fontId="59" fillId="23" borderId="9" xfId="30" applyFont="1" applyFill="1" applyBorder="1"/>
    <xf numFmtId="0" fontId="35" fillId="0" borderId="5" xfId="30" applyFont="1" applyBorder="1" applyAlignment="1">
      <alignment wrapText="1"/>
    </xf>
    <xf numFmtId="0" fontId="60" fillId="23" borderId="9" xfId="30" applyFont="1" applyFill="1" applyBorder="1" applyAlignment="1">
      <alignment vertical="top" wrapText="1"/>
    </xf>
    <xf numFmtId="0" fontId="61" fillId="23" borderId="9" xfId="30" applyFont="1" applyFill="1" applyBorder="1" applyAlignment="1">
      <alignment vertical="top" wrapText="1"/>
    </xf>
    <xf numFmtId="0" fontId="35" fillId="0" borderId="10" xfId="30" applyFont="1" applyBorder="1" applyAlignment="1">
      <alignment wrapText="1"/>
    </xf>
    <xf numFmtId="0" fontId="62" fillId="0" borderId="0" xfId="30" applyFont="1"/>
    <xf numFmtId="0" fontId="34" fillId="24" borderId="23" xfId="30" applyFont="1" applyFill="1" applyBorder="1"/>
    <xf numFmtId="0" fontId="59" fillId="24" borderId="23" xfId="30" applyFont="1" applyFill="1" applyBorder="1"/>
    <xf numFmtId="0" fontId="34" fillId="24" borderId="10" xfId="30" applyFont="1" applyFill="1" applyBorder="1"/>
    <xf numFmtId="0" fontId="60" fillId="24" borderId="10" xfId="30" applyFont="1" applyFill="1" applyBorder="1"/>
    <xf numFmtId="0" fontId="34" fillId="0" borderId="5" xfId="30" applyFont="1" applyBorder="1"/>
    <xf numFmtId="0" fontId="34" fillId="24" borderId="9" xfId="30" applyFont="1" applyFill="1" applyBorder="1"/>
    <xf numFmtId="0" fontId="60" fillId="24" borderId="9" xfId="30" applyFont="1" applyFill="1" applyBorder="1"/>
    <xf numFmtId="0" fontId="35" fillId="0" borderId="0" xfId="30" applyFont="1"/>
    <xf numFmtId="0" fontId="35" fillId="0" borderId="0" xfId="30" applyFont="1" applyAlignment="1">
      <alignment wrapText="1"/>
    </xf>
    <xf numFmtId="0" fontId="37" fillId="13" borderId="8" xfId="30" applyFont="1" applyFill="1" applyBorder="1"/>
    <xf numFmtId="0" fontId="37" fillId="13" borderId="22" xfId="30" applyFont="1" applyFill="1" applyBorder="1"/>
    <xf numFmtId="0" fontId="37" fillId="13" borderId="12" xfId="30" applyFont="1" applyFill="1" applyBorder="1"/>
    <xf numFmtId="0" fontId="37" fillId="13" borderId="13" xfId="30" applyFont="1" applyFill="1" applyBorder="1"/>
    <xf numFmtId="0" fontId="31" fillId="0" borderId="0" xfId="0" applyFont="1" applyAlignment="1">
      <alignment horizontal="left"/>
    </xf>
    <xf numFmtId="0" fontId="58" fillId="28" borderId="9" xfId="0" applyFont="1" applyFill="1" applyBorder="1" applyAlignment="1">
      <alignment horizontal="center" vertical="center" wrapText="1"/>
    </xf>
    <xf numFmtId="0" fontId="41" fillId="22" borderId="9" xfId="0" applyFont="1" applyFill="1" applyBorder="1" applyAlignment="1">
      <alignment horizontal="left" vertical="top" textRotation="90"/>
    </xf>
    <xf numFmtId="0" fontId="29" fillId="14" borderId="9" xfId="0" applyFont="1" applyFill="1" applyBorder="1" applyAlignment="1">
      <alignment horizontal="left" vertical="top" textRotation="90"/>
    </xf>
    <xf numFmtId="0" fontId="29" fillId="18" borderId="9" xfId="0" applyFont="1" applyFill="1" applyBorder="1" applyAlignment="1">
      <alignment horizontal="left" vertical="top" textRotation="90"/>
    </xf>
    <xf numFmtId="0" fontId="35" fillId="0" borderId="14" xfId="0" applyFont="1" applyBorder="1" applyAlignment="1">
      <alignment horizontal="center"/>
    </xf>
    <xf numFmtId="0" fontId="35" fillId="0" borderId="9" xfId="0" applyFont="1" applyBorder="1"/>
    <xf numFmtId="0" fontId="35" fillId="0" borderId="9" xfId="0" applyFont="1" applyBorder="1" applyAlignment="1">
      <alignment horizontal="center"/>
    </xf>
    <xf numFmtId="0" fontId="35" fillId="19" borderId="9" xfId="0" applyFont="1" applyFill="1" applyBorder="1" applyAlignment="1">
      <alignment horizontal="center"/>
    </xf>
    <xf numFmtId="0" fontId="35" fillId="20" borderId="9" xfId="0" applyFont="1" applyFill="1" applyBorder="1" applyAlignment="1">
      <alignment horizontal="center"/>
    </xf>
    <xf numFmtId="0" fontId="35" fillId="21" borderId="9" xfId="0" applyFont="1" applyFill="1" applyBorder="1" applyAlignment="1">
      <alignment horizontal="center"/>
    </xf>
    <xf numFmtId="0" fontId="35" fillId="21" borderId="7" xfId="0" applyFont="1" applyFill="1" applyBorder="1" applyAlignment="1">
      <alignment horizontal="center"/>
    </xf>
    <xf numFmtId="168" fontId="35" fillId="19" borderId="9" xfId="19" applyFont="1" applyFill="1" applyBorder="1" applyAlignment="1">
      <alignment horizontal="center"/>
    </xf>
    <xf numFmtId="0" fontId="35" fillId="0" borderId="22" xfId="0" applyFont="1" applyBorder="1" applyAlignment="1">
      <alignment horizontal="center"/>
    </xf>
    <xf numFmtId="0" fontId="35" fillId="19" borderId="23" xfId="0" applyFont="1" applyFill="1" applyBorder="1" applyAlignment="1">
      <alignment horizontal="center"/>
    </xf>
    <xf numFmtId="0" fontId="35" fillId="20" borderId="23" xfId="0" applyFont="1" applyFill="1" applyBorder="1" applyAlignment="1">
      <alignment horizontal="center"/>
    </xf>
    <xf numFmtId="0" fontId="35" fillId="21" borderId="23" xfId="0" applyFont="1" applyFill="1" applyBorder="1" applyAlignment="1">
      <alignment horizontal="center"/>
    </xf>
    <xf numFmtId="0" fontId="35" fillId="21" borderId="8" xfId="0" applyFont="1" applyFill="1" applyBorder="1" applyAlignment="1">
      <alignment horizontal="center"/>
    </xf>
    <xf numFmtId="0" fontId="35" fillId="0" borderId="23" xfId="0" applyFont="1" applyBorder="1" applyAlignment="1">
      <alignment horizontal="center"/>
    </xf>
    <xf numFmtId="0" fontId="44" fillId="28" borderId="9" xfId="0" applyFont="1" applyFill="1" applyBorder="1" applyAlignment="1">
      <alignment horizontal="center" vertical="center" wrapText="1"/>
    </xf>
    <xf numFmtId="0" fontId="35" fillId="0" borderId="9" xfId="30" applyFont="1" applyBorder="1" applyAlignment="1">
      <alignment vertical="center" wrapText="1"/>
    </xf>
    <xf numFmtId="0" fontId="63" fillId="28" borderId="9" xfId="0" applyFont="1" applyFill="1" applyBorder="1" applyAlignment="1">
      <alignment horizontal="left" vertical="center" wrapText="1"/>
    </xf>
    <xf numFmtId="2" fontId="65" fillId="28" borderId="15" xfId="0" applyNumberFormat="1" applyFont="1" applyFill="1" applyBorder="1" applyAlignment="1">
      <alignment vertical="center" wrapText="1"/>
    </xf>
    <xf numFmtId="2" fontId="65" fillId="28" borderId="16" xfId="0" applyNumberFormat="1" applyFont="1" applyFill="1" applyBorder="1" applyAlignment="1">
      <alignment vertical="center" wrapText="1"/>
    </xf>
    <xf numFmtId="0" fontId="65" fillId="29" borderId="17" xfId="0" applyFont="1" applyFill="1" applyBorder="1" applyAlignment="1">
      <alignment horizontal="center" vertical="center" wrapText="1"/>
    </xf>
    <xf numFmtId="0" fontId="65" fillId="28" borderId="16" xfId="0" applyFont="1" applyFill="1" applyBorder="1" applyAlignment="1">
      <alignment vertical="center" wrapText="1"/>
    </xf>
    <xf numFmtId="169" fontId="35" fillId="28" borderId="0" xfId="0" applyNumberFormat="1" applyFont="1" applyFill="1" applyAlignment="1">
      <alignment vertical="center"/>
    </xf>
    <xf numFmtId="0" fontId="35" fillId="28" borderId="0" xfId="0" applyFont="1" applyFill="1" applyAlignment="1">
      <alignment vertical="center"/>
    </xf>
    <xf numFmtId="0" fontId="35" fillId="28" borderId="0" xfId="30" applyFont="1" applyFill="1" applyAlignment="1">
      <alignment horizontal="center" vertical="center" wrapText="1"/>
    </xf>
    <xf numFmtId="0" fontId="35" fillId="28" borderId="0" xfId="30" applyFont="1" applyFill="1" applyAlignment="1">
      <alignment vertical="center" wrapText="1"/>
    </xf>
    <xf numFmtId="0" fontId="35" fillId="28" borderId="0" xfId="0" applyFont="1" applyFill="1" applyAlignment="1">
      <alignment vertical="center" wrapText="1"/>
    </xf>
    <xf numFmtId="2" fontId="35" fillId="28" borderId="0" xfId="0" applyNumberFormat="1" applyFont="1" applyFill="1" applyAlignment="1">
      <alignment vertical="center" wrapText="1"/>
    </xf>
    <xf numFmtId="2" fontId="35" fillId="28" borderId="0" xfId="0" applyNumberFormat="1" applyFont="1" applyFill="1" applyAlignment="1">
      <alignment horizontal="center" vertical="center" wrapText="1"/>
    </xf>
    <xf numFmtId="0" fontId="35" fillId="28" borderId="0" xfId="0" applyFont="1" applyFill="1" applyAlignment="1">
      <alignment horizontal="center" vertical="center" wrapText="1"/>
    </xf>
    <xf numFmtId="0" fontId="40" fillId="29" borderId="0" xfId="0" applyFont="1" applyFill="1" applyAlignment="1">
      <alignment horizontal="center" vertical="center" wrapText="1"/>
    </xf>
    <xf numFmtId="0" fontId="40" fillId="29" borderId="0" xfId="0" applyFont="1" applyFill="1" applyAlignment="1">
      <alignment vertical="center" wrapText="1"/>
    </xf>
    <xf numFmtId="164" fontId="40" fillId="29" borderId="0" xfId="0" applyNumberFormat="1" applyFont="1" applyFill="1" applyAlignment="1">
      <alignment horizontal="center" vertical="center" wrapText="1"/>
    </xf>
    <xf numFmtId="4" fontId="40" fillId="29" borderId="0" xfId="0" applyNumberFormat="1" applyFont="1" applyFill="1" applyAlignment="1">
      <alignment horizontal="center" vertical="center" wrapText="1"/>
    </xf>
    <xf numFmtId="173" fontId="40" fillId="29" borderId="0" xfId="40" applyNumberFormat="1" applyFont="1" applyFill="1" applyBorder="1" applyAlignment="1">
      <alignment horizontal="center" vertical="center" wrapText="1"/>
    </xf>
    <xf numFmtId="0" fontId="40" fillId="29" borderId="9" xfId="0" applyFont="1" applyFill="1" applyBorder="1" applyAlignment="1">
      <alignment horizontal="center" vertical="center" wrapText="1"/>
    </xf>
    <xf numFmtId="0" fontId="40" fillId="29" borderId="9" xfId="0" applyFont="1" applyFill="1" applyBorder="1" applyAlignment="1">
      <alignment horizontal="left" vertical="center" wrapText="1"/>
    </xf>
    <xf numFmtId="168" fontId="40" fillId="29" borderId="9" xfId="20" applyFont="1" applyFill="1" applyBorder="1" applyAlignment="1">
      <alignment horizontal="center" vertical="center" wrapText="1"/>
    </xf>
    <xf numFmtId="173" fontId="40" fillId="29" borderId="9" xfId="0" applyNumberFormat="1" applyFont="1" applyFill="1" applyBorder="1" applyAlignment="1">
      <alignment horizontal="center" vertical="center" wrapText="1"/>
    </xf>
    <xf numFmtId="173" fontId="40" fillId="29" borderId="13" xfId="0" applyNumberFormat="1" applyFont="1" applyFill="1" applyBorder="1" applyAlignment="1">
      <alignment horizontal="center" vertical="center" wrapText="1"/>
    </xf>
    <xf numFmtId="44" fontId="29" fillId="0" borderId="33" xfId="54" applyFont="1" applyFill="1" applyBorder="1" applyAlignment="1">
      <alignment horizontal="left" vertical="center"/>
    </xf>
    <xf numFmtId="4" fontId="30" fillId="0" borderId="0" xfId="0" applyNumberFormat="1" applyFont="1" applyAlignment="1">
      <alignment vertical="center"/>
    </xf>
    <xf numFmtId="187" fontId="35" fillId="10" borderId="0" xfId="0" applyNumberFormat="1" applyFont="1" applyFill="1"/>
    <xf numFmtId="187" fontId="29" fillId="0" borderId="0" xfId="0" applyNumberFormat="1" applyFont="1" applyAlignment="1">
      <alignment horizontal="center" vertical="center"/>
    </xf>
    <xf numFmtId="164" fontId="29" fillId="0" borderId="0" xfId="0" applyNumberFormat="1" applyFont="1" applyAlignment="1">
      <alignment horizontal="center" vertical="center"/>
    </xf>
    <xf numFmtId="1" fontId="35" fillId="0" borderId="0" xfId="30" applyNumberFormat="1" applyFont="1" applyAlignment="1">
      <alignment horizontal="center" vertical="center"/>
    </xf>
    <xf numFmtId="3" fontId="29" fillId="0" borderId="0" xfId="0" applyNumberFormat="1" applyFont="1" applyAlignment="1">
      <alignment horizontal="center" vertical="center"/>
    </xf>
    <xf numFmtId="4" fontId="35" fillId="0" borderId="9" xfId="0" applyNumberFormat="1" applyFont="1" applyBorder="1" applyAlignment="1">
      <alignment horizontal="center" vertical="center"/>
    </xf>
    <xf numFmtId="170" fontId="34" fillId="5" borderId="7" xfId="0" applyNumberFormat="1" applyFont="1" applyFill="1" applyBorder="1" applyAlignment="1">
      <alignment horizontal="center" vertical="center"/>
    </xf>
    <xf numFmtId="170" fontId="34" fillId="5" borderId="4" xfId="0" applyNumberFormat="1" applyFont="1" applyFill="1" applyBorder="1" applyAlignment="1">
      <alignment horizontal="center" vertical="center"/>
    </xf>
    <xf numFmtId="170" fontId="34" fillId="5" borderId="14" xfId="0" applyNumberFormat="1" applyFont="1" applyFill="1" applyBorder="1" applyAlignment="1">
      <alignment horizontal="center" vertical="center"/>
    </xf>
    <xf numFmtId="0" fontId="39" fillId="0" borderId="6" xfId="30" applyFont="1" applyBorder="1" applyAlignment="1">
      <alignment horizontal="center" vertical="center"/>
    </xf>
    <xf numFmtId="0" fontId="33" fillId="0" borderId="0" xfId="30" applyFont="1" applyAlignment="1">
      <alignment horizontal="center" vertical="center" wrapText="1"/>
    </xf>
    <xf numFmtId="0" fontId="34" fillId="0" borderId="8"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3" xfId="0" applyFont="1" applyBorder="1" applyAlignment="1">
      <alignment horizontal="left" vertical="center" wrapText="1"/>
    </xf>
    <xf numFmtId="0" fontId="34" fillId="0" borderId="5" xfId="0" applyFont="1" applyBorder="1" applyAlignment="1">
      <alignment horizontal="left" vertical="center" wrapText="1"/>
    </xf>
    <xf numFmtId="0" fontId="34" fillId="0" borderId="10" xfId="0" applyFont="1" applyBorder="1" applyAlignment="1">
      <alignment horizontal="left" vertical="center" wrapText="1"/>
    </xf>
    <xf numFmtId="0" fontId="30" fillId="0" borderId="0" xfId="58" applyFont="1" applyAlignment="1">
      <alignment horizontal="left" wrapText="1"/>
    </xf>
    <xf numFmtId="0" fontId="64" fillId="28" borderId="8" xfId="30" applyFont="1" applyFill="1" applyBorder="1" applyAlignment="1">
      <alignment horizontal="center" vertical="center" wrapText="1"/>
    </xf>
    <xf numFmtId="0" fontId="64" fillId="28" borderId="21" xfId="30" applyFont="1" applyFill="1" applyBorder="1" applyAlignment="1">
      <alignment horizontal="center" vertical="center" wrapText="1"/>
    </xf>
    <xf numFmtId="0" fontId="64" fillId="28" borderId="11" xfId="30" applyFont="1" applyFill="1" applyBorder="1" applyAlignment="1">
      <alignment horizontal="center" vertical="center" wrapText="1"/>
    </xf>
    <xf numFmtId="0" fontId="64" fillId="28" borderId="0" xfId="30" applyFont="1" applyFill="1" applyAlignment="1">
      <alignment horizontal="center" vertical="center" wrapText="1"/>
    </xf>
    <xf numFmtId="0" fontId="30" fillId="0" borderId="0" xfId="58" applyFont="1" applyAlignment="1">
      <alignment horizontal="left"/>
    </xf>
    <xf numFmtId="0" fontId="36" fillId="17" borderId="9" xfId="0" applyFont="1" applyFill="1" applyBorder="1" applyAlignment="1">
      <alignment horizontal="center" wrapText="1"/>
    </xf>
    <xf numFmtId="0" fontId="36" fillId="14" borderId="9" xfId="0" applyFont="1" applyFill="1" applyBorder="1" applyAlignment="1">
      <alignment horizontal="center" wrapText="1"/>
    </xf>
    <xf numFmtId="0" fontId="37" fillId="18" borderId="9" xfId="0" applyFont="1" applyFill="1" applyBorder="1" applyAlignment="1">
      <alignment horizontal="center"/>
    </xf>
    <xf numFmtId="0" fontId="39" fillId="0" borderId="0" xfId="30" applyFont="1" applyAlignment="1">
      <alignment horizontal="center" vertical="center"/>
    </xf>
    <xf numFmtId="170" fontId="35" fillId="5" borderId="9" xfId="0" applyNumberFormat="1" applyFont="1" applyFill="1" applyBorder="1" applyAlignment="1">
      <alignment horizontal="center" vertical="center"/>
    </xf>
    <xf numFmtId="170" fontId="35" fillId="5" borderId="4" xfId="0" applyNumberFormat="1" applyFont="1" applyFill="1" applyBorder="1" applyAlignment="1">
      <alignment horizontal="center" vertical="center"/>
    </xf>
    <xf numFmtId="170" fontId="34" fillId="5" borderId="9" xfId="0" applyNumberFormat="1" applyFont="1" applyFill="1" applyBorder="1" applyAlignment="1">
      <alignment horizontal="center" vertical="center"/>
    </xf>
    <xf numFmtId="2" fontId="65" fillId="28" borderId="7" xfId="0" applyNumberFormat="1" applyFont="1" applyFill="1" applyBorder="1" applyAlignment="1">
      <alignment horizontal="left" vertical="center"/>
    </xf>
    <xf numFmtId="2" fontId="65" fillId="28" borderId="4" xfId="0" applyNumberFormat="1" applyFont="1" applyFill="1" applyBorder="1" applyAlignment="1">
      <alignment horizontal="left" vertical="center"/>
    </xf>
    <xf numFmtId="0" fontId="39" fillId="0" borderId="0" xfId="30" applyFont="1" applyAlignment="1" applyProtection="1">
      <alignment horizontal="center" vertical="center"/>
    </xf>
    <xf numFmtId="0" fontId="35" fillId="0" borderId="0" xfId="30" applyFont="1" applyAlignment="1" applyProtection="1">
      <alignment vertical="center"/>
    </xf>
    <xf numFmtId="170" fontId="35" fillId="5" borderId="9" xfId="0" applyNumberFormat="1" applyFont="1" applyFill="1" applyBorder="1" applyAlignment="1" applyProtection="1">
      <alignment horizontal="center" vertical="center"/>
    </xf>
    <xf numFmtId="0" fontId="34" fillId="0" borderId="9" xfId="30" applyFont="1" applyBorder="1" applyAlignment="1" applyProtection="1">
      <alignment horizontal="center" vertical="center"/>
    </xf>
    <xf numFmtId="0" fontId="35" fillId="0" borderId="0" xfId="0" applyFont="1" applyAlignment="1" applyProtection="1">
      <alignment vertical="center"/>
    </xf>
    <xf numFmtId="0" fontId="65" fillId="28" borderId="9" xfId="0" applyFont="1" applyFill="1" applyBorder="1" applyAlignment="1" applyProtection="1">
      <alignment vertical="center" wrapText="1"/>
    </xf>
    <xf numFmtId="0" fontId="65" fillId="28" borderId="10" xfId="0" applyFont="1" applyFill="1" applyBorder="1" applyAlignment="1" applyProtection="1">
      <alignment horizontal="center" vertical="center" wrapText="1"/>
    </xf>
    <xf numFmtId="0" fontId="65" fillId="28" borderId="12" xfId="0" applyFont="1" applyFill="1" applyBorder="1" applyAlignment="1" applyProtection="1">
      <alignment horizontal="center" vertical="center" wrapText="1"/>
    </xf>
    <xf numFmtId="0" fontId="65" fillId="28" borderId="13" xfId="0" applyFont="1" applyFill="1" applyBorder="1" applyAlignment="1" applyProtection="1">
      <alignment horizontal="center" vertical="center" wrapText="1"/>
    </xf>
    <xf numFmtId="0" fontId="65" fillId="28" borderId="7" xfId="0" applyFont="1" applyFill="1" applyBorder="1" applyAlignment="1" applyProtection="1">
      <alignment horizontal="left" vertical="center" wrapText="1"/>
    </xf>
    <xf numFmtId="0" fontId="65" fillId="28" borderId="14" xfId="0" applyFont="1" applyFill="1" applyBorder="1" applyAlignment="1" applyProtection="1">
      <alignment horizontal="left" vertical="center" wrapText="1"/>
    </xf>
    <xf numFmtId="0" fontId="65" fillId="28" borderId="9" xfId="0" applyFont="1" applyFill="1" applyBorder="1" applyAlignment="1" applyProtection="1">
      <alignment horizontal="center" vertical="center" wrapText="1"/>
    </xf>
    <xf numFmtId="0" fontId="35" fillId="0" borderId="0" xfId="0" applyFont="1" applyAlignment="1" applyProtection="1">
      <alignment vertical="center" wrapText="1"/>
    </xf>
    <xf numFmtId="9" fontId="35" fillId="0" borderId="7" xfId="0" applyNumberFormat="1" applyFont="1" applyBorder="1" applyAlignment="1" applyProtection="1">
      <alignment horizontal="left" vertical="center" wrapText="1"/>
    </xf>
    <xf numFmtId="9" fontId="35" fillId="0" borderId="14" xfId="0" applyNumberFormat="1" applyFont="1" applyBorder="1" applyAlignment="1" applyProtection="1">
      <alignment horizontal="left" vertical="center" wrapText="1"/>
    </xf>
    <xf numFmtId="173" fontId="35" fillId="0" borderId="9" xfId="0" applyNumberFormat="1" applyFont="1" applyBorder="1" applyAlignment="1" applyProtection="1">
      <alignment vertical="center"/>
    </xf>
    <xf numFmtId="0" fontId="35" fillId="0" borderId="9" xfId="0" applyFont="1" applyBorder="1" applyAlignment="1" applyProtection="1">
      <alignment vertical="center"/>
    </xf>
    <xf numFmtId="0" fontId="35" fillId="0" borderId="7" xfId="0" applyFont="1" applyBorder="1" applyAlignment="1" applyProtection="1">
      <alignment horizontal="left" vertical="center"/>
    </xf>
    <xf numFmtId="0" fontId="35" fillId="0" borderId="14" xfId="0" applyFont="1" applyBorder="1" applyAlignment="1" applyProtection="1">
      <alignment horizontal="left" vertical="center"/>
    </xf>
    <xf numFmtId="9" fontId="35" fillId="0" borderId="7" xfId="0" applyNumberFormat="1" applyFont="1" applyBorder="1" applyAlignment="1" applyProtection="1">
      <alignment horizontal="left" vertical="center"/>
    </xf>
    <xf numFmtId="9" fontId="35" fillId="0" borderId="4" xfId="0" applyNumberFormat="1" applyFont="1" applyBorder="1" applyAlignment="1" applyProtection="1">
      <alignment horizontal="left" vertical="center"/>
    </xf>
    <xf numFmtId="9" fontId="35" fillId="0" borderId="14" xfId="0" applyNumberFormat="1" applyFont="1" applyBorder="1" applyAlignment="1" applyProtection="1">
      <alignment horizontal="left" vertical="center"/>
    </xf>
    <xf numFmtId="10" fontId="35" fillId="0" borderId="9" xfId="0" applyNumberFormat="1" applyFont="1" applyBorder="1" applyAlignment="1" applyProtection="1">
      <alignment horizontal="center" vertical="center"/>
    </xf>
    <xf numFmtId="9" fontId="35" fillId="0" borderId="9" xfId="0" applyNumberFormat="1" applyFont="1" applyBorder="1" applyAlignment="1" applyProtection="1">
      <alignment vertical="center"/>
    </xf>
    <xf numFmtId="0" fontId="41" fillId="11" borderId="9" xfId="0" applyFont="1" applyFill="1" applyBorder="1" applyAlignment="1" applyProtection="1">
      <alignment horizontal="center" vertical="center"/>
    </xf>
    <xf numFmtId="170" fontId="29" fillId="11" borderId="9" xfId="0" applyNumberFormat="1" applyFont="1" applyFill="1" applyBorder="1" applyAlignment="1" applyProtection="1">
      <alignment horizontal="center" vertical="center"/>
    </xf>
    <xf numFmtId="172" fontId="29" fillId="11" borderId="9" xfId="31" applyNumberFormat="1" applyFont="1" applyFill="1" applyBorder="1" applyAlignment="1" applyProtection="1">
      <alignment horizontal="left" vertical="center"/>
    </xf>
    <xf numFmtId="10" fontId="35" fillId="0" borderId="9" xfId="0" applyNumberFormat="1" applyFont="1" applyBorder="1" applyAlignment="1" applyProtection="1">
      <alignment vertical="center"/>
    </xf>
    <xf numFmtId="0" fontId="42" fillId="0" borderId="0" xfId="0" applyFont="1" applyAlignment="1" applyProtection="1">
      <alignment vertical="center"/>
    </xf>
    <xf numFmtId="0" fontId="34" fillId="0" borderId="0" xfId="0" applyFont="1" applyAlignment="1" applyProtection="1">
      <alignment horizontal="center" vertical="center"/>
    </xf>
    <xf numFmtId="170" fontId="35" fillId="0" borderId="0" xfId="0" applyNumberFormat="1" applyFont="1" applyAlignment="1" applyProtection="1">
      <alignment vertical="center"/>
    </xf>
    <xf numFmtId="0" fontId="65" fillId="28" borderId="4" xfId="0" applyFont="1" applyFill="1" applyBorder="1" applyAlignment="1" applyProtection="1">
      <alignment horizontal="left" vertical="center" wrapText="1"/>
    </xf>
    <xf numFmtId="170" fontId="65" fillId="28" borderId="9" xfId="0" applyNumberFormat="1" applyFont="1" applyFill="1" applyBorder="1" applyAlignment="1" applyProtection="1">
      <alignment horizontal="center" vertical="center" wrapText="1"/>
    </xf>
    <xf numFmtId="0" fontId="40" fillId="28" borderId="9" xfId="0" applyFont="1" applyFill="1" applyBorder="1" applyAlignment="1" applyProtection="1">
      <alignment horizontal="center" vertical="center" wrapText="1"/>
    </xf>
    <xf numFmtId="0" fontId="35" fillId="0" borderId="9" xfId="0" applyFont="1" applyBorder="1" applyAlignment="1" applyProtection="1">
      <alignment horizontal="left" vertical="center"/>
    </xf>
    <xf numFmtId="0" fontId="35" fillId="0" borderId="9" xfId="0" applyFont="1" applyBorder="1" applyAlignment="1" applyProtection="1">
      <alignment vertical="center"/>
    </xf>
    <xf numFmtId="172" fontId="35" fillId="0" borderId="9" xfId="31" applyNumberFormat="1" applyFont="1" applyBorder="1" applyAlignment="1" applyProtection="1">
      <alignment horizontal="left" vertical="center"/>
    </xf>
    <xf numFmtId="182" fontId="35" fillId="0" borderId="9" xfId="0" applyNumberFormat="1" applyFont="1" applyBorder="1" applyAlignment="1" applyProtection="1">
      <alignment vertical="center"/>
    </xf>
    <xf numFmtId="10" fontId="35" fillId="0" borderId="9" xfId="44" applyNumberFormat="1" applyFont="1" applyBorder="1" applyAlignment="1" applyProtection="1">
      <alignment vertical="center"/>
    </xf>
    <xf numFmtId="172" fontId="29" fillId="11" borderId="9" xfId="2" applyNumberFormat="1" applyFont="1" applyFill="1" applyBorder="1" applyAlignment="1" applyProtection="1">
      <alignment horizontal="left" vertical="center"/>
    </xf>
    <xf numFmtId="170" fontId="35" fillId="0" borderId="0" xfId="0" applyNumberFormat="1" applyFont="1" applyAlignment="1" applyProtection="1">
      <alignment horizontal="center" vertical="center"/>
    </xf>
    <xf numFmtId="166" fontId="35" fillId="0" borderId="0" xfId="0" applyNumberFormat="1" applyFont="1" applyAlignment="1" applyProtection="1">
      <alignment horizontal="left" vertical="center"/>
    </xf>
    <xf numFmtId="170" fontId="35" fillId="0" borderId="9" xfId="0" applyNumberFormat="1" applyFont="1" applyBorder="1" applyAlignment="1" applyProtection="1">
      <alignment horizontal="center" vertical="center"/>
    </xf>
    <xf numFmtId="171" fontId="35" fillId="0" borderId="9" xfId="0" applyNumberFormat="1" applyFont="1" applyBorder="1" applyAlignment="1" applyProtection="1">
      <alignment vertical="center"/>
    </xf>
    <xf numFmtId="0" fontId="35" fillId="0" borderId="4" xfId="0" applyFont="1" applyBorder="1" applyAlignment="1" applyProtection="1">
      <alignment horizontal="left" vertical="center"/>
    </xf>
    <xf numFmtId="171" fontId="35" fillId="0" borderId="9" xfId="2" applyFont="1" applyBorder="1" applyAlignment="1" applyProtection="1">
      <alignment horizontal="left" vertical="center"/>
    </xf>
    <xf numFmtId="0" fontId="35" fillId="0" borderId="0" xfId="0" applyFont="1" applyAlignment="1" applyProtection="1">
      <alignment horizontal="center" vertical="center"/>
    </xf>
    <xf numFmtId="172" fontId="35" fillId="0" borderId="0" xfId="31" applyNumberFormat="1" applyFont="1" applyAlignment="1" applyProtection="1">
      <alignment horizontal="left" vertical="center"/>
    </xf>
    <xf numFmtId="170" fontId="35" fillId="0" borderId="9" xfId="44" applyNumberFormat="1" applyFont="1" applyFill="1" applyBorder="1" applyAlignment="1" applyProtection="1">
      <alignment horizontal="center" vertical="center"/>
    </xf>
    <xf numFmtId="171" fontId="29" fillId="11" borderId="9" xfId="2" applyFont="1" applyFill="1" applyBorder="1" applyAlignment="1" applyProtection="1">
      <alignment horizontal="left" vertical="center"/>
    </xf>
    <xf numFmtId="171" fontId="35" fillId="0" borderId="0" xfId="2" applyFont="1" applyAlignment="1" applyProtection="1">
      <alignment horizontal="left" vertical="center"/>
    </xf>
    <xf numFmtId="0" fontId="41" fillId="11" borderId="7" xfId="0" applyFont="1" applyFill="1" applyBorder="1" applyAlignment="1" applyProtection="1">
      <alignment horizontal="left" vertical="center"/>
    </xf>
    <xf numFmtId="0" fontId="41" fillId="11" borderId="4" xfId="0" applyFont="1" applyFill="1" applyBorder="1" applyAlignment="1" applyProtection="1">
      <alignment horizontal="left" vertical="center"/>
    </xf>
    <xf numFmtId="0" fontId="41" fillId="11" borderId="14" xfId="0" applyFont="1" applyFill="1" applyBorder="1" applyAlignment="1" applyProtection="1">
      <alignment horizontal="left" vertical="center"/>
    </xf>
    <xf numFmtId="173" fontId="41" fillId="11" borderId="9" xfId="0" applyNumberFormat="1" applyFont="1" applyFill="1" applyBorder="1" applyAlignment="1" applyProtection="1">
      <alignment vertical="center"/>
    </xf>
    <xf numFmtId="173" fontId="35" fillId="0" borderId="0" xfId="0" applyNumberFormat="1" applyFont="1" applyAlignment="1" applyProtection="1">
      <alignment vertical="center"/>
    </xf>
    <xf numFmtId="0" fontId="65" fillId="28" borderId="7" xfId="0" applyFont="1" applyFill="1" applyBorder="1" applyAlignment="1" applyProtection="1">
      <alignment vertical="center" wrapText="1"/>
    </xf>
    <xf numFmtId="0" fontId="65" fillId="28" borderId="4" xfId="0" applyFont="1" applyFill="1" applyBorder="1" applyAlignment="1" applyProtection="1">
      <alignment vertical="center" wrapText="1"/>
    </xf>
    <xf numFmtId="10" fontId="65" fillId="28" borderId="9" xfId="0" applyNumberFormat="1" applyFont="1" applyFill="1" applyBorder="1" applyAlignment="1" applyProtection="1">
      <alignment horizontal="center" vertical="center" wrapText="1"/>
    </xf>
    <xf numFmtId="9" fontId="35" fillId="0" borderId="9" xfId="0" applyNumberFormat="1" applyFont="1" applyBorder="1" applyAlignment="1" applyProtection="1">
      <alignment horizontal="center" vertical="center"/>
    </xf>
    <xf numFmtId="173" fontId="35" fillId="0" borderId="9" xfId="2" applyNumberFormat="1" applyFont="1" applyBorder="1" applyAlignment="1" applyProtection="1">
      <alignment horizontal="left" vertical="center"/>
    </xf>
    <xf numFmtId="0" fontId="35" fillId="0" borderId="9" xfId="0" applyFont="1" applyBorder="1" applyAlignment="1" applyProtection="1">
      <alignment horizontal="left" vertical="center"/>
    </xf>
    <xf numFmtId="182" fontId="35" fillId="0" borderId="9" xfId="0" applyNumberFormat="1" applyFont="1" applyBorder="1" applyAlignment="1" applyProtection="1">
      <alignment vertical="center"/>
      <protection locked="0"/>
    </xf>
    <xf numFmtId="164" fontId="35" fillId="5" borderId="9" xfId="0" applyNumberFormat="1" applyFont="1" applyFill="1" applyBorder="1" applyAlignment="1" applyProtection="1">
      <alignment horizontal="left" vertical="center"/>
      <protection locked="0"/>
    </xf>
    <xf numFmtId="10" fontId="35" fillId="5" borderId="7" xfId="0" applyNumberFormat="1" applyFont="1" applyFill="1" applyBorder="1" applyAlignment="1" applyProtection="1">
      <alignment horizontal="left" vertical="center"/>
      <protection locked="0"/>
    </xf>
    <xf numFmtId="10" fontId="35" fillId="5" borderId="14" xfId="0" applyNumberFormat="1" applyFont="1" applyFill="1" applyBorder="1" applyAlignment="1" applyProtection="1">
      <alignment horizontal="left" vertical="center"/>
      <protection locked="0"/>
    </xf>
    <xf numFmtId="10" fontId="35" fillId="5" borderId="9" xfId="0" applyNumberFormat="1" applyFont="1" applyFill="1" applyBorder="1" applyAlignment="1" applyProtection="1">
      <alignment horizontal="center" vertical="center"/>
      <protection locked="0"/>
    </xf>
    <xf numFmtId="170" fontId="35" fillId="5" borderId="9" xfId="0" applyNumberFormat="1" applyFont="1" applyFill="1" applyBorder="1" applyAlignment="1" applyProtection="1">
      <alignment horizontal="center" vertical="center"/>
      <protection locked="0"/>
    </xf>
    <xf numFmtId="10" fontId="35" fillId="5" borderId="4" xfId="0" applyNumberFormat="1" applyFont="1" applyFill="1" applyBorder="1" applyAlignment="1" applyProtection="1">
      <alignment horizontal="left" vertical="center"/>
      <protection locked="0"/>
    </xf>
    <xf numFmtId="44" fontId="35" fillId="5" borderId="9" xfId="48" applyFont="1" applyFill="1" applyBorder="1" applyAlignment="1" applyProtection="1">
      <alignment horizontal="center" vertical="center"/>
      <protection locked="0"/>
    </xf>
    <xf numFmtId="2" fontId="35" fillId="0" borderId="0" xfId="0" applyNumberFormat="1" applyFont="1" applyProtection="1">
      <protection locked="0"/>
    </xf>
    <xf numFmtId="9" fontId="34" fillId="5" borderId="0" xfId="38" applyFont="1" applyFill="1" applyAlignment="1" applyProtection="1">
      <alignment horizontal="center" vertical="center"/>
      <protection locked="0"/>
    </xf>
    <xf numFmtId="9" fontId="34" fillId="5" borderId="0" xfId="44" applyFont="1" applyFill="1" applyAlignment="1" applyProtection="1">
      <alignment horizontal="center" vertical="center"/>
      <protection locked="0"/>
    </xf>
    <xf numFmtId="1" fontId="34" fillId="5" borderId="0" xfId="0" applyNumberFormat="1" applyFont="1" applyFill="1" applyAlignment="1" applyProtection="1">
      <alignment horizontal="center" vertical="center"/>
      <protection locked="0"/>
    </xf>
    <xf numFmtId="183" fontId="34" fillId="5" borderId="20" xfId="38" applyNumberFormat="1" applyFont="1" applyFill="1" applyBorder="1" applyAlignment="1" applyProtection="1">
      <alignment horizontal="center" vertical="center"/>
      <protection locked="0"/>
    </xf>
    <xf numFmtId="0" fontId="39" fillId="0" borderId="0" xfId="30" applyFont="1" applyAlignment="1" applyProtection="1">
      <alignment horizontal="left" vertical="center"/>
    </xf>
    <xf numFmtId="0" fontId="39" fillId="0" borderId="0" xfId="30" applyFont="1" applyAlignment="1" applyProtection="1">
      <alignment horizontal="center" vertical="center"/>
    </xf>
    <xf numFmtId="0" fontId="30" fillId="0" borderId="0" xfId="0" applyFont="1" applyAlignment="1" applyProtection="1">
      <alignment horizontal="center" wrapText="1"/>
    </xf>
    <xf numFmtId="0" fontId="44" fillId="6" borderId="0" xfId="0" applyFont="1" applyFill="1" applyAlignment="1" applyProtection="1">
      <alignment horizontal="center" wrapText="1"/>
    </xf>
    <xf numFmtId="0" fontId="35" fillId="6" borderId="0" xfId="0" applyFont="1" applyFill="1" applyAlignment="1" applyProtection="1">
      <alignment horizontal="center" vertical="center"/>
    </xf>
    <xf numFmtId="0" fontId="35" fillId="6" borderId="0" xfId="0" applyFont="1" applyFill="1" applyAlignment="1" applyProtection="1">
      <alignment horizontal="left" vertical="top"/>
    </xf>
    <xf numFmtId="0" fontId="35" fillId="6" borderId="0" xfId="0" applyFont="1" applyFill="1" applyAlignment="1" applyProtection="1">
      <alignment vertical="center"/>
    </xf>
    <xf numFmtId="0" fontId="45" fillId="0" borderId="0" xfId="0" applyFont="1" applyAlignment="1" applyProtection="1">
      <alignment horizontal="left" vertical="center"/>
    </xf>
    <xf numFmtId="0" fontId="46" fillId="25" borderId="0" xfId="0" applyFont="1" applyFill="1" applyAlignment="1" applyProtection="1">
      <alignment horizontal="center" vertical="center"/>
    </xf>
    <xf numFmtId="0" fontId="46" fillId="25" borderId="0" xfId="0" applyFont="1" applyFill="1" applyAlignment="1" applyProtection="1">
      <alignment horizontal="left" vertical="center"/>
    </xf>
    <xf numFmtId="177" fontId="35" fillId="6" borderId="0" xfId="0" applyNumberFormat="1" applyFont="1" applyFill="1" applyAlignment="1" applyProtection="1">
      <alignment vertical="center"/>
    </xf>
    <xf numFmtId="177" fontId="35" fillId="6" borderId="0" xfId="0" applyNumberFormat="1" applyFont="1" applyFill="1" applyAlignment="1" applyProtection="1">
      <alignment horizontal="center" vertical="center"/>
    </xf>
    <xf numFmtId="49" fontId="35" fillId="6" borderId="0" xfId="0" applyNumberFormat="1" applyFont="1" applyFill="1" applyAlignment="1" applyProtection="1">
      <alignment horizontal="center" vertical="center"/>
    </xf>
    <xf numFmtId="0" fontId="40" fillId="0" borderId="0" xfId="0" applyFont="1" applyAlignment="1" applyProtection="1">
      <alignment vertical="center"/>
    </xf>
    <xf numFmtId="168" fontId="35" fillId="6" borderId="0" xfId="19" applyFont="1" applyFill="1" applyAlignment="1" applyProtection="1">
      <alignment vertical="center"/>
    </xf>
    <xf numFmtId="44" fontId="35" fillId="6" borderId="0" xfId="54" applyFont="1" applyFill="1" applyAlignment="1" applyProtection="1">
      <alignment vertical="center"/>
    </xf>
    <xf numFmtId="0" fontId="47" fillId="15" borderId="9" xfId="0" applyFont="1" applyFill="1" applyBorder="1" applyAlignment="1" applyProtection="1">
      <alignment horizontal="center" vertical="center" wrapText="1"/>
    </xf>
    <xf numFmtId="0" fontId="47" fillId="16" borderId="9" xfId="0" applyFont="1" applyFill="1" applyBorder="1" applyAlignment="1" applyProtection="1">
      <alignment horizontal="center" vertical="center" wrapText="1"/>
    </xf>
    <xf numFmtId="0" fontId="35" fillId="6" borderId="0" xfId="0" applyFont="1" applyFill="1" applyAlignment="1" applyProtection="1">
      <alignment horizontal="left" vertical="center"/>
    </xf>
    <xf numFmtId="0" fontId="34" fillId="11" borderId="7" xfId="0" applyFont="1" applyFill="1" applyBorder="1" applyAlignment="1" applyProtection="1">
      <alignment horizontal="center" vertical="center"/>
    </xf>
    <xf numFmtId="0" fontId="34" fillId="11" borderId="4" xfId="0" applyFont="1" applyFill="1" applyBorder="1" applyAlignment="1" applyProtection="1">
      <alignment horizontal="center" vertical="center"/>
    </xf>
    <xf numFmtId="0" fontId="34" fillId="11" borderId="14" xfId="0" applyFont="1" applyFill="1" applyBorder="1" applyAlignment="1" applyProtection="1">
      <alignment horizontal="center" vertical="center"/>
    </xf>
    <xf numFmtId="0" fontId="34" fillId="12" borderId="8" xfId="0" applyFont="1" applyFill="1" applyBorder="1" applyAlignment="1" applyProtection="1">
      <alignment horizontal="center" vertical="center"/>
    </xf>
    <xf numFmtId="0" fontId="34" fillId="12" borderId="21" xfId="0" applyFont="1" applyFill="1" applyBorder="1" applyAlignment="1" applyProtection="1">
      <alignment horizontal="center" vertical="center"/>
    </xf>
    <xf numFmtId="0" fontId="34" fillId="12" borderId="22" xfId="0" applyFont="1" applyFill="1" applyBorder="1" applyAlignment="1" applyProtection="1">
      <alignment horizontal="center" vertical="center"/>
    </xf>
    <xf numFmtId="0" fontId="34" fillId="11" borderId="8" xfId="0" applyFont="1" applyFill="1" applyBorder="1" applyAlignment="1" applyProtection="1">
      <alignment horizontal="center" vertical="center"/>
    </xf>
    <xf numFmtId="0" fontId="34" fillId="11" borderId="21" xfId="0" applyFont="1" applyFill="1" applyBorder="1" applyAlignment="1" applyProtection="1">
      <alignment horizontal="center" vertical="center"/>
    </xf>
    <xf numFmtId="0" fontId="34" fillId="11" borderId="22" xfId="0" applyFont="1" applyFill="1" applyBorder="1" applyAlignment="1" applyProtection="1">
      <alignment horizontal="center" vertical="center"/>
    </xf>
    <xf numFmtId="0" fontId="34" fillId="11" borderId="0" xfId="0" applyFont="1" applyFill="1" applyAlignment="1" applyProtection="1">
      <alignment horizontal="center" vertical="center"/>
    </xf>
    <xf numFmtId="0" fontId="36" fillId="17" borderId="9" xfId="0" applyFont="1" applyFill="1" applyBorder="1" applyAlignment="1" applyProtection="1">
      <alignment horizontal="center" wrapText="1"/>
    </xf>
    <xf numFmtId="0" fontId="36" fillId="14" borderId="9" xfId="0" applyFont="1" applyFill="1" applyBorder="1" applyAlignment="1" applyProtection="1">
      <alignment horizontal="center" wrapText="1"/>
    </xf>
    <xf numFmtId="0" fontId="36" fillId="18" borderId="9" xfId="0" applyFont="1" applyFill="1" applyBorder="1" applyAlignment="1" applyProtection="1">
      <alignment horizontal="center" wrapText="1"/>
    </xf>
    <xf numFmtId="0" fontId="48" fillId="6" borderId="0" xfId="0" applyFont="1" applyFill="1" applyAlignment="1" applyProtection="1">
      <alignment horizontal="center" wrapText="1"/>
    </xf>
    <xf numFmtId="0" fontId="35" fillId="28" borderId="0" xfId="0" applyFont="1" applyFill="1" applyAlignment="1" applyProtection="1">
      <alignment horizontal="center" vertical="center" wrapText="1"/>
    </xf>
    <xf numFmtId="0" fontId="35" fillId="0" borderId="0" xfId="0" applyFont="1" applyAlignment="1" applyProtection="1">
      <alignment horizontal="center" vertical="center" wrapText="1"/>
    </xf>
    <xf numFmtId="0" fontId="35" fillId="0" borderId="0" xfId="0" applyFont="1" applyAlignment="1" applyProtection="1">
      <alignment horizontal="left" vertical="top"/>
    </xf>
    <xf numFmtId="1" fontId="35" fillId="0" borderId="0" xfId="0" applyNumberFormat="1" applyFont="1" applyAlignment="1" applyProtection="1">
      <alignment horizontal="center"/>
    </xf>
    <xf numFmtId="0" fontId="35" fillId="0" borderId="0" xfId="0" applyFont="1" applyProtection="1"/>
    <xf numFmtId="0" fontId="35" fillId="0" borderId="0" xfId="0" applyFont="1" applyAlignment="1" applyProtection="1">
      <alignment horizontal="left" vertical="center" wrapText="1"/>
    </xf>
    <xf numFmtId="178" fontId="35" fillId="0" borderId="0" xfId="0" applyNumberFormat="1" applyFont="1" applyAlignment="1" applyProtection="1">
      <alignment vertical="center"/>
    </xf>
    <xf numFmtId="49" fontId="35" fillId="0" borderId="0" xfId="0" applyNumberFormat="1" applyFont="1" applyAlignment="1" applyProtection="1">
      <alignment horizontal="center" vertical="center"/>
    </xf>
    <xf numFmtId="168" fontId="35" fillId="0" borderId="0" xfId="19" applyFont="1" applyFill="1" applyAlignment="1" applyProtection="1">
      <alignment horizontal="center" vertical="center" wrapText="1"/>
    </xf>
    <xf numFmtId="44" fontId="35" fillId="0" borderId="0" xfId="54" applyFont="1" applyFill="1" applyAlignment="1" applyProtection="1">
      <alignment horizontal="center" vertical="center" wrapText="1"/>
    </xf>
    <xf numFmtId="2" fontId="35" fillId="0" borderId="0" xfId="0" applyNumberFormat="1" applyFont="1" applyAlignment="1" applyProtection="1">
      <alignment horizontal="center" vertical="center" wrapText="1"/>
    </xf>
    <xf numFmtId="173" fontId="35" fillId="0" borderId="0" xfId="0" applyNumberFormat="1" applyFont="1" applyAlignment="1" applyProtection="1">
      <alignment horizontal="center" vertical="center" wrapText="1"/>
    </xf>
    <xf numFmtId="173" fontId="35" fillId="0" borderId="19" xfId="0" applyNumberFormat="1" applyFont="1" applyBorder="1" applyAlignment="1" applyProtection="1">
      <alignment horizontal="center" vertical="center" wrapText="1"/>
    </xf>
    <xf numFmtId="173" fontId="35" fillId="0" borderId="9" xfId="0" applyNumberFormat="1" applyFont="1" applyBorder="1" applyAlignment="1" applyProtection="1">
      <alignment horizontal="center" vertical="center"/>
    </xf>
    <xf numFmtId="173" fontId="35" fillId="0" borderId="0" xfId="0" applyNumberFormat="1" applyFont="1" applyAlignment="1" applyProtection="1">
      <alignment horizontal="center" vertical="center"/>
    </xf>
    <xf numFmtId="178" fontId="29" fillId="0" borderId="0" xfId="0" applyNumberFormat="1" applyFont="1" applyAlignment="1" applyProtection="1">
      <alignment vertical="center"/>
    </xf>
    <xf numFmtId="0" fontId="35" fillId="0" borderId="0" xfId="0" applyFont="1" applyAlignment="1" applyProtection="1">
      <alignment horizontal="left" vertical="center"/>
    </xf>
    <xf numFmtId="2" fontId="35" fillId="0" borderId="0" xfId="0" applyNumberFormat="1" applyFont="1" applyAlignment="1" applyProtection="1">
      <alignment horizontal="center"/>
    </xf>
    <xf numFmtId="170" fontId="34" fillId="5" borderId="9" xfId="0" applyNumberFormat="1" applyFont="1" applyFill="1" applyBorder="1" applyAlignment="1" applyProtection="1">
      <alignment horizontal="center" vertical="center"/>
    </xf>
    <xf numFmtId="0" fontId="45" fillId="0" borderId="0" xfId="0" applyFont="1" applyAlignment="1" applyProtection="1">
      <alignment vertical="center"/>
    </xf>
    <xf numFmtId="0" fontId="46" fillId="0" borderId="0" xfId="0" applyFont="1" applyAlignment="1" applyProtection="1">
      <alignment vertical="center"/>
    </xf>
    <xf numFmtId="0" fontId="35" fillId="0" borderId="0" xfId="0" applyFont="1" applyAlignment="1" applyProtection="1">
      <alignment horizontal="right" vertical="center"/>
    </xf>
    <xf numFmtId="4" fontId="35" fillId="0" borderId="0" xfId="0" applyNumberFormat="1" applyFont="1" applyAlignment="1" applyProtection="1">
      <alignment horizontal="center" vertical="center"/>
    </xf>
    <xf numFmtId="164" fontId="35" fillId="0" borderId="0" xfId="8" applyFont="1" applyAlignment="1" applyProtection="1">
      <alignment horizontal="right" vertical="center"/>
    </xf>
    <xf numFmtId="164" fontId="35" fillId="0" borderId="0" xfId="8" applyFont="1" applyAlignment="1" applyProtection="1">
      <alignment vertical="center"/>
    </xf>
    <xf numFmtId="3" fontId="35" fillId="0" borderId="0" xfId="0" applyNumberFormat="1" applyFont="1" applyAlignment="1" applyProtection="1">
      <alignment horizontal="center" vertical="center"/>
    </xf>
    <xf numFmtId="2" fontId="53" fillId="0" borderId="0" xfId="0" applyNumberFormat="1" applyFont="1" applyAlignment="1" applyProtection="1">
      <alignment horizontal="left" vertical="center"/>
    </xf>
    <xf numFmtId="2" fontId="53" fillId="0" borderId="0" xfId="0" applyNumberFormat="1" applyFont="1" applyAlignment="1" applyProtection="1">
      <alignment horizontal="right" vertical="center"/>
    </xf>
    <xf numFmtId="4" fontId="35" fillId="0" borderId="0" xfId="0" applyNumberFormat="1" applyFont="1" applyAlignment="1" applyProtection="1">
      <alignment vertical="center"/>
    </xf>
    <xf numFmtId="4" fontId="35" fillId="0" borderId="9" xfId="0" applyNumberFormat="1" applyFont="1" applyBorder="1" applyAlignment="1" applyProtection="1">
      <alignment horizontal="center" vertical="center"/>
    </xf>
    <xf numFmtId="0" fontId="40" fillId="29" borderId="0" xfId="0" applyFont="1" applyFill="1" applyAlignment="1" applyProtection="1">
      <alignment horizontal="center" vertical="center" wrapText="1"/>
    </xf>
    <xf numFmtId="0" fontId="40" fillId="29" borderId="0" xfId="0" applyFont="1" applyFill="1" applyAlignment="1" applyProtection="1">
      <alignment vertical="center" wrapText="1"/>
    </xf>
    <xf numFmtId="164" fontId="40" fillId="29" borderId="0" xfId="0" applyNumberFormat="1" applyFont="1" applyFill="1" applyAlignment="1" applyProtection="1">
      <alignment horizontal="center" vertical="center" wrapText="1"/>
    </xf>
    <xf numFmtId="0" fontId="29" fillId="0" borderId="0" xfId="0" applyFont="1" applyAlignment="1" applyProtection="1">
      <alignment horizontal="center" vertical="center"/>
    </xf>
    <xf numFmtId="0" fontId="29" fillId="0" borderId="0" xfId="0" applyFont="1" applyAlignment="1" applyProtection="1">
      <alignment vertical="center"/>
    </xf>
    <xf numFmtId="0" fontId="29" fillId="0" borderId="0" xfId="0" applyFont="1" applyAlignment="1" applyProtection="1">
      <alignment horizontal="left" vertical="center"/>
    </xf>
    <xf numFmtId="44" fontId="29" fillId="0" borderId="20" xfId="54" applyFont="1" applyFill="1" applyBorder="1" applyAlignment="1" applyProtection="1">
      <alignment horizontal="left" vertical="center"/>
    </xf>
    <xf numFmtId="44" fontId="29" fillId="0" borderId="20" xfId="0" applyNumberFormat="1" applyFont="1" applyBorder="1" applyAlignment="1" applyProtection="1">
      <alignment horizontal="left" vertical="center"/>
    </xf>
    <xf numFmtId="44" fontId="29" fillId="0" borderId="32" xfId="54" applyFont="1" applyFill="1" applyBorder="1" applyAlignment="1" applyProtection="1">
      <alignment horizontal="left" vertical="center"/>
    </xf>
    <xf numFmtId="4" fontId="29" fillId="0" borderId="0" xfId="0" applyNumberFormat="1" applyFont="1" applyAlignment="1" applyProtection="1">
      <alignment horizontal="left" vertical="center"/>
    </xf>
    <xf numFmtId="44" fontId="29" fillId="0" borderId="33" xfId="54" applyFont="1" applyFill="1" applyBorder="1" applyAlignment="1" applyProtection="1">
      <alignment horizontal="left" vertical="center"/>
    </xf>
    <xf numFmtId="44" fontId="29" fillId="0" borderId="34" xfId="54" applyFont="1" applyFill="1" applyBorder="1" applyAlignment="1" applyProtection="1">
      <alignment horizontal="left" vertical="center"/>
    </xf>
    <xf numFmtId="164" fontId="35" fillId="6" borderId="0" xfId="0" applyNumberFormat="1" applyFont="1" applyFill="1" applyAlignment="1" applyProtection="1">
      <alignment horizontal="center" vertical="center"/>
    </xf>
    <xf numFmtId="4" fontId="35" fillId="0" borderId="0" xfId="0" applyNumberFormat="1" applyFont="1" applyAlignment="1" applyProtection="1">
      <alignment horizontal="right" vertical="center"/>
    </xf>
    <xf numFmtId="4" fontId="30" fillId="0" borderId="0" xfId="0" applyNumberFormat="1" applyFont="1" applyAlignment="1" applyProtection="1">
      <alignment vertical="center"/>
    </xf>
    <xf numFmtId="4" fontId="29" fillId="0" borderId="0" xfId="0" applyNumberFormat="1" applyFont="1" applyAlignment="1" applyProtection="1">
      <alignment horizontal="center" vertical="center"/>
    </xf>
    <xf numFmtId="4" fontId="29" fillId="0" borderId="0" xfId="0" applyNumberFormat="1" applyFont="1" applyAlignment="1" applyProtection="1">
      <alignment horizontal="right" vertical="center"/>
    </xf>
    <xf numFmtId="173" fontId="29" fillId="0" borderId="0" xfId="0" applyNumberFormat="1" applyFont="1" applyAlignment="1" applyProtection="1">
      <alignment horizontal="center" vertical="center"/>
    </xf>
    <xf numFmtId="44" fontId="29" fillId="0" borderId="0" xfId="54" applyFont="1" applyFill="1" applyAlignment="1" applyProtection="1">
      <alignment horizontal="center" vertical="center"/>
    </xf>
    <xf numFmtId="0" fontId="29" fillId="10" borderId="0" xfId="0" applyFont="1" applyFill="1" applyAlignment="1" applyProtection="1">
      <alignment horizontal="center" vertical="center"/>
    </xf>
    <xf numFmtId="0" fontId="29" fillId="10" borderId="0" xfId="0" applyFont="1" applyFill="1" applyAlignment="1" applyProtection="1">
      <alignment horizontal="left" vertical="center"/>
    </xf>
    <xf numFmtId="0" fontId="29" fillId="10" borderId="0" xfId="0" applyFont="1" applyFill="1" applyAlignment="1" applyProtection="1">
      <alignment vertical="center"/>
    </xf>
    <xf numFmtId="0" fontId="29" fillId="10" borderId="0" xfId="0" applyFont="1" applyFill="1" applyAlignment="1" applyProtection="1">
      <alignment horizontal="right" vertical="center"/>
    </xf>
    <xf numFmtId="173" fontId="29" fillId="10" borderId="0" xfId="0" applyNumberFormat="1" applyFont="1" applyFill="1" applyAlignment="1" applyProtection="1">
      <alignment horizontal="center" vertical="center"/>
    </xf>
    <xf numFmtId="164" fontId="29" fillId="5" borderId="0" xfId="0" applyNumberFormat="1" applyFont="1" applyFill="1" applyAlignment="1" applyProtection="1">
      <alignment horizontal="center" vertical="center"/>
      <protection locked="0"/>
    </xf>
    <xf numFmtId="0" fontId="39" fillId="0" borderId="6" xfId="30" applyFont="1" applyBorder="1" applyAlignment="1" applyProtection="1">
      <alignment horizontal="center" vertical="center"/>
    </xf>
    <xf numFmtId="170" fontId="34" fillId="5" borderId="7" xfId="0" applyNumberFormat="1" applyFont="1" applyFill="1" applyBorder="1" applyAlignment="1" applyProtection="1">
      <alignment horizontal="center" vertical="center"/>
    </xf>
    <xf numFmtId="170" fontId="34" fillId="5" borderId="4" xfId="0" applyNumberFormat="1" applyFont="1" applyFill="1" applyBorder="1" applyAlignment="1" applyProtection="1">
      <alignment horizontal="center" vertical="center"/>
    </xf>
    <xf numFmtId="170" fontId="34" fillId="5" borderId="14" xfId="0" applyNumberFormat="1" applyFont="1" applyFill="1" applyBorder="1" applyAlignment="1" applyProtection="1">
      <alignment horizontal="center" vertical="center"/>
    </xf>
    <xf numFmtId="4" fontId="29" fillId="0" borderId="0" xfId="0" applyNumberFormat="1" applyFont="1" applyAlignment="1" applyProtection="1">
      <alignment vertical="center"/>
    </xf>
    <xf numFmtId="2" fontId="35" fillId="0" borderId="0" xfId="0" applyNumberFormat="1" applyFont="1" applyAlignment="1" applyProtection="1">
      <alignment horizontal="center" vertical="center"/>
    </xf>
    <xf numFmtId="0" fontId="29" fillId="9" borderId="0" xfId="0" applyFont="1" applyFill="1" applyAlignment="1" applyProtection="1">
      <alignment horizontal="center" vertical="center"/>
    </xf>
    <xf numFmtId="0" fontId="29" fillId="9" borderId="0" xfId="0" applyFont="1" applyFill="1" applyAlignment="1" applyProtection="1">
      <alignment horizontal="left" vertical="center"/>
    </xf>
    <xf numFmtId="0" fontId="29" fillId="9" borderId="0" xfId="0" applyFont="1" applyFill="1" applyAlignment="1" applyProtection="1">
      <alignment vertical="center"/>
    </xf>
    <xf numFmtId="173" fontId="29" fillId="9" borderId="0" xfId="0" applyNumberFormat="1" applyFont="1" applyFill="1" applyAlignment="1" applyProtection="1">
      <alignment horizontal="center" vertical="center"/>
    </xf>
    <xf numFmtId="0" fontId="29" fillId="5" borderId="0" xfId="0" applyFont="1" applyFill="1" applyAlignment="1" applyProtection="1">
      <alignment horizontal="center" vertical="center"/>
      <protection locked="0"/>
    </xf>
    <xf numFmtId="0" fontId="35" fillId="5" borderId="0" xfId="0" applyFont="1" applyFill="1" applyAlignment="1" applyProtection="1">
      <alignment horizontal="center" vertical="center"/>
      <protection locked="0"/>
    </xf>
    <xf numFmtId="170" fontId="35" fillId="5" borderId="7" xfId="0" applyNumberFormat="1" applyFont="1" applyFill="1" applyBorder="1" applyAlignment="1" applyProtection="1">
      <alignment horizontal="center" vertical="center"/>
    </xf>
    <xf numFmtId="170" fontId="35" fillId="5" borderId="4" xfId="0" applyNumberFormat="1" applyFont="1" applyFill="1" applyBorder="1" applyAlignment="1" applyProtection="1">
      <alignment horizontal="center" vertical="center"/>
    </xf>
    <xf numFmtId="170" fontId="35" fillId="5" borderId="14" xfId="0" applyNumberFormat="1" applyFont="1" applyFill="1" applyBorder="1" applyAlignment="1" applyProtection="1">
      <alignment horizontal="center" vertical="center"/>
    </xf>
    <xf numFmtId="0" fontId="35" fillId="6" borderId="0" xfId="0" applyFont="1" applyFill="1" applyAlignment="1" applyProtection="1">
      <alignment horizontal="center" vertical="center" textRotation="90"/>
    </xf>
    <xf numFmtId="0" fontId="35" fillId="0" borderId="0" xfId="0" applyFont="1" applyAlignment="1" applyProtection="1">
      <alignment horizontal="center" vertical="center" textRotation="90" wrapText="1"/>
    </xf>
    <xf numFmtId="0" fontId="35" fillId="28" borderId="0" xfId="0" applyFont="1" applyFill="1" applyAlignment="1" applyProtection="1">
      <alignment horizontal="left" vertical="center" wrapText="1"/>
    </xf>
    <xf numFmtId="0" fontId="35" fillId="0" borderId="8" xfId="0" applyFont="1" applyBorder="1" applyAlignment="1" applyProtection="1">
      <alignment horizontal="center" vertical="center" textRotation="90"/>
    </xf>
    <xf numFmtId="173" fontId="35" fillId="0" borderId="19" xfId="0" applyNumberFormat="1" applyFont="1" applyBorder="1" applyAlignment="1" applyProtection="1">
      <alignment horizontal="left" vertical="center" wrapText="1"/>
    </xf>
    <xf numFmtId="0" fontId="35" fillId="0" borderId="11" xfId="0" applyFont="1" applyBorder="1" applyAlignment="1" applyProtection="1">
      <alignment horizontal="center" vertical="center" textRotation="90"/>
    </xf>
    <xf numFmtId="0" fontId="35" fillId="0" borderId="12" xfId="0" applyFont="1" applyBorder="1" applyAlignment="1" applyProtection="1">
      <alignment horizontal="center" vertical="center" textRotation="90"/>
    </xf>
    <xf numFmtId="0" fontId="35" fillId="0" borderId="8" xfId="0" applyFont="1" applyBorder="1" applyAlignment="1" applyProtection="1">
      <alignment horizontal="center" vertical="center" textRotation="90" wrapText="1"/>
    </xf>
    <xf numFmtId="0" fontId="35" fillId="0" borderId="11" xfId="0" applyFont="1" applyBorder="1" applyAlignment="1" applyProtection="1">
      <alignment horizontal="center" vertical="center" textRotation="90" wrapText="1"/>
    </xf>
    <xf numFmtId="0" fontId="35" fillId="0" borderId="12" xfId="0" applyFont="1" applyBorder="1" applyAlignment="1" applyProtection="1">
      <alignment horizontal="center" vertical="center" textRotation="90" wrapText="1"/>
    </xf>
    <xf numFmtId="0" fontId="29" fillId="0" borderId="0" xfId="0" applyFont="1" applyAlignment="1" applyProtection="1">
      <alignment horizontal="center" vertical="center" textRotation="90"/>
    </xf>
    <xf numFmtId="0" fontId="29" fillId="11" borderId="0" xfId="0" applyFont="1" applyFill="1" applyAlignment="1" applyProtection="1">
      <alignment horizontal="left" vertical="center" wrapText="1"/>
    </xf>
    <xf numFmtId="0" fontId="35" fillId="0" borderId="0" xfId="0" applyFont="1" applyAlignment="1" applyProtection="1">
      <alignment horizontal="center" vertical="center" textRotation="90"/>
    </xf>
    <xf numFmtId="0" fontId="30" fillId="0" borderId="27" xfId="0" applyFont="1" applyBorder="1" applyAlignment="1" applyProtection="1">
      <alignment horizontal="center"/>
    </xf>
    <xf numFmtId="0" fontId="37" fillId="0" borderId="2" xfId="0" applyFont="1" applyBorder="1" applyProtection="1"/>
    <xf numFmtId="0" fontId="30" fillId="0" borderId="28" xfId="0" applyFont="1" applyBorder="1" applyProtection="1"/>
    <xf numFmtId="0" fontId="30" fillId="0" borderId="24" xfId="0" applyFont="1" applyBorder="1" applyAlignment="1" applyProtection="1">
      <alignment horizontal="center"/>
    </xf>
    <xf numFmtId="0" fontId="30" fillId="0" borderId="0" xfId="0" applyFont="1" applyProtection="1"/>
    <xf numFmtId="0" fontId="30" fillId="0" borderId="25" xfId="0" applyFont="1" applyBorder="1" applyProtection="1"/>
    <xf numFmtId="0" fontId="55" fillId="0" borderId="0" xfId="0" applyFont="1" applyProtection="1"/>
    <xf numFmtId="0" fontId="33" fillId="0" borderId="0" xfId="0" applyFont="1" applyProtection="1"/>
    <xf numFmtId="0" fontId="30" fillId="0" borderId="24" xfId="0" applyFont="1" applyBorder="1" applyAlignment="1" applyProtection="1">
      <alignment horizontal="center" vertical="center"/>
    </xf>
    <xf numFmtId="0" fontId="30" fillId="0" borderId="0" xfId="0" applyFont="1" applyAlignment="1" applyProtection="1">
      <alignment horizontal="left" wrapText="1"/>
    </xf>
    <xf numFmtId="0" fontId="30" fillId="0" borderId="25" xfId="0" applyFont="1" applyBorder="1" applyAlignment="1" applyProtection="1">
      <alignment horizontal="left" wrapText="1"/>
    </xf>
    <xf numFmtId="0" fontId="30" fillId="0" borderId="0" xfId="0" applyFont="1" applyAlignment="1" applyProtection="1">
      <alignment horizontal="left" indent="1"/>
    </xf>
    <xf numFmtId="0" fontId="33" fillId="0" borderId="0" xfId="0" applyFont="1" applyAlignment="1" applyProtection="1">
      <alignment horizontal="left" indent="1"/>
    </xf>
    <xf numFmtId="0" fontId="30" fillId="0" borderId="0" xfId="0" applyFont="1" applyAlignment="1" applyProtection="1">
      <alignment horizontal="left"/>
    </xf>
    <xf numFmtId="0" fontId="30" fillId="0" borderId="25" xfId="0" applyFont="1" applyBorder="1" applyAlignment="1" applyProtection="1">
      <alignment horizontal="left"/>
    </xf>
    <xf numFmtId="0" fontId="30" fillId="0" borderId="29" xfId="0" applyFont="1" applyBorder="1" applyAlignment="1" applyProtection="1">
      <alignment horizontal="center" vertical="center"/>
    </xf>
    <xf numFmtId="0" fontId="30" fillId="0" borderId="30" xfId="0" applyFont="1" applyBorder="1" applyAlignment="1" applyProtection="1">
      <alignment horizontal="left"/>
    </xf>
    <xf numFmtId="0" fontId="30" fillId="0" borderId="31" xfId="0" applyFont="1" applyBorder="1" applyAlignment="1" applyProtection="1">
      <alignment horizontal="left"/>
    </xf>
    <xf numFmtId="173" fontId="35" fillId="5" borderId="0" xfId="0" applyNumberFormat="1" applyFont="1" applyFill="1" applyAlignment="1" applyProtection="1">
      <alignment vertical="center"/>
      <protection locked="0"/>
    </xf>
    <xf numFmtId="49" fontId="65" fillId="30" borderId="4" xfId="29" applyNumberFormat="1" applyFont="1" applyFill="1" applyBorder="1" applyAlignment="1" applyProtection="1">
      <alignment horizontal="left" vertical="center"/>
      <protection locked="0"/>
    </xf>
    <xf numFmtId="49" fontId="65" fillId="30" borderId="14" xfId="29" applyNumberFormat="1" applyFont="1" applyFill="1" applyBorder="1" applyAlignment="1" applyProtection="1">
      <alignment horizontal="left" vertical="center"/>
      <protection locked="0"/>
    </xf>
    <xf numFmtId="49" fontId="35" fillId="26" borderId="7" xfId="0" applyNumberFormat="1" applyFont="1" applyFill="1" applyBorder="1" applyAlignment="1" applyProtection="1">
      <alignment horizontal="center" vertical="center"/>
      <protection locked="0"/>
    </xf>
    <xf numFmtId="49" fontId="35" fillId="26" borderId="14" xfId="0" applyNumberFormat="1" applyFont="1" applyFill="1" applyBorder="1" applyAlignment="1" applyProtection="1">
      <alignment horizontal="center" vertical="center"/>
      <protection locked="0"/>
    </xf>
    <xf numFmtId="49" fontId="35" fillId="27" borderId="7" xfId="0" applyNumberFormat="1" applyFont="1" applyFill="1" applyBorder="1" applyAlignment="1" applyProtection="1">
      <alignment horizontal="center" vertical="center"/>
      <protection locked="0"/>
    </xf>
    <xf numFmtId="49" fontId="35" fillId="27" borderId="14" xfId="0" applyNumberFormat="1" applyFont="1" applyFill="1" applyBorder="1" applyAlignment="1" applyProtection="1">
      <alignment horizontal="center" vertical="center"/>
      <protection locked="0"/>
    </xf>
    <xf numFmtId="49" fontId="35" fillId="26" borderId="4" xfId="0" applyNumberFormat="1" applyFont="1" applyFill="1" applyBorder="1" applyAlignment="1" applyProtection="1">
      <alignment horizontal="center" vertical="center"/>
      <protection locked="0"/>
    </xf>
    <xf numFmtId="49" fontId="35" fillId="27" borderId="4" xfId="0" applyNumberFormat="1" applyFont="1" applyFill="1" applyBorder="1" applyAlignment="1" applyProtection="1">
      <alignment horizontal="center" vertical="center"/>
      <protection locked="0"/>
    </xf>
    <xf numFmtId="0" fontId="35" fillId="27" borderId="7" xfId="0" applyFont="1" applyFill="1" applyBorder="1" applyAlignment="1" applyProtection="1">
      <alignment horizontal="center" vertical="center"/>
      <protection locked="0"/>
    </xf>
    <xf numFmtId="0" fontId="35" fillId="27" borderId="4" xfId="0" applyFont="1" applyFill="1" applyBorder="1" applyAlignment="1" applyProtection="1">
      <alignment horizontal="center" vertical="center"/>
      <protection locked="0"/>
    </xf>
    <xf numFmtId="0" fontId="35" fillId="27" borderId="14" xfId="0" applyFont="1" applyFill="1" applyBorder="1" applyAlignment="1" applyProtection="1">
      <alignment horizontal="center" vertical="center"/>
      <protection locked="0"/>
    </xf>
    <xf numFmtId="44" fontId="29" fillId="30" borderId="0" xfId="0" applyNumberFormat="1" applyFont="1" applyFill="1" applyAlignment="1" applyProtection="1">
      <alignment horizontal="left" vertical="center"/>
      <protection locked="0"/>
    </xf>
    <xf numFmtId="0" fontId="35" fillId="30" borderId="0" xfId="0" applyFont="1" applyFill="1" applyAlignment="1" applyProtection="1">
      <alignment horizontal="center" vertical="center"/>
      <protection locked="0"/>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47">
    <dxf>
      <font>
        <b val="0"/>
        <i val="0"/>
        <strike val="0"/>
        <condense val="0"/>
        <extend val="0"/>
        <outline val="0"/>
        <shadow val="0"/>
        <u val="none"/>
        <vertAlign val="baseline"/>
        <sz val="9"/>
        <color theme="1"/>
        <name val="Aptos"/>
        <family val="2"/>
        <scheme val="none"/>
      </font>
      <numFmt numFmtId="4" formatCode="#,##0.00"/>
      <fill>
        <patternFill patternType="solid">
          <fgColor indexed="64"/>
          <bgColor rgb="FF00FF00"/>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strike val="0"/>
        <outline val="0"/>
        <shadow val="0"/>
        <u val="none"/>
        <vertAlign val="baseline"/>
        <sz val="9"/>
        <color theme="1"/>
        <name val="Aptos"/>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strike val="0"/>
        <outline val="0"/>
        <shadow val="0"/>
        <name val="Aptos"/>
        <family val="2"/>
        <scheme val="none"/>
      </font>
      <protection locked="1"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protection locked="1" hidden="0"/>
    </dxf>
    <dxf>
      <font>
        <strike val="0"/>
        <outline val="0"/>
        <shadow val="0"/>
        <name val="Aptos"/>
        <family val="2"/>
        <scheme val="none"/>
      </font>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solid">
          <fgColor theme="4" tint="0.79998168889431442"/>
          <bgColor theme="4" tint="0.79998168889431442"/>
        </patternFill>
      </fill>
      <alignment horizontal="left" vertical="center" textRotation="0" wrapText="0" indent="0" justifyLastLine="0" shrinkToFit="0" readingOrder="0"/>
      <border>
        <right style="thin">
          <color theme="0"/>
        </right>
      </border>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1"/>
        <name val="Aptos"/>
        <family val="2"/>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strike val="0"/>
        <outline val="0"/>
        <shadow val="0"/>
        <u val="none"/>
        <vertAlign val="baseline"/>
        <sz val="9"/>
        <name val="Aptos"/>
        <family val="2"/>
        <scheme val="none"/>
      </font>
      <numFmt numFmtId="187" formatCode="#.##000"/>
      <fill>
        <patternFill patternType="solid">
          <fgColor theme="4" tint="0.79998168889431442"/>
          <bgColor theme="0" tint="-0.249977111117893"/>
        </patternFill>
      </fill>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protection locked="1" hidden="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protection locked="1" hidden="0"/>
    </dxf>
    <dxf>
      <font>
        <strike val="0"/>
        <outline val="0"/>
        <shadow val="0"/>
        <vertAlign val="baseline"/>
        <name val="Aptos"/>
        <family val="2"/>
        <scheme val="none"/>
      </font>
      <fill>
        <patternFill patternType="none">
          <fgColor indexed="64"/>
          <bgColor auto="1"/>
        </patternFill>
      </fill>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numFmt numFmtId="187" formatCode="#.##000"/>
      <fill>
        <patternFill patternType="solid">
          <fgColor rgb="FFB8CCE4"/>
          <bgColor rgb="FFBFBFBF"/>
        </patternFill>
      </fill>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protection locked="1" hidden="0"/>
    </dxf>
    <dxf>
      <font>
        <strike val="0"/>
        <outline val="0"/>
        <shadow val="0"/>
        <vertAlign val="baseline"/>
        <name val="Aptos"/>
        <family val="2"/>
        <scheme val="none"/>
      </font>
      <fill>
        <patternFill patternType="none">
          <fgColor indexed="64"/>
          <bgColor auto="1"/>
        </patternFill>
      </fill>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border>
    </dxf>
    <dxf>
      <font>
        <color rgb="FF9C0006"/>
      </font>
      <fill>
        <patternFill>
          <bgColor rgb="FFFFC7CE"/>
        </patternFill>
      </fill>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name val="Aptos"/>
        <family val="2"/>
        <scheme val="none"/>
      </font>
      <numFmt numFmtId="187"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numFmt numFmtId="187" formatCode="#.##00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 val="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341" dataDxfId="339" headerRowBorderDxfId="340" tableBorderDxfId="338" totalsRowBorderDxfId="337">
  <autoFilter ref="A3:Y1101" xr:uid="{EFA13895-E364-4C8A-AA8D-12C726A7AC31}"/>
  <tableColumns count="25">
    <tableColumn id="1" xr3:uid="{6B145318-7F04-4B27-80E3-EDDB80D8AA5F}" name="Code" dataDxfId="281"/>
    <tableColumn id="2" xr3:uid="{A3A88513-89B7-4FB7-9DB5-CF77936D6328}" name="Locatie" dataDxfId="280"/>
    <tableColumn id="3" xr3:uid="{962D7CAE-D138-4226-9114-7A665E66FE09}" name="Frequentie" dataDxfId="279"/>
    <tableColumn id="4" xr3:uid="{02A05A85-F557-4E8F-81CA-782514C3EB0B}" name="Frequentieomschrijving" dataDxfId="278"/>
    <tableColumn id="5" xr3:uid="{3D41A4F3-0BA0-4F3A-8059-E98FA4296AD9}" name="Vloercode" dataDxfId="277"/>
    <tableColumn id="6" xr3:uid="{9F60BC29-F803-467C-9E8A-B9FD3FAED5FC}" name="Code2" dataDxfId="276"/>
    <tableColumn id="7" xr3:uid="{624EFF30-884A-4A63-9192-06AA3C4453EA}" name="vl1" dataDxfId="275"/>
    <tableColumn id="8" xr3:uid="{C944B72C-E6D7-4E79-85F6-914704F2E65C}" name="vl2" dataDxfId="274"/>
    <tableColumn id="9" xr3:uid="{D65DE689-F9B8-430B-B34E-7DF95793D674}" name="vl3" dataDxfId="273"/>
    <tableColumn id="10" xr3:uid="{43A4B773-0F96-4280-9C3F-EAF80A14A709}" name="vl4" dataDxfId="272"/>
    <tableColumn id="11" xr3:uid="{380012B2-3312-431D-8946-41856C56FB2C}" name="vl5" dataDxfId="271"/>
    <tableColumn id="12" xr3:uid="{2B1C9BF4-8C96-4C73-984A-DE131A286832}" name="vl6" dataDxfId="270"/>
    <tableColumn id="13" xr3:uid="{B5514BB9-74E0-4ABE-9E20-CCE23D228131}" name="vl7" dataDxfId="269"/>
    <tableColumn id="14" xr3:uid="{F791ACCD-A47B-41ED-BECD-6641D8F9B18D}" name="vnl" dataDxfId="268"/>
    <tableColumn id="15" xr3:uid="{20BAF86F-0248-4538-95CC-65053CB39BEF}" name="i8" dataDxfId="267"/>
    <tableColumn id="16" xr3:uid="{678C2240-F553-40F8-8F75-1C080929C9FC}" name="i9" dataDxfId="266"/>
    <tableColumn id="17" xr3:uid="{C2F746AF-E6E8-4646-8431-CFDAE0006C0B}" name="i10" dataDxfId="265"/>
    <tableColumn id="18" xr3:uid="{87F5E1E5-AB4E-4E20-BA95-D8FB4BB75EC7}" name="i11" dataDxfId="264"/>
    <tableColumn id="19" xr3:uid="{9C49B827-4B78-47E3-AF74-E39A99170859}" name="i12" dataDxfId="263"/>
    <tableColumn id="20" xr3:uid="{52B1AE75-DD29-4ADA-956E-361F983699DB}" name="i13" dataDxfId="262"/>
    <tableColumn id="21" xr3:uid="{9EF47AA6-0AC0-40A4-BB2C-B58ABE40EEF2}" name="i14" dataDxfId="261"/>
    <tableColumn id="22" xr3:uid="{5E7A7D3D-FCD2-4FB4-BE26-536C0F75A359}" name="inl" dataDxfId="260"/>
    <tableColumn id="23" xr3:uid="{4FDE95B9-743A-4E1C-BBAB-5F5DE7DAE90F}" name="s15" dataDxfId="259"/>
    <tableColumn id="24" xr3:uid="{F08AC32D-BF76-4C5E-A2C7-ABF0B3ADEC32}" name="s16" dataDxfId="258"/>
    <tableColumn id="25" xr3:uid="{F5AC86BA-6517-4B7E-AA9D-85C454384A01}" name="snl" dataDxfId="257"/>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1:I32" totalsRowCount="1" headerRowDxfId="102" dataDxfId="100" totalsRowDxfId="101">
  <autoFilter ref="A21:I31" xr:uid="{00000000-0009-0000-0100-000004000000}"/>
  <sortState xmlns:xlrd2="http://schemas.microsoft.com/office/spreadsheetml/2017/richdata2" ref="A22:G26">
    <sortCondition ref="A22:A26"/>
  </sortState>
  <tableColumns count="9">
    <tableColumn id="1" xr3:uid="{00000000-0010-0000-0600-000001000000}" name="Code Locatie" totalsRowLabel="Totaal" dataDxfId="120" totalsRowDxfId="119"/>
    <tableColumn id="2" xr3:uid="{00000000-0010-0000-0600-000002000000}" name="Locatie" dataDxfId="118" totalsRowDxfId="117">
      <calculatedColumnFormula>VLOOKUP(OverzichtGlas[[#This Row],[Code Locatie]],Totalisatie!$A$7:$B$8,2,FALSE)</calculatedColumnFormula>
    </tableColumn>
    <tableColumn id="3" xr3:uid="{00000000-0010-0000-0600-000003000000}" name="Code taak" dataDxfId="116" totalsRowDxfId="115"/>
    <tableColumn id="4" xr3:uid="{00000000-0010-0000-0600-000004000000}" name="Glassoort/voorziening" dataDxfId="114" totalsRowDxfId="113">
      <calculatedColumnFormula>IF(Glasbewassing!$C22&gt;0,VLOOKUP(Glasbewassing!$C22,$A$8:$B$19,2,FALSE),"Hier vult u de inzet van eventuele hoogwerkers in")</calculatedColumnFormula>
    </tableColumn>
    <tableColumn id="5" xr3:uid="{00000000-0010-0000-0600-000005000000}" name="Oppervlakte of dagen" dataDxfId="112" totalsRowDxfId="111"/>
    <tableColumn id="7" xr3:uid="{00000000-0010-0000-0600-000007000000}" name="Frequentie" dataDxfId="110" totalsRowDxfId="109"/>
    <tableColumn id="8" xr3:uid="{00000000-0010-0000-0600-000008000000}" name="Kosten/jaar excl. BTW" totalsRowFunction="sum" dataDxfId="108" totalsRowDxfId="107">
      <calculatedColumnFormula>IF(C22&gt;0,VLOOKUP(OverzichtGlas[[#This Row],[Code taak]],InvulGlas[],3,0)*E22*F22,0)</calculatedColumnFormula>
    </tableColumn>
    <tableColumn id="9" xr3:uid="{C6828B68-C5ED-4DD8-81B9-05DF00D6C1BD}" name="Kosten/jaar incl. BTW" totalsRowFunction="sum" dataDxfId="106" totalsRowDxfId="105">
      <calculatedColumnFormula>OverzichtGlas[[#This Row],[Kosten/jaar excl. BTW]]*1.21</calculatedColumnFormula>
    </tableColumn>
    <tableColumn id="10" xr3:uid="{281CE6AA-F18D-4D78-892B-498ACB4CB3F2}" name="Opmerkingen" dataDxfId="104" totalsRowDxfId="103"/>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3" totalsRowShown="0" headerRowDxfId="297" dataDxfId="296">
  <autoFilter ref="A8:I13" xr:uid="{A588C5F6-B106-46F9-B98B-C593A09DB2A3}"/>
  <tableColumns count="9">
    <tableColumn id="1" xr3:uid="{22B850F0-AE08-4CE3-9B2D-04E6314FD547}" name="Code Taak" dataDxfId="98"/>
    <tableColumn id="2" xr3:uid="{6412DB2E-0333-47D7-AB1A-EA797FE96A5D}" name="Werkzaamheden" dataDxfId="2"/>
    <tableColumn id="3" xr3:uid="{8AAD7C70-4047-4EB3-A9DF-188E4E2089BC}" name="Prijs_x000a_Excl. BTW" dataDxfId="3">
      <calculatedColumnFormula>Tariefsopbouw!$E$35</calculatedColumnFormula>
    </tableColumn>
    <tableColumn id="4" xr3:uid="{1CA4AC32-87D6-4484-8912-27D47F4EAAF7}" name="Toelichting" dataDxfId="1"/>
    <tableColumn id="5" xr3:uid="{BE52F369-C5C3-4A71-8D70-B7E0ACF04F24}" name="2028" dataDxfId="97" dataCellStyle="Valuta">
      <calculatedColumnFormula>(Invulextrawerkz[[#This Row],[Prijs
Excl. BTW]]*Tariefsopbouw!$I$37)+Invulextrawerkz[[#This Row],[Prijs
Excl. BTW]]</calculatedColumnFormula>
    </tableColumn>
    <tableColumn id="6" xr3:uid="{046CD56D-41E8-4E69-876C-FF09421E56AF}" name="2029" dataDxfId="96" dataCellStyle="Valuta">
      <calculatedColumnFormula>Invulextrawerkz[[#This Row],[2028]]*Tariefsopbouw!$K$37+Invulextrawerkz[[#This Row],[2028]]</calculatedColumnFormula>
    </tableColumn>
    <tableColumn id="7" xr3:uid="{AF2B5E6B-A19D-4429-8D14-84B8E528B026}" name="2030" dataDxfId="95" dataCellStyle="Valuta">
      <calculatedColumnFormula>Invulextrawerkz[[#This Row],[2029]]*Tariefsopbouw!$M$37+Invulextrawerkz[[#This Row],[2029]]</calculatedColumnFormula>
    </tableColumn>
    <tableColumn id="8" xr3:uid="{69208AF1-447E-49EB-8803-78C4123AE3E9}" name="2031" dataDxfId="94" dataCellStyle="Valuta">
      <calculatedColumnFormula>Invulextrawerkz[[#This Row],[2030]]*Tariefsopbouw!$O$37+Invulextrawerkz[[#This Row],[2030]]</calculatedColumnFormula>
    </tableColumn>
    <tableColumn id="9" xr3:uid="{E25B61B0-84BE-4386-B6FA-D50084DDD0DC}" name="2032" dataDxfId="93" dataCellStyle="Valuta">
      <calculatedColumnFormula>Invulextrawerkz[[#This Row],[2031]]*Tariefsopbouw!$Q$37+Invulextrawerkz[[#This Row],[2031]]</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5:I20" totalsRowCount="1" headerRowDxfId="295" dataDxfId="294" totalsRowDxfId="293">
  <autoFilter ref="A15:I19" xr:uid="{B3DABFDF-61AB-4C78-A962-F8CAE07529D2}"/>
  <tableColumns count="9">
    <tableColumn id="11" xr3:uid="{FED34620-6CE0-4955-8DDC-285BD6540A10}" name="Code Locatie" dataDxfId="92" totalsRowDxfId="91"/>
    <tableColumn id="1" xr3:uid="{38A9D2E6-7E84-4572-8661-1EA1E213D2FD}" name="Locatie" totalsRowLabel="Totaal" dataDxfId="90" totalsRowDxfId="89"/>
    <tableColumn id="3" xr3:uid="{65AA2A4E-FC38-4AA7-9EDE-EA1292669AD6}" name="Code Taak" dataDxfId="88" totalsRowDxfId="87"/>
    <tableColumn id="4" xr3:uid="{4538BE92-6D95-4430-BD90-4F27BD6C1025}" name="Werkzaamheden" dataDxfId="86" totalsRowDxfId="85">
      <calculatedColumnFormula>IF(Overzichtextrawerkz.[[#This Row],[Code Taak]]&gt;0,VLOOKUP(Overzichtextrawerkz.[[#This Row],[Code Taak]],$A$8:$B$13,2,FALSE),"")</calculatedColumnFormula>
    </tableColumn>
    <tableColumn id="6" xr3:uid="{6B6E2754-DCC5-4C0C-89CF-D088B3C5F0F4}" name="Uren / beurt" dataDxfId="0" totalsRowDxfId="84"/>
    <tableColumn id="8" xr3:uid="{4862230C-3525-4D32-9FDD-2ADF1DC2DED5}" name="Frequentie (uitv./jaar)" dataDxfId="83" totalsRowDxfId="82"/>
    <tableColumn id="9" xr3:uid="{3AF652DD-830E-4C84-ACC3-83DF08C65F3F}" name="Kosten/jaar excl. BTW" totalsRowFunction="sum" dataDxfId="81" totalsRowDxfId="80">
      <calculatedColumnFormula>VLOOKUP(Overzichtextrawerkz.[[#This Row],[Code Taak]],Invulextrawerkz[],3,3)*E16*F16</calculatedColumnFormula>
    </tableColumn>
    <tableColumn id="10" xr3:uid="{DD2F212C-5755-442B-B448-ACDA43EBEDAE}" name="Kosten/jaar incl. BTW" totalsRowFunction="sum" dataDxfId="79" totalsRowDxfId="78">
      <calculatedColumnFormula>Overzichtextrawerkz.[[#This Row],[Kosten/jaar excl. BTW]]*1.21</calculatedColumnFormula>
    </tableColumn>
    <tableColumn id="2" xr3:uid="{65B5C93B-E18F-4DD5-AD07-925B0AE59EA5}" name="Opmerking" dataDxfId="77" totalsRowDxfId="76"/>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3A8218-B2C3-4E82-8BC6-78E348E5EF0A}" name="Sanitair" displayName="Sanitair" ref="A8:I13" totalsRowShown="0" headerRowDxfId="346" dataDxfId="345">
  <autoFilter ref="A8:I13" xr:uid="{1D3A8218-B2C3-4E82-8BC6-78E348E5EF0A}"/>
  <tableColumns count="9">
    <tableColumn id="1" xr3:uid="{604D3272-0601-4CA8-B1A7-688615684E80}" name="Code Taak" dataDxfId="75"/>
    <tableColumn id="2" xr3:uid="{3736B8E7-4A65-4B09-9E0B-218DA8DA9F4A}" name="Voorziening" dataDxfId="74"/>
    <tableColumn id="3" xr3:uid="{AAEE7484-F97C-49EF-80BC-5AAD5FA96FE6}" name="Prijs" dataDxfId="73"/>
    <tableColumn id="4" xr3:uid="{97D6280B-8659-4E8D-8799-6370DD16C96B}" name="Omschrijving" dataDxfId="72"/>
    <tableColumn id="5" xr3:uid="{5172FC6C-C769-45AD-80D0-F0EDFC9757C6}" name="2028" dataDxfId="71" dataCellStyle="Valuta">
      <calculatedColumnFormula>Sanitair[[#This Row],[Prijs]]*Tariefsopbouw!$I$37+Sanitair[[#This Row],[Prijs]]</calculatedColumnFormula>
    </tableColumn>
    <tableColumn id="6" xr3:uid="{14721B89-74D6-4BE9-9A79-053F5C5C05F7}" name="2029" dataDxfId="70" dataCellStyle="Valuta">
      <calculatedColumnFormula>Sanitair[[#This Row],[2028]]*Tariefsopbouw!$K$37+Sanitair[[#This Row],[2028]]</calculatedColumnFormula>
    </tableColumn>
    <tableColumn id="7" xr3:uid="{56E28DE0-763B-475C-90D3-FD2C34D8C6DB}" name="2030" dataDxfId="69" dataCellStyle="Valuta">
      <calculatedColumnFormula>Sanitair[[#This Row],[2029]]*Tariefsopbouw!$M$37+Sanitair[[#This Row],[2029]]</calculatedColumnFormula>
    </tableColumn>
    <tableColumn id="8" xr3:uid="{271DE52E-7044-4669-A3ED-F95B2808691B}" name="2031" dataDxfId="68" dataCellStyle="Valuta">
      <calculatedColumnFormula>Sanitair[[#This Row],[2030]]*Tariefsopbouw!$O$37+Sanitair[[#This Row],[2030]]</calculatedColumnFormula>
    </tableColumn>
    <tableColumn id="9" xr3:uid="{3529DF24-6972-4D26-99C0-7194E3070003}" name="2032" dataDxfId="67" dataCellStyle="Valuta">
      <calculatedColumnFormula>Sanitair[[#This Row],[2031]]*Tariefsopbouw!$Q$37+Sanitair[[#This Row],[2031]]</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AAE5E7C-6DFF-4DCD-9376-69453FFCA827}" name="Sanitair2" displayName="Sanitair2" ref="A15:H22" totalsRowCount="1" headerRowDxfId="344" dataDxfId="343" totalsRowDxfId="342">
  <autoFilter ref="A15:H21" xr:uid="{DAAE5E7C-6DFF-4DCD-9376-69453FFCA827}"/>
  <tableColumns count="8">
    <tableColumn id="11" xr3:uid="{C238B9F8-B412-4EA8-A243-B6BD49C916C9}" name="Code Locatie" dataDxfId="66" totalsRowDxfId="65"/>
    <tableColumn id="1" xr3:uid="{45436CD2-9A11-4C44-8D9D-3B0F60011488}" name="Locatie" totalsRowLabel="Totaal" dataDxfId="64" totalsRowDxfId="63">
      <calculatedColumnFormula>VLOOKUP(Sanitair2[[#This Row],[Code Locatie]],Locaties[],2,0)</calculatedColumnFormula>
    </tableColumn>
    <tableColumn id="3" xr3:uid="{7EA7BECA-332C-4074-A3CB-FDA19931B563}" name="Code Taak" dataDxfId="62" totalsRowDxfId="61"/>
    <tableColumn id="4" xr3:uid="{B7BF0A63-7883-4245-83DA-89EE56180092}" name="Werkzaamheden/Producten" dataDxfId="60" totalsRowDxfId="59">
      <calculatedColumnFormula>IF($C16&gt;0,VLOOKUP($C16,$A$8:$B$13,2,FALSE),"")</calculatedColumnFormula>
    </tableColumn>
    <tableColumn id="6" xr3:uid="{BD15E4E2-A733-42C3-9A22-1816807C47CE}" name="Aantal" dataDxfId="58" totalsRowDxfId="57">
      <calculatedColumnFormula>SUMIFS('Ruimtestaat'!$N:$N,'Ruimtestaat'!L:L,Vloeronderhoud!E21,'Ruimtestaat'!A:A,Vloeronderhoud!A21)</calculatedColumnFormula>
    </tableColumn>
    <tableColumn id="8" xr3:uid="{7F5ECEDA-9AD7-4B3F-B00F-6AE08DA835C5}" name="Frequentie (uitv./jaar)" dataDxfId="56" totalsRowDxfId="55"/>
    <tableColumn id="9" xr3:uid="{0C836F5C-E488-4835-A53A-268B9853849B}" name="Kosten/jaar excl. BTW" totalsRowFunction="sum" dataDxfId="54" totalsRowDxfId="53">
      <calculatedColumnFormula>VLOOKUP(Sanitair2[[#This Row],[Code Taak]],Sanitair[],3,3)*E16*F16</calculatedColumnFormula>
    </tableColumn>
    <tableColumn id="2" xr3:uid="{154A2B0B-11B2-4FA5-A344-5DA121F7D4F3}" name="Kosten/jaar incl BTW" totalsRowFunction="sum" dataDxfId="52" totalsRowDxfId="51" dataCellStyle="Valuta">
      <calculatedColumnFormula>Sanitair2[[#This Row],[Kosten/jaar excl. BTW]]*1.21</calculatedColumn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35" dataDxfId="33" totalsRowDxfId="34">
  <autoFilter ref="B8:I36" xr:uid="{00000000-0009-0000-0100-00000B000000}"/>
  <tableColumns count="8">
    <tableColumn id="1" xr3:uid="{00000000-0010-0000-0B00-000001000000}" name="Werkzaamheid" totalsRowLabel="Totaal" dataDxfId="50" totalsRowDxfId="49"/>
    <tableColumn id="2" xr3:uid="{00000000-0010-0000-0B00-000002000000}" name="Eenheid" dataDxfId="48" totalsRowDxfId="47"/>
    <tableColumn id="3" xr3:uid="{00000000-0010-0000-0B00-000003000000}" name="Prijs excl. BTW" dataDxfId="32" totalsRowDxfId="46"/>
    <tableColumn id="4" xr3:uid="{B5F01DB2-4194-4E64-82A1-AEC4321C7779}" name="2028" dataDxfId="45" totalsRowDxfId="44">
      <calculatedColumnFormula>InvulRegie[[#This Row],[Prijs excl. BTW]]*Tariefsopbouw!$I$37+InvulRegie[[#This Row],[Prijs excl. BTW]]</calculatedColumnFormula>
    </tableColumn>
    <tableColumn id="5" xr3:uid="{3CA4A34B-020A-4D0B-A261-3474E51BA7E6}" name="2029" dataDxfId="43" totalsRowDxfId="42">
      <calculatedColumnFormula>E9*Tariefsopbouw!$K$37+'Regie en afroep'!E9</calculatedColumnFormula>
    </tableColumn>
    <tableColumn id="6" xr3:uid="{6CBE86F5-5170-4A40-B371-21417313A914}" name="2030" dataDxfId="41" totalsRowDxfId="40">
      <calculatedColumnFormula>F9*Tariefsopbouw!$M$37+'Regie en afroep'!F9</calculatedColumnFormula>
    </tableColumn>
    <tableColumn id="7" xr3:uid="{68D3EF76-13B7-42F1-8D3C-5A86952C9A96}" name="2031" dataDxfId="39" totalsRowDxfId="38">
      <calculatedColumnFormula>G9*Tariefsopbouw!$O$37+'Regie en afroep'!G9</calculatedColumnFormula>
    </tableColumn>
    <tableColumn id="8" xr3:uid="{7810C1CA-1317-4B8A-BD57-8667183C1ECD}" name="2032" dataDxfId="37" totalsRowDxfId="36">
      <calculatedColumnFormula>H9*Tariefsopbouw!$Q$37+H9</calculatedColumnFormula>
    </tableColumn>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9" totalsRowCount="1" headerRowDxfId="292" dataDxfId="290" totalsRowDxfId="288" headerRowBorderDxfId="291" tableBorderDxfId="289" headerRowCellStyle="Komma 2">
  <autoFilter ref="A6:F8" xr:uid="{00000000-0009-0000-0100-00000E000000}"/>
  <tableColumns count="6">
    <tableColumn id="8" xr3:uid="{00000000-0010-0000-0C00-000008000000}" name="Code Locatie" dataDxfId="31" totalsRowDxfId="30"/>
    <tableColumn id="1" xr3:uid="{00000000-0010-0000-0C00-000001000000}" name="Locatie" totalsRowLabel="Totaal" dataDxfId="29" totalsRowDxfId="28"/>
    <tableColumn id="2" xr3:uid="{00000000-0010-0000-0C00-000002000000}" name="Oppervlakte i/o" totalsRowFunction="sum" dataDxfId="27" totalsRowDxfId="26"/>
    <tableColumn id="4" xr3:uid="{00000000-0010-0000-0C00-000004000000}" name="Uren / jaar" totalsRowFunction="sum" dataDxfId="25" totalsRowDxfId="24"/>
    <tableColumn id="6" xr3:uid="{00000000-0010-0000-0C00-000006000000}" name="Kosten / jaar excl btw" totalsRowFunction="sum" dataDxfId="23" totalsRowDxfId="22"/>
    <tableColumn id="7" xr3:uid="{00000000-0010-0000-0C00-000007000000}" name="Kosten / m2" totalsRowFunction="custom" dataDxfId="21" totalsRowDxfId="20">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2:H15" totalsRowCount="1" headerRowDxfId="287" dataDxfId="285" totalsRowDxfId="283" headerRowBorderDxfId="286" tableBorderDxfId="284">
  <autoFilter ref="A12:H14" xr:uid="{00000000-0009-0000-0100-00000F000000}"/>
  <sortState xmlns:xlrd2="http://schemas.microsoft.com/office/spreadsheetml/2017/richdata2" ref="A13:H13">
    <sortCondition ref="C12:C13"/>
  </sortState>
  <tableColumns count="8">
    <tableColumn id="8" xr3:uid="{00000000-0010-0000-0D00-000008000000}" name="Code Locatie" dataDxfId="19" totalsRowDxfId="18"/>
    <tableColumn id="1" xr3:uid="{00000000-0010-0000-0D00-000001000000}" name="Locaties" totalsRowLabel="Totaal" dataDxfId="17" totalsRowDxfId="16">
      <calculatedColumnFormula>VLOOKUP(Totalisatie[[#This Row],[Code Locatie]],Locaties[],2,0)</calculatedColumnFormula>
    </tableColumn>
    <tableColumn id="4" xr3:uid="{00000000-0010-0000-0D00-000004000000}" name="Schoonmaakonderhoud_x000a_Kosten / jaar excl btw" totalsRowFunction="sum" dataDxfId="15" totalsRowDxfId="14">
      <calculatedColumnFormula>SUMIF(Ruimtestaat[#All],Totalisatie[[#This Row],[Code Locatie]],Ruimtestaat[[#All],[kosten / jaar excl btw]])</calculatedColumnFormula>
    </tableColumn>
    <tableColumn id="2" xr3:uid="{00000000-0010-0000-0D00-000002000000}" name="Vloeronderhoud_x000a_Kosten / jaar excl btw" totalsRowFunction="sum" dataDxfId="13" totalsRowDxfId="12">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11" totalsRowDxfId="10">
      <calculatedColumnFormula>SUMIF(Overzichtextrawerkz.[[#All],[Code Locatie]:[Kosten/jaar excl. BTW]],Totalisatie[[#This Row],[Code Locatie]],Overzichtextrawerkz.[[#All],[Kosten/jaar excl. BTW]])</calculatedColumnFormula>
    </tableColumn>
    <tableColumn id="7" xr3:uid="{C88582D1-75BF-412D-8869-B84AE072738B}" name="Glasbewassing kosten/ jaar excl. Btw" totalsRowFunction="sum" dataDxfId="9" totalsRowDxfId="8">
      <calculatedColumnFormula>SUMIF(OverzichtGlas[[Code Locatie]:[Kosten/jaar excl. BTW]],Totalisatie[[#This Row],[Code Locatie]],OverzichtGlas[Kosten/jaar excl. BTW])</calculatedColumnFormula>
    </tableColumn>
    <tableColumn id="6" xr3:uid="{3A26B1B1-0A23-4EC3-945E-74F3498B3BF0}" name="Sanitaire voorzieningen kosten/ jaar excl. Btw2" totalsRowFunction="sum" dataDxfId="7" totalsRowDxfId="6">
      <calculatedColumnFormula>SUMIF(Sanitair2[[#All],[Code Locatie]:[Kosten/jaar excl. BTW]],Totalisatie[[#This Row],[Code Locatie]],Sanitair2[[#All],[Kosten/jaar excl. BTW]])</calculatedColumnFormula>
    </tableColumn>
    <tableColumn id="5" xr3:uid="{2A8C3CF1-513F-4CAD-A439-3F5FCA3E0363}" name="Totaalprijs_x000a_Kosten / jaar excl. btw" totalsRowFunction="sum" dataDxfId="5" totalsRowDxfId="4">
      <calculatedColumnFormula>SUM(Totalisatie[[#This Row],[Schoonmaakonderhoud
Kosten / jaar excl btw]:[Sanitaire voorzieningen kosten/ jaar excl. Btw2]])</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9:D29" totalsRowShown="0" headerRowDxfId="336" dataDxfId="335">
  <autoFilter ref="A9:D29" xr:uid="{00000000-0009-0000-0100-000006000000}"/>
  <tableColumns count="4">
    <tableColumn id="1" xr3:uid="{00000000-0010-0000-0000-000001000000}" name="Code" dataDxfId="256" dataCellStyle="Standaard 4"/>
    <tableColumn id="2" xr3:uid="{00000000-0010-0000-0000-000002000000}" name="Ruimte omschrijving" dataDxfId="255" dataCellStyle="Standaard 4"/>
    <tableColumn id="3" xr3:uid="{00000000-0010-0000-0000-000003000000}" name="Norm (5w)" dataDxfId="242"/>
    <tableColumn id="4" xr3:uid="{00000000-0010-0000-0000-000004000000}" name="Inspectiecategorie" dataDxfId="25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2:D37" totalsRowShown="0" headerRowDxfId="334" dataDxfId="333">
  <autoFilter ref="A32:D37" xr:uid="{00000000-0009-0000-0100-000007000000}"/>
  <tableColumns count="4">
    <tableColumn id="1" xr3:uid="{00000000-0010-0000-0100-000001000000}" name="Code" dataDxfId="253"/>
    <tableColumn id="4" xr3:uid="{00000000-0010-0000-0100-000004000000}" name="Naam" dataDxfId="252"/>
    <tableColumn id="5" xr3:uid="{00000000-0010-0000-0100-000005000000}" name="Aanpassing norm" dataDxfId="241" dataCellStyle="Procent 3"/>
    <tableColumn id="2" xr3:uid="{00000000-0010-0000-0100-000002000000}" name="Vloersoort omschrijving" dataDxfId="251"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0:D52" totalsRowShown="0" headerRowDxfId="332" dataDxfId="331">
  <autoFilter ref="A40:D52" xr:uid="{00000000-0009-0000-0100-000008000000}"/>
  <tableColumns count="4">
    <tableColumn id="1" xr3:uid="{00000000-0010-0000-0200-000001000000}" name="Code" dataDxfId="250" dataCellStyle="Standaard 4"/>
    <tableColumn id="2" xr3:uid="{00000000-0010-0000-0200-000002000000}" name="Frequentie omschrijving" dataDxfId="249" dataCellStyle="Standaard 4"/>
    <tableColumn id="3" xr3:uid="{00000000-0010-0000-0200-000003000000}" name="Aanpassing norm" dataDxfId="240" dataCellStyle="Procent"/>
    <tableColumn id="4" xr3:uid="{62B36348-2266-47E8-AF7C-A5085F351579}" name="Kolom1" dataDxfId="24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6" totalsRowShown="0" headerRowDxfId="330" dataDxfId="329">
  <autoFilter ref="A4:F6" xr:uid="{00000000-0009-0000-0100-00000D000000}"/>
  <tableColumns count="6">
    <tableColumn id="1" xr3:uid="{00000000-0010-0000-0300-000001000000}" name="Code" dataDxfId="247"/>
    <tableColumn id="2" xr3:uid="{00000000-0010-0000-0300-000002000000}" name="Locatie" dataDxfId="246"/>
    <tableColumn id="7" xr3:uid="{00000000-0010-0000-0300-000007000000}" name="Aanpassing norm" dataDxfId="239" dataCellStyle="Procent"/>
    <tableColumn id="3" xr3:uid="{00000000-0010-0000-0300-000003000000}" name="Adres" dataDxfId="245" dataCellStyle="Standaard 4"/>
    <tableColumn id="5" xr3:uid="{DA45991E-5E38-40DC-A1BE-D3770F949A13}" name="Postcode" dataDxfId="244" dataCellStyle="Standaard 4"/>
    <tableColumn id="4" xr3:uid="{00000000-0010-0000-0300-000004000000}" name="Plaats" dataDxfId="243"/>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108" totalsRowShown="0" headerRowDxfId="164" dataDxfId="163">
  <autoFilter ref="A4:BV108" xr:uid="{396E59E9-BF0A-4D12-8DDE-B051B0F3D5F7}"/>
  <tableColumns count="74">
    <tableColumn id="32" xr3:uid="{00000000-0010-0000-0400-000020000000}" name="Code" dataDxfId="238" totalsRowDxfId="328"/>
    <tableColumn id="3" xr3:uid="{00000000-0010-0000-0400-000003000000}" name="Naam" dataDxfId="237" totalsRowDxfId="327"/>
    <tableColumn id="4" xr3:uid="{70782354-32A9-4BC9-88AC-C4AB6869B8E9}" name="Adres" dataDxfId="236" totalsRowDxfId="326">
      <calculatedColumnFormula>VLOOKUP(Ruimtestaat[[#This Row],[Code]],Locaties[[#All],[Code]:[Adres]],4,FALSE)</calculatedColumnFormula>
    </tableColumn>
    <tableColumn id="79" xr3:uid="{E7B33814-4928-4AE9-A368-AE6E30B7DBF6}" name="Postcode" dataDxfId="235" totalsRowDxfId="325">
      <calculatedColumnFormula>VLOOKUP(Ruimtestaat[[#This Row],[Code]],Locaties[[#All],[Code]:[Postcode]],5,FALSE)</calculatedColumnFormula>
    </tableColumn>
    <tableColumn id="80" xr3:uid="{476650B5-E93B-45F9-BED3-2256EBFA7240}" name="Plaatsnaam" dataDxfId="234" totalsRowDxfId="324">
      <calculatedColumnFormula>VLOOKUP(Ruimtestaat[[#This Row],[Code]],Locaties[#All],6,FALSE)</calculatedColumnFormula>
    </tableColumn>
    <tableColumn id="2" xr3:uid="{00000000-0010-0000-0400-000002000000}" name="Gebouw gedeelte" dataDxfId="233" totalsRowDxfId="323"/>
    <tableColumn id="6" xr3:uid="{00000000-0010-0000-0400-000006000000}" name="Etage" dataDxfId="232" totalsRowDxfId="322"/>
    <tableColumn id="7" xr3:uid="{00000000-0010-0000-0400-000007000000}" name="Ruimte- _x000a_nummer" dataDxfId="231" totalsRowDxfId="321"/>
    <tableColumn id="8" xr3:uid="{00000000-0010-0000-0400-000008000000}" name="Ruimte omschrijving" dataDxfId="230" totalsRowDxfId="320"/>
    <tableColumn id="9" xr3:uid="{00000000-0010-0000-0400-000009000000}" name="Ruimte code" dataDxfId="229" totalsRowDxfId="319"/>
    <tableColumn id="10" xr3:uid="{00000000-0010-0000-0400-00000A000000}" name="Ruimtesoort" dataDxfId="228" totalsRowDxfId="318">
      <calculatedColumnFormula>VLOOKUP(Ruimtestaat[[#This Row],[Ruimte code]],Ruimtegroepen[[#All],[Code]:[Ruimte omschrijving]],2,FALSE)</calculatedColumnFormula>
    </tableColumn>
    <tableColumn id="11" xr3:uid="{00000000-0010-0000-0400-00000B000000}" name="Vloer code" dataDxfId="227" totalsRowDxfId="317"/>
    <tableColumn id="12" xr3:uid="{00000000-0010-0000-0400-00000C000000}" name="Vloer afwerking" dataDxfId="226" totalsRowDxfId="316"/>
    <tableColumn id="13" xr3:uid="{00000000-0010-0000-0400-00000D000000}" name="Oppervlak (netto)" dataDxfId="225" totalsRowDxfId="315"/>
    <tableColumn id="14" xr3:uid="{00000000-0010-0000-0400-00000E000000}" name="Oppervlakte n.i.o." dataDxfId="224"/>
    <tableColumn id="15" xr3:uid="{00000000-0010-0000-0400-00000F000000}" name="Inspectie categorie" dataDxfId="223" totalsRowDxfId="314">
      <calculatedColumnFormula>VLOOKUP(Ruimtestaat[[#This Row],[Ruimte code]],Ruimtegroepen[],4,FALSE)</calculatedColumnFormula>
    </tableColumn>
    <tableColumn id="17" xr3:uid="{00000000-0010-0000-0400-000011000000}" name="Aantal weken/jr" dataDxfId="222" totalsRowDxfId="313"/>
    <tableColumn id="18" xr3:uid="{00000000-0010-0000-0400-000012000000}" name="Frequentie werkdagen" dataDxfId="221" totalsRowDxfId="312"/>
    <tableColumn id="19" xr3:uid="{00000000-0010-0000-0400-000013000000}" name="Uitvoeringen werkdagen" dataDxfId="220" totalsRowDxfId="311">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19" totalsRowDxfId="310">
      <calculatedColumnFormula>IF(S5&gt;0,VLOOKUP($J5,Ruimtegroepen[],3,FALSE)*VLOOKUP($L5,Vloersoorten[],3,FALSE)*VLOOKUP($R5,Frequenties[],3,FALSE)*VLOOKUP($A5,Locaties[],3,FALSE),0)</calculatedColumnFormula>
    </tableColumn>
    <tableColumn id="21" xr3:uid="{00000000-0010-0000-0400-000015000000}" name="Prest. (m2 /jaar) werkdagen" dataDxfId="218" totalsRowDxfId="309">
      <calculatedColumnFormula>Ruimtestaat[[#This Row],[Uitvoeringen werkdagen]]*Ruimtestaat[[#This Row],[Oppervlak (netto)]]</calculatedColumnFormula>
    </tableColumn>
    <tableColumn id="22" xr3:uid="{00000000-0010-0000-0400-000016000000}" name="uren / jaar werkdagen" dataDxfId="217" totalsRowDxfId="308" dataCellStyle="Komma">
      <calculatedColumnFormula>IF(T5&gt;0,Ruimtestaat[[#This Row],[Prest. (m2 /jaar) werkdagen]]/Ruimtestaat[[#This Row],[Norm (m2/uur) werkdagen]],0)</calculatedColumnFormula>
    </tableColumn>
    <tableColumn id="23" xr3:uid="{00000000-0010-0000-0400-000017000000}" name="kosten / jaar werkdagen" dataDxfId="216" totalsRowDxfId="307" dataCellStyle="Valuta">
      <calculatedColumnFormula>Ruimtestaat[[#This Row],[uren / jaar werkdagen]]*Tariefsopbouw!$E$35</calculatedColumnFormula>
    </tableColumn>
    <tableColumn id="24" xr3:uid="{00000000-0010-0000-0400-000018000000}" name="Frequentie weekend" dataDxfId="215" totalsRowDxfId="306"/>
    <tableColumn id="38" xr3:uid="{00000000-0010-0000-0400-000026000000}" name="Uitvoeringen weekend" dataDxfId="214" totalsRowDxfId="305">
      <calculatedColumnFormula>IF(Ruimtestaat[[#This Row],[Frequentie weekend]]&gt;0,VALUE(LEFT(X5,1))*Q5,0)</calculatedColumnFormula>
    </tableColumn>
    <tableColumn id="25" xr3:uid="{00000000-0010-0000-0400-000019000000}" name="Norm (m2/uur) weekend" dataDxfId="213" totalsRowDxfId="304">
      <calculatedColumnFormula>IF($Y5&gt;0,VLOOKUP($J5,Ruimtegroepen[],3,FALSE)*VLOOKUP($L5,Vloersoorten[],3,FALSE)*VLOOKUP($X5,Frequenties[],3,FALSE)*VLOOKUP(#REF!,Locaties[],3,FALSE),0)</calculatedColumnFormula>
    </tableColumn>
    <tableColumn id="26" xr3:uid="{00000000-0010-0000-0400-00001A000000}" name="Prest. (m2 /jaar) weekend" dataDxfId="212" totalsRowDxfId="303">
      <calculatedColumnFormula>Ruimtestaat[[#This Row],[Uitvoeringen weekend]]*Ruimtestaat[[#This Row],[Oppervlak (netto)]]</calculatedColumnFormula>
    </tableColumn>
    <tableColumn id="27" xr3:uid="{00000000-0010-0000-0400-00001B000000}" name="uren / jaar weekend" dataDxfId="211" totalsRowDxfId="302">
      <calculatedColumnFormula>IF(Z5&gt;0,Ruimtestaat[[#This Row],[Prest. (m2 /jaar) weekend]]/Ruimtestaat[[#This Row],[Norm (m2/uur) weekend]],0)</calculatedColumnFormula>
    </tableColumn>
    <tableColumn id="28" xr3:uid="{00000000-0010-0000-0400-00001C000000}" name="kosten / jaar weekend" dataDxfId="210" totalsRowDxfId="301">
      <calculatedColumnFormula>Ruimtestaat[[#This Row],[uren / jaar weekend]]*Tariefsopbouw!$D$40</calculatedColumnFormula>
    </tableColumn>
    <tableColumn id="29" xr3:uid="{00000000-0010-0000-0400-00001D000000}" name="Prest. (m2 /jaar)" dataDxfId="209" totalsRowDxfId="300" dataCellStyle="Komma">
      <calculatedColumnFormula>Ruimtestaat[[#This Row],[Prest. (m2 /jaar) weekend]]+Ruimtestaat[[#This Row],[Prest. (m2 /jaar) werkdagen]]</calculatedColumnFormula>
    </tableColumn>
    <tableColumn id="30" xr3:uid="{00000000-0010-0000-0400-00001E000000}" name="uren / jaar" dataDxfId="208" totalsRowDxfId="299" dataCellStyle="Komma">
      <calculatedColumnFormula>Ruimtestaat[[#This Row],[uren / jaar weekend]]+Ruimtestaat[[#This Row],[uren / jaar werkdagen]]</calculatedColumnFormula>
    </tableColumn>
    <tableColumn id="31" xr3:uid="{00000000-0010-0000-0400-00001F000000}" name="kosten / jaar excl btw" dataDxfId="207" totalsRowDxfId="298">
      <calculatedColumnFormula>Ruimtestaat[[#This Row],[kosten / jaar weekend]]+Ruimtestaat[[#This Row],[kosten / jaar werkdagen]]</calculatedColumnFormula>
    </tableColumn>
    <tableColumn id="78" xr3:uid="{C7E09CEC-45CA-4861-813D-3146CE52089E}" name="Kolom2" dataDxfId="206"/>
    <tableColumn id="36" xr3:uid="{644223A4-3B0B-40ED-9CC2-5E87CCEF757C}" name="Programmacode_x000a_Regulier" dataDxfId="205">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204">
      <calculatedColumnFormula>_xlfn.IFNA(VLOOKUP($AH5,Programma!$F$3:$G$1101,2,0),"")</calculatedColumnFormula>
    </tableColumn>
    <tableColumn id="39" xr3:uid="{2E53B719-2751-4AFA-8ABF-26530B7DD3C0}" name="vl2" dataDxfId="203">
      <calculatedColumnFormula>_xlfn.IFNA(VLOOKUP($AH5,Programma!$F$3:$H$1101,3,0),"")</calculatedColumnFormula>
    </tableColumn>
    <tableColumn id="40" xr3:uid="{306853D9-AD5A-48B5-B1FA-D17329457C4F}" name="vl3" dataDxfId="202">
      <calculatedColumnFormula>_xlfn.IFNA(VLOOKUP($AH5,Programma!$F$3:$I$1101,4,0),"")</calculatedColumnFormula>
    </tableColumn>
    <tableColumn id="41" xr3:uid="{1C4AA553-8156-4DB3-BDBC-D8EC1536D309}" name="vl4" dataDxfId="201">
      <calculatedColumnFormula>_xlfn.IFNA(VLOOKUP($AH5,Programma!$F$3:$J$1101,5,0),"")</calculatedColumnFormula>
    </tableColumn>
    <tableColumn id="42" xr3:uid="{A56B8907-DE9F-4701-8C5E-C547567EA280}" name="vl5" dataDxfId="200">
      <calculatedColumnFormula>_xlfn.IFNA(VLOOKUP($AH5,Programma!$F$3:$K$1101,6,0),"")</calculatedColumnFormula>
    </tableColumn>
    <tableColumn id="43" xr3:uid="{6B17D7A2-AE8D-440F-A4FD-2BE2B7B88A60}" name="vl6" dataDxfId="199">
      <calculatedColumnFormula>_xlfn.IFNA(VLOOKUP($AH5,Programma!$F$3:$L$1101,7,0),"")</calculatedColumnFormula>
    </tableColumn>
    <tableColumn id="44" xr3:uid="{A071B3DB-7D24-4A25-BD62-7D2ABDA8EADC}" name="vl7" dataDxfId="198">
      <calculatedColumnFormula>_xlfn.IFNA(VLOOKUP($AH5,Programma!$F$3:$M$1101,8,0),"")</calculatedColumnFormula>
    </tableColumn>
    <tableColumn id="45" xr3:uid="{30501DAE-368A-4139-B486-528B170E6783}" name="vnl" dataDxfId="197">
      <calculatedColumnFormula>_xlfn.IFNA(VLOOKUP($AH5,Programma!$F$3:$N$1101,9,0),"")</calculatedColumnFormula>
    </tableColumn>
    <tableColumn id="46" xr3:uid="{868425D4-EECE-431D-9D6F-487DB854241D}" name="i8" dataDxfId="196">
      <calculatedColumnFormula>_xlfn.IFNA(VLOOKUP($AH5,Programma!$F$3:$O$1101,10,0),"")</calculatedColumnFormula>
    </tableColumn>
    <tableColumn id="47" xr3:uid="{EA20F07B-5CD7-426B-BA6F-183E04D325BB}" name="i9" dataDxfId="195">
      <calculatedColumnFormula>_xlfn.IFNA(VLOOKUP($AH5,Programma!$F$3:$P$1101,11,0),"")</calculatedColumnFormula>
    </tableColumn>
    <tableColumn id="48" xr3:uid="{28D20BBF-F87A-4F80-A59D-F67559BB9D34}" name="i10" dataDxfId="194">
      <calculatedColumnFormula>_xlfn.IFNA(VLOOKUP($AH5,Programma!$F$3:$Q$1101,12,0),"")</calculatedColumnFormula>
    </tableColumn>
    <tableColumn id="49" xr3:uid="{0CB7B7F7-D003-43D2-9F6C-0F0170BB89E1}" name="i11" dataDxfId="193">
      <calculatedColumnFormula>_xlfn.IFNA(VLOOKUP($AH5,Programma!$F$3:$R$1101,13,0),"")</calculatedColumnFormula>
    </tableColumn>
    <tableColumn id="50" xr3:uid="{AD88DBA6-2501-4ADB-97BD-2EEAE5CA5FB9}" name="i12" dataDxfId="192">
      <calculatedColumnFormula>_xlfn.IFNA(VLOOKUP($AH5,Programma!$F$3:$S$1101,14,0),"")</calculatedColumnFormula>
    </tableColumn>
    <tableColumn id="51" xr3:uid="{0B24F272-5C0F-49A2-9E82-3DEBB7333DE2}" name="i13" dataDxfId="191">
      <calculatedColumnFormula>_xlfn.IFNA(VLOOKUP($AH5,Programma!$F$3:$T$1101,15,0),"")</calculatedColumnFormula>
    </tableColumn>
    <tableColumn id="52" xr3:uid="{60DD2901-FFF4-4159-9DB3-58E5D77411C3}" name="i14" dataDxfId="190">
      <calculatedColumnFormula>_xlfn.IFNA(VLOOKUP($AH5,Programma!$F$3:$U$1101,16,0),"")</calculatedColumnFormula>
    </tableColumn>
    <tableColumn id="53" xr3:uid="{87559DB0-F928-4A01-8FAF-36E422BF0893}" name="inl" dataDxfId="189">
      <calculatedColumnFormula>_xlfn.IFNA(VLOOKUP($AH5,Programma!$F$3:$V$1101,17,0),"")</calculatedColumnFormula>
    </tableColumn>
    <tableColumn id="54" xr3:uid="{1C929E3E-45B3-4A1C-A3C5-D8B1EDE1891E}" name="s15" dataDxfId="188">
      <calculatedColumnFormula>_xlfn.IFNA(VLOOKUP($AH5,Programma!$F$3:$W$1101,18,0),"")</calculatedColumnFormula>
    </tableColumn>
    <tableColumn id="55" xr3:uid="{68B49970-C415-4EEF-857B-52BA16B5258D}" name="s16" dataDxfId="187">
      <calculatedColumnFormula>_xlfn.IFNA(VLOOKUP($AH5,Programma!$F$3:$X$1101,19,0),"")</calculatedColumnFormula>
    </tableColumn>
    <tableColumn id="56" xr3:uid="{A0705AE3-CACF-4E1C-9227-68669BFDB0C6}" name="snl" dataDxfId="186">
      <calculatedColumnFormula>_xlfn.IFNA(VLOOKUP($AH5,Programma!$F$3:$Y$1101,20,0),"")</calculatedColumnFormula>
    </tableColumn>
    <tableColumn id="57" xr3:uid="{11D7C8EF-B5C8-42BF-8A18-9A836402F196}" name="Kolom1" dataDxfId="185"/>
    <tableColumn id="58" xr3:uid="{B2B8DFA8-D835-49F0-A51B-ED223C73D142}" name="Code Weekend" dataDxfId="184">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83">
      <calculatedColumnFormula>_xlfn.IFNA(VLOOKUP($BC5,Programma!$F$3:$G$1101,2,0),"")</calculatedColumnFormula>
    </tableColumn>
    <tableColumn id="60" xr3:uid="{27AAF80B-FAE7-4A55-B080-A97D81F19498}" name="vl23" dataDxfId="182">
      <calculatedColumnFormula>_xlfn.IFNA(VLOOKUP($BC5,Programma!$F$3:$H$1101,3,0),"")</calculatedColumnFormula>
    </tableColumn>
    <tableColumn id="61" xr3:uid="{A8E673C6-B5F4-4D95-85CD-FB4271CFAA79}" name="vl34" dataDxfId="181">
      <calculatedColumnFormula>_xlfn.IFNA(VLOOKUP($BC5,Programma!$F$3:$I$1101,4,0),"")</calculatedColumnFormula>
    </tableColumn>
    <tableColumn id="62" xr3:uid="{8F1B78A5-14D6-4E3A-8B4A-DFAEDDAB9211}" name="vl45" dataDxfId="180">
      <calculatedColumnFormula>_xlfn.IFNA(VLOOKUP($BC5,Programma!$F$3:$J$1101,5,0),"")</calculatedColumnFormula>
    </tableColumn>
    <tableColumn id="63" xr3:uid="{87048FA4-EE9C-46AE-B51B-6CBA81BE8308}" name="vl56" dataDxfId="179">
      <calculatedColumnFormula>_xlfn.IFNA(VLOOKUP($BC5,Programma!$F$3:$K$1101,6,0),"")</calculatedColumnFormula>
    </tableColumn>
    <tableColumn id="64" xr3:uid="{DA05AE85-CE88-407D-9245-D0C804841261}" name="vl67" dataDxfId="178">
      <calculatedColumnFormula>_xlfn.IFNA(VLOOKUP($BC5,Programma!$F$3:$L$1101,7,0),"")</calculatedColumnFormula>
    </tableColumn>
    <tableColumn id="65" xr3:uid="{78BAE9E2-79F8-42F8-A636-69ECC21638B3}" name="vl78" dataDxfId="177">
      <calculatedColumnFormula>_xlfn.IFNA(VLOOKUP($BC5,Programma!$F$3:$M$1101,8,0),"")</calculatedColumnFormula>
    </tableColumn>
    <tableColumn id="66" xr3:uid="{E7E7A23D-5570-4D4F-A0C4-4BEBD25C2D08}" name="vnl9" dataDxfId="176">
      <calculatedColumnFormula>_xlfn.IFNA(VLOOKUP($BC5,Programma!$F$3:$N$1101,9,0),"")</calculatedColumnFormula>
    </tableColumn>
    <tableColumn id="67" xr3:uid="{069678F9-CB78-4810-881E-5A1AE2EC2E64}" name="i810" dataDxfId="175">
      <calculatedColumnFormula>_xlfn.IFNA(VLOOKUP($BC5,Programma!$F$3:$O$1101,10,0),"")</calculatedColumnFormula>
    </tableColumn>
    <tableColumn id="68" xr3:uid="{D4FF459B-C19D-4ED7-9F3B-7801E97C6C63}" name="i911" dataDxfId="174">
      <calculatedColumnFormula>_xlfn.IFNA(VLOOKUP($BC5,Programma!$F$3:$P$1101,11,0),"")</calculatedColumnFormula>
    </tableColumn>
    <tableColumn id="69" xr3:uid="{059C7A6A-75FC-4AAF-9824-5E2D2E379CD4}" name="i102" dataDxfId="173">
      <calculatedColumnFormula>_xlfn.IFNA(VLOOKUP($BC5,Programma!$F$3:$Q$1101,12,0),"")</calculatedColumnFormula>
    </tableColumn>
    <tableColumn id="70" xr3:uid="{F02F1F0A-14E6-44C4-A18E-15D8545C3F7C}" name="i112" dataDxfId="172">
      <calculatedColumnFormula>_xlfn.IFNA(VLOOKUP($BC5,Programma!$F$3:$R$1101,13,0),"")</calculatedColumnFormula>
    </tableColumn>
    <tableColumn id="71" xr3:uid="{64F8BC77-D92C-4AFB-A8AA-C6E3DB4AF028}" name="i122" dataDxfId="171">
      <calculatedColumnFormula>_xlfn.IFNA(VLOOKUP($BC5,Programma!$F$3:$S$1101,14,0),"")</calculatedColumnFormula>
    </tableColumn>
    <tableColumn id="72" xr3:uid="{D10D9617-4D40-479A-8098-9C3D52AED20C}" name="i132" dataDxfId="170">
      <calculatedColumnFormula>_xlfn.IFNA(VLOOKUP($BC5,Programma!$F$3:$T$1101,15,0),"")</calculatedColumnFormula>
    </tableColumn>
    <tableColumn id="73" xr3:uid="{AFAFBD6D-E9F3-4AD5-B1BA-C259BBD1CC21}" name="i142" dataDxfId="169">
      <calculatedColumnFormula>_xlfn.IFNA(VLOOKUP($BC5,Programma!$F$3:$U$1101,16,0),"")</calculatedColumnFormula>
    </tableColumn>
    <tableColumn id="74" xr3:uid="{13917009-2884-4D8A-8C68-14907776CAFD}" name="inl2" dataDxfId="168">
      <calculatedColumnFormula>_xlfn.IFNA(VLOOKUP($BC5,Programma!$F$3:$V$1101,17,0),"")</calculatedColumnFormula>
    </tableColumn>
    <tableColumn id="75" xr3:uid="{6E9DF77C-B052-4A52-B6CF-00BB698E51C6}" name="s152" dataDxfId="167">
      <calculatedColumnFormula>_xlfn.IFNA(VLOOKUP($BC5,Programma!$F$3:$W$1101,18,0),"")</calculatedColumnFormula>
    </tableColumn>
    <tableColumn id="76" xr3:uid="{11F41571-107E-423E-B237-84692FBBC6D7}" name="s162" dataDxfId="166">
      <calculatedColumnFormula>_xlfn.IFNA(VLOOKUP($BC5,Programma!$F$3:$X$1101,19,0),"")</calculatedColumnFormula>
    </tableColumn>
    <tableColumn id="77" xr3:uid="{3DEE5E13-D5E7-474C-89D8-AF6FC5695F2C}" name="snl2" dataDxfId="165">
      <calculatedColumnFormula>_xlfn.IFNA(VLOOKUP($BC5,Programma!$F$3:$Y$1101,20,0),"")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54" dataDxfId="153">
  <autoFilter ref="A8:I18" xr:uid="{00000000-0009-0000-0100-000001000000}"/>
  <tableColumns count="9">
    <tableColumn id="1" xr3:uid="{634B9515-CED4-4B9C-AC41-91D68E2A6390}" name="Code Taak" dataDxfId="162"/>
    <tableColumn id="2" xr3:uid="{B45DE533-5F07-4399-BBF5-C49AD01DD88F}" name="Werkzaamheden" dataDxfId="161"/>
    <tableColumn id="3" xr3:uid="{569B4254-85AB-4A9D-9738-20A72FAFD71D}" name="Prijs" dataDxfId="131"/>
    <tableColumn id="4" xr3:uid="{3FCFDB06-433D-4D90-AC83-D401C0BB9D5F}" name="Omschrijving" dataDxfId="160"/>
    <tableColumn id="5" xr3:uid="{A2C235A7-50B4-45CF-B035-6B2B17679F97}" name="2028" dataDxfId="159" dataCellStyle="Valuta">
      <calculatedColumnFormula>InvulVloer19[[#This Row],[Prijs]]*Tariefsopbouw!$I$37+InvulVloer19[[#This Row],[Prijs]]</calculatedColumnFormula>
    </tableColumn>
    <tableColumn id="6" xr3:uid="{32314B1F-C549-43D0-A68A-E1D872932DA7}" name="2029" dataDxfId="158" dataCellStyle="Valuta">
      <calculatedColumnFormula>InvulVloer19[[#This Row],[2028]]*Tariefsopbouw!$K$37+InvulVloer19[[#This Row],[2028]]</calculatedColumnFormula>
    </tableColumn>
    <tableColumn id="7" xr3:uid="{5A4E277A-177C-4476-A9A5-6B25E0351BAB}" name="2030" dataDxfId="157" dataCellStyle="Valuta">
      <calculatedColumnFormula>InvulVloer19[[#This Row],[2029]]*Tariefsopbouw!$M$37+InvulVloer19[[#This Row],[2029]]</calculatedColumnFormula>
    </tableColumn>
    <tableColumn id="8" xr3:uid="{6A8CB127-9578-4A7F-8F5E-DABA3EAD7E06}" name="2031" dataDxfId="156" dataCellStyle="Valuta">
      <calculatedColumnFormula>InvulVloer19[[#This Row],[2030]]*Tariefsopbouw!$O$37+InvulVloer19[[#This Row],[2030]]</calculatedColumnFormula>
    </tableColumn>
    <tableColumn id="9" xr3:uid="{F268163B-6C49-46F0-9F2A-A503A98B29BC}" name="2032" dataDxfId="155" dataCellStyle="Valuta">
      <calculatedColumnFormula>InvulVloer19[[#This Row],[2031]]*Tariefsopbouw!$Q$37+InvulVloer19[[#This Row],[2031]]</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33" totalsRowCount="1" headerRowDxfId="134" dataDxfId="132" totalsRowDxfId="133">
  <autoFilter ref="A20:I32" xr:uid="{00000000-0009-0000-0100-000002000000}"/>
  <tableColumns count="9">
    <tableColumn id="11" xr3:uid="{9970215E-3F06-4AEF-A1F5-0009C03D624E}" name="Code Locatie" dataDxfId="152" totalsRowDxfId="151"/>
    <tableColumn id="1" xr3:uid="{113C96F6-1924-406B-B23A-994513941647}" name="Locatie" totalsRowLabel="Totaal" dataDxfId="150" totalsRowDxfId="149">
      <calculatedColumnFormula>VLOOKUP(OverzichtVloer20[[#This Row],[Code Locatie]],Locaties[],2,0)</calculatedColumnFormula>
    </tableColumn>
    <tableColumn id="3" xr3:uid="{B3D3B5E7-D3C4-461C-9CA1-DBFD10306269}" name="Code Taak" dataDxfId="148" totalsRowDxfId="147"/>
    <tableColumn id="4" xr3:uid="{EBF3EF80-AF01-4C87-A6CF-BF63D79AF323}" name="Vloersoort / toelichting" dataDxfId="146" totalsRowDxfId="145">
      <calculatedColumnFormula>IF(Vloeronderhoud!$C21&gt;0,VLOOKUP(Vloeronderhoud!$C21,$A$8:$B$18,2,FALSE),"")</calculatedColumnFormula>
    </tableColumn>
    <tableColumn id="5" xr3:uid="{309F41B6-3D0E-446B-8EDD-5EB98BD855C7}" name="Vloersoort" dataDxfId="144" totalsRowDxfId="143"/>
    <tableColumn id="6" xr3:uid="{B97F1EF9-BC44-4F7E-8997-83E439999C81}" name="Oppervlakte" dataDxfId="142" totalsRowDxfId="141">
      <calculatedColumnFormula>SUMIFS('Ruimtestaat'!$N:$N,'Ruimtestaat'!L:L,Vloeronderhoud!E21,'Ruimtestaat'!A:A,Vloeronderhoud!A21)</calculatedColumnFormula>
    </tableColumn>
    <tableColumn id="8" xr3:uid="{A5FF7A00-BD80-4497-8A9A-905C07BFA557}" name="Frequentie (uitv./jaar)" dataDxfId="140" totalsRowDxfId="139"/>
    <tableColumn id="9" xr3:uid="{13C992BE-16CA-4305-AC75-C46233681A13}" name="Kosten/jaar excl. BTW" totalsRowFunction="sum" dataDxfId="138" totalsRowDxfId="137">
      <calculatedColumnFormula>VLOOKUP(OverzichtVloer20[[#This Row],[Code Taak]],InvulVloer19[],3,3)*F21*G21</calculatedColumnFormula>
    </tableColumn>
    <tableColumn id="2" xr3:uid="{BBD43C19-81F6-4223-A10B-97F2D79A548F}" name="Kosten/jaar incl BTW" totalsRowFunction="sum" dataDxfId="136" totalsRowDxfId="135"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19" totalsRowShown="0" headerRowDxfId="122" dataDxfId="121">
  <autoFilter ref="A8:I19" xr:uid="{00000000-0009-0000-0100-000003000000}"/>
  <tableColumns count="9">
    <tableColumn id="1" xr3:uid="{00000000-0010-0000-0500-000001000000}" name="Code taak" dataDxfId="130"/>
    <tableColumn id="2" xr3:uid="{00000000-0010-0000-0500-000002000000}" name="Glassoort/voorziening" dataDxfId="129"/>
    <tableColumn id="3" xr3:uid="{00000000-0010-0000-0500-000003000000}" name="Prijs excl. BTW" dataDxfId="99"/>
    <tableColumn id="4" xr3:uid="{00000000-0010-0000-0500-000004000000}" name="Eenheid" dataDxfId="128"/>
    <tableColumn id="5" xr3:uid="{CC43D47B-51D1-48C7-9FBE-6228B4D72C08}" name="2028" dataDxfId="127" dataCellStyle="Valuta">
      <calculatedColumnFormula>(InvulGlas[[#This Row],[Prijs excl. BTW]]*Tariefsopbouw!$H$35)+InvulGlas[[#This Row],[Prijs excl. BTW]]</calculatedColumnFormula>
    </tableColumn>
    <tableColumn id="6" xr3:uid="{14AF2224-D978-4323-B50E-296D91A6AA97}" name="2029" dataDxfId="126" dataCellStyle="Valuta">
      <calculatedColumnFormula>E9*Tariefsopbouw!$J$35+Glasbewassing!E9</calculatedColumnFormula>
    </tableColumn>
    <tableColumn id="7" xr3:uid="{C18EB174-680A-4DCC-A57F-327D4F1C3675}" name="2030" dataDxfId="125" dataCellStyle="Valuta">
      <calculatedColumnFormula>F9*Tariefsopbouw!$L$35+Glasbewassing!F9</calculatedColumnFormula>
    </tableColumn>
    <tableColumn id="8" xr3:uid="{2002E41E-1578-4095-8CE5-943025AA110B}" name="2031" dataDxfId="124" dataCellStyle="Valuta">
      <calculatedColumnFormula>G10*Tariefsopbouw!$N$35+Glasbewassing!G10</calculatedColumnFormula>
    </tableColumn>
    <tableColumn id="9" xr3:uid="{95B9447D-2760-430F-8929-530FC65F506E}" name="2032" dataDxfId="123"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4"/>
  <sheetViews>
    <sheetView workbookViewId="0">
      <selection activeCell="M18" sqref="M18"/>
    </sheetView>
  </sheetViews>
  <sheetFormatPr defaultColWidth="9.109375" defaultRowHeight="13.8"/>
  <cols>
    <col min="1" max="1" width="6" style="10" customWidth="1"/>
    <col min="2" max="2" width="11.5546875" style="10" customWidth="1"/>
    <col min="3" max="3" width="13.88671875" style="10" customWidth="1"/>
    <col min="4" max="4" width="14.6640625" style="10" bestFit="1" customWidth="1"/>
    <col min="5" max="5" width="15.44140625" style="10" bestFit="1" customWidth="1"/>
    <col min="6" max="6" width="14" style="10" bestFit="1" customWidth="1"/>
    <col min="7" max="7" width="10.44140625" style="11" bestFit="1" customWidth="1"/>
    <col min="8" max="8" width="26" style="10" bestFit="1" customWidth="1"/>
    <col min="9" max="9" width="13" style="11" customWidth="1"/>
    <col min="10" max="10" width="13.6640625" style="11" customWidth="1"/>
    <col min="11" max="11" width="9" style="10" bestFit="1" customWidth="1"/>
    <col min="12" max="12" width="12.33203125" style="10" bestFit="1" customWidth="1"/>
    <col min="13" max="13" width="10.6640625" style="10" customWidth="1"/>
    <col min="14" max="14" width="11.6640625" style="10" customWidth="1"/>
    <col min="15" max="15" width="14.109375" style="10" bestFit="1" customWidth="1"/>
    <col min="16" max="16" width="17.6640625" style="10" customWidth="1"/>
    <col min="17" max="17" width="15.88671875" style="11" bestFit="1" customWidth="1"/>
    <col min="18" max="18" width="22.33203125" style="10" bestFit="1" customWidth="1"/>
    <col min="19" max="16384" width="9.109375" style="9"/>
  </cols>
  <sheetData>
    <row r="1" spans="1:18" ht="45" customHeight="1">
      <c r="A1" s="233"/>
      <c r="B1" s="233" t="s">
        <v>230</v>
      </c>
      <c r="C1" s="233" t="s">
        <v>1297</v>
      </c>
      <c r="D1" s="233" t="s">
        <v>231</v>
      </c>
      <c r="E1" s="233" t="s">
        <v>232</v>
      </c>
      <c r="F1" s="233" t="s">
        <v>1298</v>
      </c>
      <c r="G1" s="233" t="s">
        <v>233</v>
      </c>
      <c r="H1" s="233" t="s">
        <v>204</v>
      </c>
      <c r="I1" s="233" t="s">
        <v>234</v>
      </c>
      <c r="J1" s="233" t="s">
        <v>235</v>
      </c>
      <c r="K1" s="233" t="s">
        <v>236</v>
      </c>
      <c r="L1" s="233" t="s">
        <v>237</v>
      </c>
      <c r="M1" s="233" t="s">
        <v>238</v>
      </c>
      <c r="N1" s="233" t="s">
        <v>239</v>
      </c>
      <c r="O1" s="233" t="s">
        <v>1299</v>
      </c>
      <c r="P1" s="233" t="s">
        <v>240</v>
      </c>
      <c r="Q1" s="233" t="s">
        <v>241</v>
      </c>
      <c r="R1" s="233" t="s">
        <v>135</v>
      </c>
    </row>
    <row r="2" spans="1:18">
      <c r="A2" s="1">
        <v>1</v>
      </c>
      <c r="B2" s="2">
        <v>30540</v>
      </c>
      <c r="C2" s="2">
        <v>40350</v>
      </c>
      <c r="D2" s="2">
        <v>40350</v>
      </c>
      <c r="E2" s="3" t="s">
        <v>1700</v>
      </c>
      <c r="F2" s="4">
        <v>22.5</v>
      </c>
      <c r="G2" s="5" t="s">
        <v>1701</v>
      </c>
      <c r="H2" s="3" t="s">
        <v>1699</v>
      </c>
      <c r="I2" s="5"/>
      <c r="J2" s="5">
        <v>1</v>
      </c>
      <c r="K2" s="6">
        <v>17.05</v>
      </c>
      <c r="L2" s="7"/>
      <c r="M2" s="3"/>
      <c r="N2" s="3"/>
      <c r="O2" s="5"/>
      <c r="P2" s="5"/>
      <c r="Q2" s="5" t="s">
        <v>1702</v>
      </c>
      <c r="R2" s="3" t="s">
        <v>1678</v>
      </c>
    </row>
    <row r="3" spans="1:18">
      <c r="A3" s="1">
        <v>2</v>
      </c>
      <c r="B3" s="2">
        <v>23524</v>
      </c>
      <c r="C3" s="2">
        <v>44075</v>
      </c>
      <c r="D3" s="2">
        <v>44075</v>
      </c>
      <c r="E3" s="3" t="s">
        <v>1700</v>
      </c>
      <c r="F3" s="4">
        <v>7.2</v>
      </c>
      <c r="G3" s="5" t="s">
        <v>1701</v>
      </c>
      <c r="H3" s="3" t="s">
        <v>1699</v>
      </c>
      <c r="I3" s="5"/>
      <c r="J3" s="5">
        <v>1</v>
      </c>
      <c r="K3" s="6">
        <v>17.05</v>
      </c>
      <c r="L3" s="7"/>
      <c r="M3" s="3"/>
      <c r="N3" s="3"/>
      <c r="O3" s="5" t="s">
        <v>1703</v>
      </c>
      <c r="P3" s="5"/>
      <c r="Q3" s="5" t="s">
        <v>1701</v>
      </c>
      <c r="R3" s="3" t="s">
        <v>1625</v>
      </c>
    </row>
    <row r="4" spans="1:18">
      <c r="A4" s="1">
        <v>3</v>
      </c>
      <c r="B4" s="2">
        <v>28566</v>
      </c>
      <c r="C4" s="2">
        <v>43959</v>
      </c>
      <c r="D4" s="2">
        <v>43959</v>
      </c>
      <c r="E4" s="3" t="s">
        <v>1700</v>
      </c>
      <c r="F4" s="4">
        <v>7.2</v>
      </c>
      <c r="G4" s="5" t="s">
        <v>1701</v>
      </c>
      <c r="H4" s="3" t="s">
        <v>1699</v>
      </c>
      <c r="I4" s="5"/>
      <c r="J4" s="5">
        <v>1</v>
      </c>
      <c r="K4" s="6">
        <v>17.05</v>
      </c>
      <c r="L4" s="8"/>
      <c r="M4" s="3"/>
      <c r="N4" s="3"/>
      <c r="O4" s="5" t="s">
        <v>1703</v>
      </c>
      <c r="P4" s="5"/>
      <c r="Q4" s="5" t="s">
        <v>1701</v>
      </c>
      <c r="R4" s="3" t="s">
        <v>1625</v>
      </c>
    </row>
  </sheetData>
  <sheetProtection algorithmName="SHA-512" hashValue="L5ZTCo75vzFtffJblyVQDTz4q809VSpGZAw1Gz6f80Xk70iePwyJlMX6KGTlGdb29TXbwAvQRVc8d7eHq7vRGQ==" saltValue="PXtvBEq3I8kTxdrh18nBOw==" spinCount="100000" sheet="1" objects="1" scenarios="1"/>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23"/>
  <sheetViews>
    <sheetView view="pageBreakPreview" zoomScaleNormal="100" zoomScaleSheetLayoutView="100" workbookViewId="0">
      <selection activeCell="F27" sqref="F27"/>
    </sheetView>
  </sheetViews>
  <sheetFormatPr defaultColWidth="9.109375" defaultRowHeight="12"/>
  <cols>
    <col min="1" max="1" width="15.44140625" style="28" customWidth="1"/>
    <col min="2" max="2" width="42.33203125" style="28" customWidth="1"/>
    <col min="3" max="3" width="13.33203125" style="32" customWidth="1"/>
    <col min="4" max="4" width="44.109375" style="28" bestFit="1" customWidth="1"/>
    <col min="5" max="5" width="17.6640625" style="28" bestFit="1" customWidth="1"/>
    <col min="6" max="6" width="17.6640625" style="101" bestFit="1" customWidth="1"/>
    <col min="7" max="8" width="18" style="28" bestFit="1" customWidth="1"/>
    <col min="9" max="9" width="27.109375" style="28" bestFit="1" customWidth="1"/>
    <col min="10" max="10" width="9.109375" style="28"/>
    <col min="11" max="11" width="18" style="28" bestFit="1" customWidth="1"/>
    <col min="12" max="16384" width="9.109375" style="28"/>
  </cols>
  <sheetData>
    <row r="1" spans="1:9" s="26" customFormat="1" ht="26.25" customHeight="1">
      <c r="A1" s="267" t="s">
        <v>1305</v>
      </c>
      <c r="B1" s="267"/>
      <c r="C1" s="267"/>
      <c r="D1" s="267"/>
      <c r="E1" s="267"/>
      <c r="F1" s="267"/>
      <c r="G1" s="267"/>
      <c r="H1" s="267"/>
      <c r="I1" s="267"/>
    </row>
    <row r="2" spans="1:9" s="26" customFormat="1" ht="15" customHeight="1">
      <c r="A2" s="264" t="s">
        <v>1611</v>
      </c>
      <c r="B2" s="265"/>
      <c r="C2" s="265"/>
      <c r="D2" s="265"/>
      <c r="E2" s="265"/>
      <c r="F2" s="265"/>
      <c r="G2" s="265"/>
      <c r="H2" s="265"/>
      <c r="I2" s="266"/>
    </row>
    <row r="3" spans="1:9" ht="15" customHeight="1">
      <c r="B3" s="32"/>
      <c r="C3" s="28"/>
      <c r="F3" s="28"/>
    </row>
    <row r="4" spans="1:9" ht="15" customHeight="1">
      <c r="A4" s="28" t="s">
        <v>168</v>
      </c>
      <c r="B4" s="102"/>
      <c r="C4" s="102"/>
      <c r="D4" s="102"/>
      <c r="E4" s="102"/>
      <c r="F4" s="103"/>
      <c r="G4" s="104"/>
    </row>
    <row r="5" spans="1:9" ht="15" customHeight="1">
      <c r="A5" s="28" t="s">
        <v>222</v>
      </c>
      <c r="B5" s="102"/>
      <c r="C5" s="102"/>
      <c r="D5" s="102"/>
      <c r="E5" s="102"/>
      <c r="F5" s="103"/>
      <c r="G5" s="104"/>
    </row>
    <row r="6" spans="1:9" ht="15" customHeight="1">
      <c r="A6" s="28" t="s">
        <v>215</v>
      </c>
      <c r="B6" s="105"/>
      <c r="C6" s="106"/>
      <c r="D6" s="106"/>
      <c r="E6" s="106"/>
      <c r="F6" s="107"/>
    </row>
    <row r="7" spans="1:9" ht="15" customHeight="1">
      <c r="B7" s="105"/>
      <c r="C7" s="105"/>
      <c r="D7" s="108"/>
      <c r="E7" s="263" t="s">
        <v>244</v>
      </c>
      <c r="F7" s="263"/>
      <c r="G7" s="263"/>
      <c r="H7" s="263"/>
      <c r="I7" s="263"/>
    </row>
    <row r="8" spans="1:9" s="29" customFormat="1" ht="26.25" customHeight="1">
      <c r="A8" s="246" t="s">
        <v>198</v>
      </c>
      <c r="B8" s="247" t="s">
        <v>150</v>
      </c>
      <c r="C8" s="248" t="s">
        <v>1584</v>
      </c>
      <c r="D8" s="246" t="s">
        <v>1585</v>
      </c>
      <c r="E8" s="246" t="s">
        <v>1304</v>
      </c>
      <c r="F8" s="246" t="s">
        <v>1582</v>
      </c>
      <c r="G8" s="246" t="s">
        <v>1617</v>
      </c>
      <c r="H8" s="246" t="s">
        <v>1616</v>
      </c>
      <c r="I8" s="246" t="s">
        <v>1681</v>
      </c>
    </row>
    <row r="9" spans="1:9" s="29" customFormat="1" ht="15" customHeight="1">
      <c r="A9" s="126">
        <v>1</v>
      </c>
      <c r="B9" s="90" t="s">
        <v>1674</v>
      </c>
      <c r="C9" s="260">
        <f>Tariefsopbouw!$E$35</f>
        <v>0</v>
      </c>
      <c r="D9" s="127" t="s">
        <v>1677</v>
      </c>
      <c r="E9" s="140" t="e">
        <f>(Invulextrawerkz[[#This Row],[Prijs
Excl. BTW]]*Tariefsopbouw!$I$37)+Invulextrawerkz[[#This Row],[Prijs
Excl. BTW]]</f>
        <v>#DIV/0!</v>
      </c>
      <c r="F9" s="115" t="e">
        <f>Invulextrawerkz[[#This Row],[2028]]*Tariefsopbouw!$K$37+Invulextrawerkz[[#This Row],[2028]]</f>
        <v>#DIV/0!</v>
      </c>
      <c r="G9" s="115" t="e">
        <f>Invulextrawerkz[[#This Row],[2029]]*Tariefsopbouw!$M$37+Invulextrawerkz[[#This Row],[2029]]</f>
        <v>#DIV/0!</v>
      </c>
      <c r="H9" s="115" t="e">
        <f>Invulextrawerkz[[#This Row],[2030]]*Tariefsopbouw!$O$37+Invulextrawerkz[[#This Row],[2030]]</f>
        <v>#DIV/0!</v>
      </c>
      <c r="I9" s="115" t="e">
        <f>Invulextrawerkz[[#This Row],[2031]]*Tariefsopbouw!$Q$37+Invulextrawerkz[[#This Row],[2031]]</f>
        <v>#DIV/0!</v>
      </c>
    </row>
    <row r="10" spans="1:9" s="29" customFormat="1" ht="15" customHeight="1">
      <c r="A10" s="126">
        <v>2</v>
      </c>
      <c r="B10" s="90" t="s">
        <v>1675</v>
      </c>
      <c r="C10" s="260">
        <f>Tariefsopbouw!$E$35</f>
        <v>0</v>
      </c>
      <c r="D10" s="127" t="s">
        <v>1677</v>
      </c>
      <c r="E10" s="115" t="e">
        <f>(Invulextrawerkz[[#This Row],[Prijs
Excl. BTW]]*Tariefsopbouw!$I$37)+Invulextrawerkz[[#This Row],[Prijs
Excl. BTW]]</f>
        <v>#DIV/0!</v>
      </c>
      <c r="F10" s="115" t="e">
        <f>Invulextrawerkz[[#This Row],[2028]]*Tariefsopbouw!$K$37+Invulextrawerkz[[#This Row],[2028]]</f>
        <v>#DIV/0!</v>
      </c>
      <c r="G10" s="115" t="e">
        <f>Invulextrawerkz[[#This Row],[2029]]*Tariefsopbouw!$M$37+Invulextrawerkz[[#This Row],[2029]]</f>
        <v>#DIV/0!</v>
      </c>
      <c r="H10" s="115" t="e">
        <f>Invulextrawerkz[[#This Row],[2030]]*Tariefsopbouw!$O$37+Invulextrawerkz[[#This Row],[2030]]</f>
        <v>#DIV/0!</v>
      </c>
      <c r="I10" s="115" t="e">
        <f>Invulextrawerkz[[#This Row],[2031]]*Tariefsopbouw!$Q$37+Invulextrawerkz[[#This Row],[2031]]</f>
        <v>#DIV/0!</v>
      </c>
    </row>
    <row r="11" spans="1:9" s="29" customFormat="1" ht="15" customHeight="1">
      <c r="A11" s="126">
        <v>3</v>
      </c>
      <c r="B11" s="90" t="s">
        <v>1682</v>
      </c>
      <c r="C11" s="140">
        <f>Tariefsopbouw!$E$35</f>
        <v>0</v>
      </c>
      <c r="D11" s="127" t="s">
        <v>1677</v>
      </c>
      <c r="E11" s="256" t="e">
        <f>(Invulextrawerkz[[#This Row],[Prijs
Excl. BTW]]*Tariefsopbouw!$I$37)+Invulextrawerkz[[#This Row],[Prijs
Excl. BTW]]</f>
        <v>#DIV/0!</v>
      </c>
      <c r="F11" s="256" t="e">
        <f>Invulextrawerkz[[#This Row],[2028]]*Tariefsopbouw!$K$37+Invulextrawerkz[[#This Row],[2028]]</f>
        <v>#DIV/0!</v>
      </c>
      <c r="G11" s="256" t="e">
        <f>Invulextrawerkz[[#This Row],[2029]]*Tariefsopbouw!$M$37+Invulextrawerkz[[#This Row],[2029]]</f>
        <v>#DIV/0!</v>
      </c>
      <c r="H11" s="256" t="e">
        <f>Invulextrawerkz[[#This Row],[2030]]*Tariefsopbouw!$O$37+Invulextrawerkz[[#This Row],[2030]]</f>
        <v>#DIV/0!</v>
      </c>
      <c r="I11" s="256" t="e">
        <f>Invulextrawerkz[[#This Row],[2031]]*Tariefsopbouw!$Q$37+Invulextrawerkz[[#This Row],[2031]]</f>
        <v>#DIV/0!</v>
      </c>
    </row>
    <row r="12" spans="1:9" s="29" customFormat="1" ht="15" customHeight="1">
      <c r="A12" s="126">
        <v>4</v>
      </c>
      <c r="B12" s="90" t="s">
        <v>1685</v>
      </c>
      <c r="C12" s="511">
        <v>0</v>
      </c>
      <c r="D12" s="127" t="s">
        <v>172</v>
      </c>
      <c r="E12" s="256" t="e">
        <f>(Invulextrawerkz[[#This Row],[Prijs
Excl. BTW]]*Tariefsopbouw!$I$37)+Invulextrawerkz[[#This Row],[Prijs
Excl. BTW]]</f>
        <v>#DIV/0!</v>
      </c>
      <c r="F12" s="256" t="e">
        <f>Invulextrawerkz[[#This Row],[2028]]*Tariefsopbouw!$K$37+Invulextrawerkz[[#This Row],[2028]]</f>
        <v>#DIV/0!</v>
      </c>
      <c r="G12" s="256" t="e">
        <f>Invulextrawerkz[[#This Row],[2029]]*Tariefsopbouw!$M$37+Invulextrawerkz[[#This Row],[2029]]</f>
        <v>#DIV/0!</v>
      </c>
      <c r="H12" s="256" t="e">
        <f>Invulextrawerkz[[#This Row],[2030]]*Tariefsopbouw!$O$37+Invulextrawerkz[[#This Row],[2030]]</f>
        <v>#DIV/0!</v>
      </c>
      <c r="I12" s="256" t="e">
        <f>Invulextrawerkz[[#This Row],[2031]]*Tariefsopbouw!$Q$37+Invulextrawerkz[[#This Row],[2031]]</f>
        <v>#DIV/0!</v>
      </c>
    </row>
    <row r="13" spans="1:9" s="29" customFormat="1" ht="15" customHeight="1">
      <c r="A13" s="126">
        <v>5</v>
      </c>
      <c r="B13" s="90" t="s">
        <v>1688</v>
      </c>
      <c r="C13" s="140">
        <f>Tariefsopbouw!$E$35</f>
        <v>0</v>
      </c>
      <c r="D13" s="127" t="s">
        <v>1677</v>
      </c>
      <c r="E13" s="256" t="e">
        <f>(Invulextrawerkz[[#This Row],[Prijs
Excl. BTW]]*Tariefsopbouw!$I$37)+Invulextrawerkz[[#This Row],[Prijs
Excl. BTW]]</f>
        <v>#DIV/0!</v>
      </c>
      <c r="F13" s="256" t="e">
        <f>Invulextrawerkz[[#This Row],[2028]]*Tariefsopbouw!$K$37+Invulextrawerkz[[#This Row],[2028]]</f>
        <v>#DIV/0!</v>
      </c>
      <c r="G13" s="256" t="e">
        <f>Invulextrawerkz[[#This Row],[2029]]*Tariefsopbouw!$M$37+Invulextrawerkz[[#This Row],[2029]]</f>
        <v>#DIV/0!</v>
      </c>
      <c r="H13" s="256" t="e">
        <f>Invulextrawerkz[[#This Row],[2030]]*Tariefsopbouw!$O$37+Invulextrawerkz[[#This Row],[2030]]</f>
        <v>#DIV/0!</v>
      </c>
      <c r="I13" s="256" t="e">
        <f>Invulextrawerkz[[#This Row],[2031]]*Tariefsopbouw!$Q$37+Invulextrawerkz[[#This Row],[2031]]</f>
        <v>#DIV/0!</v>
      </c>
    </row>
    <row r="14" spans="1:9" s="74" customFormat="1" ht="28.5" customHeight="1">
      <c r="A14" s="28"/>
      <c r="B14" s="32"/>
      <c r="C14" s="32"/>
      <c r="D14" s="28"/>
      <c r="E14" s="124"/>
      <c r="F14" s="125"/>
      <c r="G14" s="124"/>
      <c r="H14" s="124"/>
      <c r="I14" s="28"/>
    </row>
    <row r="15" spans="1:9" ht="15" customHeight="1">
      <c r="A15" s="246" t="s">
        <v>197</v>
      </c>
      <c r="B15" s="246" t="s">
        <v>135</v>
      </c>
      <c r="C15" s="246" t="s">
        <v>198</v>
      </c>
      <c r="D15" s="249" t="s">
        <v>150</v>
      </c>
      <c r="E15" s="249" t="s">
        <v>1676</v>
      </c>
      <c r="F15" s="249" t="s">
        <v>158</v>
      </c>
      <c r="G15" s="249" t="s">
        <v>137</v>
      </c>
      <c r="H15" s="250" t="s">
        <v>1259</v>
      </c>
      <c r="I15" s="249" t="s">
        <v>1673</v>
      </c>
    </row>
    <row r="16" spans="1:9" ht="15" customHeight="1">
      <c r="A16" s="141">
        <v>1</v>
      </c>
      <c r="B16" s="127" t="str">
        <f>VLOOKUP(Overzichtextrawerkz.[[#This Row],[Code Locatie]],Locaties[[Code]:[Locatie]],2,FALSE)</f>
        <v>Jansstraat en Janskerk</v>
      </c>
      <c r="C16" s="126">
        <v>1</v>
      </c>
      <c r="D16" s="257" t="str">
        <f>IF(Overzichtextrawerkz.[[#This Row],[Code Taak]]&gt;0,VLOOKUP(Overzichtextrawerkz.[[#This Row],[Code Taak]],$A$8:$B$13,2,FALSE),"")</f>
        <v>Reinigen depot conform bijlage 9a 1200 m²</v>
      </c>
      <c r="E16" s="512"/>
      <c r="F16" s="142">
        <v>4</v>
      </c>
      <c r="G16" s="129">
        <f>VLOOKUP(Overzichtextrawerkz.[[#This Row],[Code Taak]],Invulextrawerkz[],3,3)*E16*F16</f>
        <v>0</v>
      </c>
      <c r="H16" s="129">
        <f>Overzichtextrawerkz.[[#This Row],[Kosten/jaar excl. BTW]]*1.21</f>
        <v>0</v>
      </c>
      <c r="I16" s="259" t="s">
        <v>1672</v>
      </c>
    </row>
    <row r="17" spans="1:9" ht="15" customHeight="1">
      <c r="A17" s="141">
        <v>2</v>
      </c>
      <c r="B17" s="127" t="str">
        <f>VLOOKUP(Overzichtextrawerkz.[[#This Row],[Code Locatie]],Locaties[[Code]:[Locatie]],2,FALSE)</f>
        <v>Kleine Houtweg</v>
      </c>
      <c r="C17" s="126">
        <v>2</v>
      </c>
      <c r="D17" s="257" t="str">
        <f>IF(Overzichtextrawerkz.[[#This Row],[Code Taak]]&gt;0,VLOOKUP(Overzichtextrawerkz.[[#This Row],[Code Taak]],$A$8:$B$13,2,FALSE),"")</f>
        <v>Reinigen depot conform bijlage 9a 3600 m2</v>
      </c>
      <c r="E17" s="512"/>
      <c r="F17" s="142">
        <v>4</v>
      </c>
      <c r="G17" s="129">
        <f>VLOOKUP(Overzichtextrawerkz.[[#This Row],[Code Taak]],Invulextrawerkz[],3,3)*E17*F17</f>
        <v>0</v>
      </c>
      <c r="H17" s="129">
        <f>Overzichtextrawerkz.[[#This Row],[Kosten/jaar excl. BTW]]*1.21</f>
        <v>0</v>
      </c>
      <c r="I17" s="259" t="s">
        <v>1672</v>
      </c>
    </row>
    <row r="18" spans="1:9" ht="15" customHeight="1">
      <c r="A18" s="141">
        <v>2</v>
      </c>
      <c r="B18" s="127" t="str">
        <f>VLOOKUP(Overzichtextrawerkz.[[#This Row],[Code Locatie]],Locaties[[Code]:[Locatie]],2,FALSE)</f>
        <v>Kleine Houtweg</v>
      </c>
      <c r="C18" s="126">
        <v>3</v>
      </c>
      <c r="D18" s="257" t="str">
        <f>IF(Overzichtextrawerkz.[[#This Row],[Code Taak]]&gt;0,VLOOKUP(Overzichtextrawerkz.[[#This Row],[Code Taak]],$A$8:$B$13,2,FALSE),"")</f>
        <v>Koffieautomaat reinigen en bijvullen</v>
      </c>
      <c r="E18" s="512"/>
      <c r="F18" s="142">
        <v>255</v>
      </c>
      <c r="G18" s="129">
        <f>VLOOKUP(Overzichtextrawerkz.[[#This Row],[Code Taak]],Invulextrawerkz[],3,3)*E18*F18</f>
        <v>0</v>
      </c>
      <c r="H18" s="129">
        <f>Overzichtextrawerkz.[[#This Row],[Kosten/jaar excl. BTW]]*1.21</f>
        <v>0</v>
      </c>
      <c r="I18" s="259"/>
    </row>
    <row r="19" spans="1:9" ht="15" customHeight="1">
      <c r="A19" s="141">
        <v>2</v>
      </c>
      <c r="B19" s="127" t="str">
        <f>VLOOKUP(Overzichtextrawerkz.[[#This Row],[Code Locatie]],Locaties[[Code]:[Locatie]],2,FALSE)</f>
        <v>Kleine Houtweg</v>
      </c>
      <c r="C19" s="126">
        <v>5</v>
      </c>
      <c r="D19" s="257" t="str">
        <f>IF(Overzichtextrawerkz.[[#This Row],[Code Taak]]&gt;0,VLOOKUP(Overzichtextrawerkz.[[#This Row],[Code Taak]],$A$8:$B$13,2,FALSE),"")</f>
        <v>Quarantaineruimte op afroep Kleine Houtweg</v>
      </c>
      <c r="E19" s="512"/>
      <c r="F19" s="142">
        <v>12</v>
      </c>
      <c r="G19" s="129">
        <f>VLOOKUP(Overzichtextrawerkz.[[#This Row],[Code Taak]],Invulextrawerkz[],3,3)*E19*F19</f>
        <v>0</v>
      </c>
      <c r="H19" s="129">
        <f>Overzichtextrawerkz.[[#This Row],[Kosten/jaar excl. BTW]]*1.21</f>
        <v>0</v>
      </c>
      <c r="I19" s="259" t="s">
        <v>1689</v>
      </c>
    </row>
    <row r="20" spans="1:9" ht="15" customHeight="1">
      <c r="A20" s="131"/>
      <c r="B20" s="132" t="s">
        <v>32</v>
      </c>
      <c r="C20" s="131"/>
      <c r="D20" s="133"/>
      <c r="E20" s="134"/>
      <c r="F20" s="131"/>
      <c r="G20" s="135">
        <f>SUBTOTAL(109,Overzichtextrawerkz.[Kosten/jaar excl. BTW])</f>
        <v>0</v>
      </c>
      <c r="H20" s="135">
        <f>SUBTOTAL(109,Overzichtextrawerkz.[Kosten/jaar incl. BTW])</f>
        <v>0</v>
      </c>
      <c r="I20" s="258"/>
    </row>
    <row r="21" spans="1:9">
      <c r="A21" s="136"/>
      <c r="C21" s="102"/>
      <c r="D21" s="102"/>
      <c r="E21" s="102"/>
      <c r="F21" s="125"/>
      <c r="G21" s="137"/>
      <c r="H21" s="104"/>
    </row>
    <row r="23" spans="1:9">
      <c r="E23" s="42"/>
    </row>
  </sheetData>
  <sheetProtection algorithmName="SHA-512" hashValue="0mZJpMI6H1jQz3nU56U9VGJ6Hwzj88KCu0r/1Vvgo4QAhBum4Iu1IlmvVvDNF5Ss2Ifz4Abyq0yk8mCewHgdyA==" saltValue="JIf9M58dP+kNV+srFwpJDg==" spinCount="100000" sheet="1" objects="1" scenarios="1" autoFilter="0"/>
  <mergeCells count="3">
    <mergeCell ref="E7:I7"/>
    <mergeCell ref="A2:I2"/>
    <mergeCell ref="A1:I1"/>
  </mergeCells>
  <phoneticPr fontId="8" type="noConversion"/>
  <pageMargins left="0.7" right="0.7" top="0.75" bottom="0.75" header="0.3" footer="0.3"/>
  <pageSetup paperSize="9" scale="40" orientation="portrait" horizontalDpi="1200" verticalDpi="1200" r:id="rId1"/>
  <ignoredErrors>
    <ignoredError sqref="C12" calculatedColumn="1"/>
  </ignoredErrors>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48B2-9B65-43B6-ADF0-493404763506}">
  <sheetPr>
    <tabColor theme="0" tint="-0.14999847407452621"/>
  </sheetPr>
  <dimension ref="A1:M51"/>
  <sheetViews>
    <sheetView view="pageBreakPreview" zoomScaleNormal="100" zoomScaleSheetLayoutView="100" workbookViewId="0">
      <selection activeCell="L23" sqref="L23"/>
    </sheetView>
  </sheetViews>
  <sheetFormatPr defaultColWidth="9.109375" defaultRowHeight="12"/>
  <cols>
    <col min="1" max="1" width="9.6640625" style="28" customWidth="1"/>
    <col min="2" max="2" width="29.6640625" style="28" bestFit="1" customWidth="1"/>
    <col min="3" max="3" width="14.88671875" style="32" customWidth="1"/>
    <col min="4" max="4" width="29.88671875" style="28" bestFit="1" customWidth="1"/>
    <col min="5" max="5" width="17.6640625" style="28" bestFit="1" customWidth="1"/>
    <col min="6" max="6" width="17.6640625" style="101" bestFit="1" customWidth="1"/>
    <col min="7" max="7" width="17.6640625" style="28" bestFit="1" customWidth="1"/>
    <col min="8" max="8" width="18" style="28" bestFit="1" customWidth="1"/>
    <col min="9" max="9" width="19" style="28" customWidth="1"/>
    <col min="10" max="10" width="19.33203125" style="28" bestFit="1" customWidth="1"/>
    <col min="11" max="11" width="9.109375" style="28"/>
    <col min="12" max="12" width="35.6640625" style="28" customWidth="1"/>
    <col min="13" max="13" width="15.88671875" style="28" customWidth="1"/>
    <col min="14" max="16384" width="9.109375" style="28"/>
  </cols>
  <sheetData>
    <row r="1" spans="1:13" s="26" customFormat="1" ht="26.25" customHeight="1">
      <c r="A1" s="267" t="s">
        <v>1301</v>
      </c>
      <c r="B1" s="267"/>
      <c r="C1" s="267"/>
      <c r="D1" s="267"/>
      <c r="E1" s="267"/>
      <c r="F1" s="267"/>
      <c r="G1" s="267"/>
      <c r="H1" s="267"/>
      <c r="I1" s="267"/>
    </row>
    <row r="2" spans="1:13" s="26" customFormat="1" ht="15" customHeight="1">
      <c r="A2" s="264" t="s">
        <v>1611</v>
      </c>
      <c r="B2" s="265"/>
      <c r="C2" s="265"/>
      <c r="D2" s="265"/>
      <c r="E2" s="265"/>
      <c r="F2" s="265"/>
      <c r="G2" s="265"/>
      <c r="H2" s="265"/>
      <c r="I2" s="266"/>
    </row>
    <row r="3" spans="1:13" ht="15" customHeight="1">
      <c r="B3" s="32"/>
      <c r="C3" s="28"/>
      <c r="D3" s="99"/>
      <c r="E3" s="100"/>
    </row>
    <row r="4" spans="1:13" ht="15" customHeight="1">
      <c r="A4" s="28" t="s">
        <v>168</v>
      </c>
      <c r="B4" s="102"/>
      <c r="C4" s="102"/>
      <c r="D4" s="102"/>
      <c r="E4" s="102"/>
      <c r="F4" s="103"/>
      <c r="G4" s="104"/>
    </row>
    <row r="5" spans="1:13" ht="15" customHeight="1">
      <c r="A5" s="28" t="s">
        <v>222</v>
      </c>
      <c r="B5" s="102"/>
      <c r="C5" s="102"/>
      <c r="D5" s="102"/>
      <c r="E5" s="102"/>
      <c r="F5" s="103"/>
      <c r="G5" s="104"/>
    </row>
    <row r="6" spans="1:13" ht="15" customHeight="1">
      <c r="A6" s="28" t="s">
        <v>215</v>
      </c>
      <c r="B6" s="105"/>
      <c r="C6" s="106"/>
      <c r="D6" s="106"/>
      <c r="E6" s="106"/>
      <c r="F6" s="107"/>
    </row>
    <row r="7" spans="1:13" ht="15" customHeight="1">
      <c r="B7" s="105"/>
      <c r="C7" s="105"/>
      <c r="D7" s="108"/>
      <c r="E7" s="263" t="s">
        <v>244</v>
      </c>
      <c r="F7" s="263"/>
      <c r="G7" s="263"/>
      <c r="H7" s="263"/>
      <c r="I7" s="263"/>
      <c r="M7" s="109"/>
    </row>
    <row r="8" spans="1:13" s="29" customFormat="1" ht="26.25" customHeight="1">
      <c r="A8" s="246" t="s">
        <v>198</v>
      </c>
      <c r="B8" s="246" t="s">
        <v>1690</v>
      </c>
      <c r="C8" s="246" t="s">
        <v>142</v>
      </c>
      <c r="D8" s="249" t="s">
        <v>1302</v>
      </c>
      <c r="E8" s="249" t="s">
        <v>1304</v>
      </c>
      <c r="F8" s="249" t="s">
        <v>1582</v>
      </c>
      <c r="G8" s="249" t="s">
        <v>1617</v>
      </c>
      <c r="H8" s="246" t="s">
        <v>1616</v>
      </c>
      <c r="I8" s="246" t="s">
        <v>1681</v>
      </c>
      <c r="M8" s="110"/>
    </row>
    <row r="9" spans="1:13" ht="15" customHeight="1">
      <c r="A9" s="111">
        <v>1</v>
      </c>
      <c r="B9" s="138" t="s">
        <v>1697</v>
      </c>
      <c r="C9" s="113">
        <v>0</v>
      </c>
      <c r="D9" s="127" t="s">
        <v>1693</v>
      </c>
      <c r="E9" s="115" t="e">
        <f>Sanitair[[#This Row],[Prijs]]*Tariefsopbouw!$I$37+Sanitair[[#This Row],[Prijs]]</f>
        <v>#DIV/0!</v>
      </c>
      <c r="F9" s="116" t="e">
        <f>Sanitair[[#This Row],[2028]]*Tariefsopbouw!$K$37+Sanitair[[#This Row],[2028]]</f>
        <v>#DIV/0!</v>
      </c>
      <c r="G9" s="116" t="e">
        <f>Sanitair[[#This Row],[2029]]*Tariefsopbouw!$M$37+Sanitair[[#This Row],[2029]]</f>
        <v>#DIV/0!</v>
      </c>
      <c r="H9" s="116" t="e">
        <f>Sanitair[[#This Row],[2030]]*Tariefsopbouw!$O$37+Sanitair[[#This Row],[2030]]</f>
        <v>#DIV/0!</v>
      </c>
      <c r="I9" s="116" t="e">
        <f>Sanitair[[#This Row],[2031]]*Tariefsopbouw!$Q$37+Sanitair[[#This Row],[2031]]</f>
        <v>#DIV/0!</v>
      </c>
      <c r="M9" s="109"/>
    </row>
    <row r="10" spans="1:13" ht="15" customHeight="1">
      <c r="A10" s="117">
        <v>2</v>
      </c>
      <c r="B10" s="118" t="s">
        <v>1695</v>
      </c>
      <c r="C10" s="113">
        <v>0</v>
      </c>
      <c r="D10" s="119" t="s">
        <v>1696</v>
      </c>
      <c r="E10" s="115" t="e">
        <f>Sanitair[[#This Row],[Prijs]]*Tariefsopbouw!$I$37+Sanitair[[#This Row],[Prijs]]</f>
        <v>#DIV/0!</v>
      </c>
      <c r="F10" s="120" t="e">
        <f>Sanitair[[#This Row],[2028]]*Tariefsopbouw!$K$37+Sanitair[[#This Row],[2028]]</f>
        <v>#DIV/0!</v>
      </c>
      <c r="G10" s="120" t="e">
        <f>Sanitair[[#This Row],[2029]]*Tariefsopbouw!$M$37+Sanitair[[#This Row],[2029]]</f>
        <v>#DIV/0!</v>
      </c>
      <c r="H10" s="120" t="e">
        <f>Sanitair[[#This Row],[2030]]*Tariefsopbouw!$O$37+Sanitair[[#This Row],[2030]]</f>
        <v>#DIV/0!</v>
      </c>
      <c r="I10" s="120" t="e">
        <f>Sanitair[[#This Row],[2031]]*Tariefsopbouw!$Q$37+Sanitair[[#This Row],[2031]]</f>
        <v>#DIV/0!</v>
      </c>
      <c r="M10" s="121"/>
    </row>
    <row r="11" spans="1:13" ht="15" customHeight="1">
      <c r="A11" s="111">
        <v>3</v>
      </c>
      <c r="B11" s="112" t="s">
        <v>1692</v>
      </c>
      <c r="C11" s="113">
        <v>0</v>
      </c>
      <c r="D11" s="114" t="s">
        <v>1693</v>
      </c>
      <c r="E11" s="115" t="e">
        <f>Sanitair[[#This Row],[Prijs]]*Tariefsopbouw!$I$37+Sanitair[[#This Row],[Prijs]]</f>
        <v>#DIV/0!</v>
      </c>
      <c r="F11" s="122" t="e">
        <f>Sanitair[[#This Row],[2028]]*Tariefsopbouw!$K$37+Sanitair[[#This Row],[2028]]</f>
        <v>#DIV/0!</v>
      </c>
      <c r="G11" s="122" t="e">
        <f>Sanitair[[#This Row],[2029]]*Tariefsopbouw!$M$37+Sanitair[[#This Row],[2029]]</f>
        <v>#DIV/0!</v>
      </c>
      <c r="H11" s="122" t="e">
        <f>Sanitair[[#This Row],[2030]]*Tariefsopbouw!$O$37+Sanitair[[#This Row],[2030]]</f>
        <v>#DIV/0!</v>
      </c>
      <c r="I11" s="122" t="e">
        <f>Sanitair[[#This Row],[2031]]*Tariefsopbouw!$Q$37+Sanitair[[#This Row],[2031]]</f>
        <v>#DIV/0!</v>
      </c>
      <c r="M11" s="123"/>
    </row>
    <row r="12" spans="1:13" ht="15" customHeight="1">
      <c r="A12" s="117">
        <v>4</v>
      </c>
      <c r="B12" s="118" t="s">
        <v>1691</v>
      </c>
      <c r="C12" s="113">
        <v>0</v>
      </c>
      <c r="D12" s="119" t="s">
        <v>1694</v>
      </c>
      <c r="E12" s="115" t="e">
        <f>Sanitair[[#This Row],[Prijs]]*Tariefsopbouw!$I$37+Sanitair[[#This Row],[Prijs]]</f>
        <v>#DIV/0!</v>
      </c>
      <c r="F12" s="120" t="e">
        <f>Sanitair[[#This Row],[2028]]*Tariefsopbouw!$K$37+Sanitair[[#This Row],[2028]]</f>
        <v>#DIV/0!</v>
      </c>
      <c r="G12" s="120" t="e">
        <f>Sanitair[[#This Row],[2029]]*Tariefsopbouw!$M$37+Sanitair[[#This Row],[2029]]</f>
        <v>#DIV/0!</v>
      </c>
      <c r="H12" s="120" t="e">
        <f>Sanitair[[#This Row],[2030]]*Tariefsopbouw!$O$37+Sanitair[[#This Row],[2030]]</f>
        <v>#DIV/0!</v>
      </c>
      <c r="I12" s="120" t="e">
        <f>Sanitair[[#This Row],[2031]]*Tariefsopbouw!$Q$37+Sanitair[[#This Row],[2031]]</f>
        <v>#DIV/0!</v>
      </c>
    </row>
    <row r="13" spans="1:13" ht="15" customHeight="1">
      <c r="A13" s="111">
        <v>5</v>
      </c>
      <c r="B13" s="112" t="s">
        <v>1698</v>
      </c>
      <c r="C13" s="113">
        <v>0</v>
      </c>
      <c r="D13" s="114" t="s">
        <v>41</v>
      </c>
      <c r="E13" s="115" t="e">
        <f>Sanitair[[#This Row],[Prijs]]*Tariefsopbouw!$I$37+Sanitair[[#This Row],[Prijs]]</f>
        <v>#DIV/0!</v>
      </c>
      <c r="F13" s="122" t="e">
        <f>Sanitair[[#This Row],[2028]]*Tariefsopbouw!$K$37+Sanitair[[#This Row],[2028]]</f>
        <v>#DIV/0!</v>
      </c>
      <c r="G13" s="122" t="e">
        <f>Sanitair[[#This Row],[2029]]*Tariefsopbouw!$M$37+Sanitair[[#This Row],[2029]]</f>
        <v>#DIV/0!</v>
      </c>
      <c r="H13" s="122" t="e">
        <f>Sanitair[[#This Row],[2030]]*Tariefsopbouw!$O$37+Sanitair[[#This Row],[2030]]</f>
        <v>#DIV/0!</v>
      </c>
      <c r="I13" s="122" t="e">
        <f>Sanitair[[#This Row],[2031]]*Tariefsopbouw!$Q$37+Sanitair[[#This Row],[2031]]</f>
        <v>#DIV/0!</v>
      </c>
    </row>
    <row r="14" spans="1:13" ht="15" customHeight="1">
      <c r="B14" s="32"/>
      <c r="E14" s="124"/>
      <c r="F14" s="125"/>
      <c r="G14" s="124"/>
      <c r="H14" s="124"/>
    </row>
    <row r="15" spans="1:13" s="74" customFormat="1" ht="26.25" customHeight="1">
      <c r="A15" s="246" t="s">
        <v>197</v>
      </c>
      <c r="B15" s="246" t="s">
        <v>135</v>
      </c>
      <c r="C15" s="246" t="s">
        <v>198</v>
      </c>
      <c r="D15" s="249" t="s">
        <v>1498</v>
      </c>
      <c r="E15" s="249" t="s">
        <v>1303</v>
      </c>
      <c r="F15" s="249" t="s">
        <v>158</v>
      </c>
      <c r="G15" s="249" t="s">
        <v>137</v>
      </c>
      <c r="H15" s="250" t="s">
        <v>1262</v>
      </c>
    </row>
    <row r="16" spans="1:13" ht="15" customHeight="1">
      <c r="A16" s="126">
        <v>1</v>
      </c>
      <c r="B16" s="127" t="str">
        <f>VLOOKUP(Sanitair2[[#This Row],[Code Locatie]],Locaties[],2,0)</f>
        <v>Jansstraat en Janskerk</v>
      </c>
      <c r="C16" s="126">
        <v>1</v>
      </c>
      <c r="D16" s="128" t="str">
        <f t="shared" ref="D16:D21" si="0">IF($C16&gt;0,VLOOKUP($C16,$A$8:$B$13,2,FALSE),"")</f>
        <v>Tork toiletpapier 2-laags</v>
      </c>
      <c r="E16" s="262">
        <f>45/5</f>
        <v>9</v>
      </c>
      <c r="F16" s="105">
        <v>5</v>
      </c>
      <c r="G16" s="129">
        <f>VLOOKUP(Sanitair2[[#This Row],[Code Taak]],Sanitair[],3,3)*E16*F16</f>
        <v>0</v>
      </c>
      <c r="H16" s="130">
        <f>Sanitair2[[#This Row],[Kosten/jaar excl. BTW]]*1.21</f>
        <v>0</v>
      </c>
      <c r="L16" s="109"/>
    </row>
    <row r="17" spans="1:12" ht="15" customHeight="1">
      <c r="A17" s="126">
        <v>1</v>
      </c>
      <c r="B17" s="127" t="str">
        <f>VLOOKUP(Sanitair2[[#This Row],[Code Locatie]],Locaties[],2,0)</f>
        <v>Jansstraat en Janskerk</v>
      </c>
      <c r="C17" s="126">
        <v>2</v>
      </c>
      <c r="D17" s="128" t="str">
        <f t="shared" si="0"/>
        <v>Handdoek Z-vouw 1-laags</v>
      </c>
      <c r="E17" s="262">
        <v>9</v>
      </c>
      <c r="F17" s="105">
        <v>5</v>
      </c>
      <c r="G17" s="129">
        <f>VLOOKUP(Sanitair2[[#This Row],[Code Taak]],Sanitair[],3,3)*E17*F17</f>
        <v>0</v>
      </c>
      <c r="H17" s="130">
        <f>Sanitair2[[#This Row],[Kosten/jaar excl. BTW]]*1.21</f>
        <v>0</v>
      </c>
      <c r="L17" s="109"/>
    </row>
    <row r="18" spans="1:12" ht="15" customHeight="1">
      <c r="A18" s="126">
        <v>1</v>
      </c>
      <c r="B18" s="127" t="str">
        <f>VLOOKUP(Sanitair2[[#This Row],[Code Locatie]],Locaties[],2,0)</f>
        <v>Jansstraat en Janskerk</v>
      </c>
      <c r="C18" s="126">
        <v>3</v>
      </c>
      <c r="D18" s="128" t="str">
        <f t="shared" si="0"/>
        <v>Tork mini jumbo toiletpapier 2-laags</v>
      </c>
      <c r="E18" s="262">
        <v>4</v>
      </c>
      <c r="F18" s="105">
        <v>2</v>
      </c>
      <c r="G18" s="129">
        <f>VLOOKUP(Sanitair2[[#This Row],[Code Taak]],Sanitair[],3,3)*E18*F18</f>
        <v>0</v>
      </c>
      <c r="H18" s="130">
        <f>Sanitair2[[#This Row],[Kosten/jaar excl. BTW]]*1.21</f>
        <v>0</v>
      </c>
      <c r="L18" s="109"/>
    </row>
    <row r="19" spans="1:12" ht="14.25" customHeight="1">
      <c r="A19" s="126">
        <v>1</v>
      </c>
      <c r="B19" s="127" t="str">
        <f>VLOOKUP(Sanitair2[[#This Row],[Code Locatie]],Locaties[],2,0)</f>
        <v>Jansstraat en Janskerk</v>
      </c>
      <c r="C19" s="126">
        <v>4</v>
      </c>
      <c r="D19" s="128" t="str">
        <f t="shared" si="0"/>
        <v>Luchtverfrisser Kimberly Clark navulling</v>
      </c>
      <c r="E19" s="262">
        <v>5</v>
      </c>
      <c r="F19" s="105">
        <v>1</v>
      </c>
      <c r="G19" s="129">
        <f>VLOOKUP(Sanitair2[[#This Row],[Code Taak]],Sanitair[],3,3)*E19*F19</f>
        <v>0</v>
      </c>
      <c r="H19" s="130">
        <f>Sanitair2[[#This Row],[Kosten/jaar excl. BTW]]*1.21</f>
        <v>0</v>
      </c>
      <c r="L19" s="109"/>
    </row>
    <row r="20" spans="1:12" ht="14.25" customHeight="1">
      <c r="A20" s="126">
        <v>2</v>
      </c>
      <c r="B20" s="127" t="str">
        <f>VLOOKUP(Sanitair2[[#This Row],[Code Locatie]],Locaties[],2,0)</f>
        <v>Kleine Houtweg</v>
      </c>
      <c r="C20" s="126">
        <v>1</v>
      </c>
      <c r="D20" s="128" t="str">
        <f t="shared" si="0"/>
        <v>Tork toiletpapier 2-laags</v>
      </c>
      <c r="E20" s="262">
        <v>6</v>
      </c>
      <c r="F20" s="105">
        <v>2</v>
      </c>
      <c r="G20" s="129">
        <f>VLOOKUP(Sanitair2[[#This Row],[Code Taak]],Sanitair[],3,3)*E20*F20</f>
        <v>0</v>
      </c>
      <c r="H20" s="130">
        <f>Sanitair2[[#This Row],[Kosten/jaar excl. BTW]]*1.21</f>
        <v>0</v>
      </c>
      <c r="L20" s="109"/>
    </row>
    <row r="21" spans="1:12" ht="14.25" customHeight="1">
      <c r="A21" s="126">
        <v>2</v>
      </c>
      <c r="B21" s="127" t="str">
        <f>VLOOKUP(Sanitair2[[#This Row],[Code Locatie]],Locaties[],2,0)</f>
        <v>Kleine Houtweg</v>
      </c>
      <c r="C21" s="126">
        <v>2</v>
      </c>
      <c r="D21" s="128" t="str">
        <f t="shared" si="0"/>
        <v>Handdoek Z-vouw 1-laags</v>
      </c>
      <c r="E21" s="262">
        <v>6</v>
      </c>
      <c r="F21" s="105">
        <v>2</v>
      </c>
      <c r="G21" s="129">
        <f>VLOOKUP(Sanitair2[[#This Row],[Code Taak]],Sanitair[],3,3)*E21*F21</f>
        <v>0</v>
      </c>
      <c r="H21" s="130">
        <f>Sanitair2[[#This Row],[Kosten/jaar excl. BTW]]*1.21</f>
        <v>0</v>
      </c>
      <c r="L21" s="109"/>
    </row>
    <row r="22" spans="1:12" ht="15" customHeight="1">
      <c r="A22" s="131"/>
      <c r="B22" s="132" t="s">
        <v>32</v>
      </c>
      <c r="C22" s="131"/>
      <c r="D22" s="133"/>
      <c r="E22" s="134"/>
      <c r="F22" s="131"/>
      <c r="G22" s="135">
        <f>SUBTOTAL(109,Sanitair2[Kosten/jaar excl. BTW])</f>
        <v>0</v>
      </c>
      <c r="H22" s="135">
        <f>SUBTOTAL(109,Sanitair2[Kosten/jaar incl BTW])</f>
        <v>0</v>
      </c>
    </row>
    <row r="23" spans="1:12" ht="15" customHeight="1">
      <c r="A23" s="136"/>
      <c r="C23" s="102"/>
      <c r="D23" s="102"/>
      <c r="E23" s="102"/>
      <c r="F23" s="125"/>
      <c r="G23" s="137"/>
      <c r="H23" s="104"/>
    </row>
    <row r="24" spans="1:12" ht="15" customHeight="1"/>
    <row r="25" spans="1:12" ht="15" customHeight="1"/>
    <row r="26" spans="1:12" ht="15" customHeight="1"/>
    <row r="27" spans="1:12" ht="15" customHeight="1"/>
    <row r="28" spans="1:12" ht="15" customHeight="1"/>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sheetData>
  <sheetProtection algorithmName="SHA-512" hashValue="kUxT13ZSDzAuNdMpPGnKO+lXGtnMoISMzJOLP6PR772hgarAESyQWQxlwCLTStl/sL7csAmCbW4nI6ed+aSf3Q==" saltValue="PEsA7KKCi1oEfaIUohwN7Q==" spinCount="100000" sheet="1" objects="1" scenarios="1" autoFilter="0"/>
  <mergeCells count="3">
    <mergeCell ref="E7:I7"/>
    <mergeCell ref="A2:I2"/>
    <mergeCell ref="A1:I1"/>
  </mergeCells>
  <pageMargins left="0.7" right="0.7" top="0.75" bottom="0.75" header="0.3" footer="0.3"/>
  <pageSetup paperSize="9" scale="51"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topLeftCell="A15" zoomScaleNormal="100" zoomScaleSheetLayoutView="100" workbookViewId="0">
      <selection activeCell="M16" sqref="M16"/>
    </sheetView>
  </sheetViews>
  <sheetFormatPr defaultColWidth="9.109375" defaultRowHeight="18.75" customHeight="1"/>
  <cols>
    <col min="1" max="1" width="9.109375" style="143"/>
    <col min="2" max="2" width="66.44140625" style="78" customWidth="1"/>
    <col min="3" max="3" width="23.44140625" style="78" customWidth="1"/>
    <col min="4" max="4" width="15.109375" style="78" customWidth="1"/>
    <col min="5" max="9" width="17.6640625" style="78" bestFit="1" customWidth="1"/>
    <col min="10" max="16384" width="9.109375" style="78"/>
  </cols>
  <sheetData>
    <row r="1" spans="1:9" s="26" customFormat="1" ht="26.25" customHeight="1">
      <c r="A1" s="453" t="s">
        <v>169</v>
      </c>
      <c r="B1" s="453"/>
      <c r="C1" s="453"/>
      <c r="D1" s="453"/>
      <c r="E1" s="453"/>
      <c r="F1" s="453"/>
      <c r="G1" s="453"/>
      <c r="H1" s="453"/>
      <c r="I1" s="453"/>
    </row>
    <row r="2" spans="1:9" s="26" customFormat="1" ht="18.75" customHeight="1">
      <c r="A2" s="465" t="s">
        <v>200</v>
      </c>
      <c r="B2" s="466"/>
      <c r="C2" s="466"/>
      <c r="D2" s="466"/>
      <c r="E2" s="466"/>
      <c r="F2" s="466"/>
      <c r="G2" s="466"/>
      <c r="H2" s="466"/>
      <c r="I2" s="467"/>
    </row>
    <row r="3" spans="1:9" s="37" customFormat="1" ht="18.75" customHeight="1">
      <c r="A3" s="468"/>
      <c r="B3" s="371"/>
      <c r="C3" s="371"/>
      <c r="D3" s="371"/>
      <c r="E3" s="371"/>
      <c r="F3" s="371"/>
      <c r="G3" s="371"/>
      <c r="H3" s="371"/>
      <c r="I3" s="371"/>
    </row>
    <row r="4" spans="1:9" s="37" customFormat="1" ht="18.75" customHeight="1">
      <c r="A4" s="371" t="s">
        <v>168</v>
      </c>
      <c r="B4" s="371"/>
      <c r="C4" s="371"/>
      <c r="D4" s="371"/>
      <c r="E4" s="371"/>
      <c r="F4" s="371"/>
      <c r="G4" s="371"/>
      <c r="H4" s="371"/>
      <c r="I4" s="371"/>
    </row>
    <row r="5" spans="1:9" s="37" customFormat="1" ht="18.75" customHeight="1">
      <c r="A5" s="371" t="s">
        <v>170</v>
      </c>
      <c r="B5" s="371"/>
      <c r="C5" s="371"/>
      <c r="D5" s="371"/>
      <c r="E5" s="371"/>
      <c r="F5" s="371"/>
      <c r="G5" s="371"/>
      <c r="H5" s="371"/>
      <c r="I5" s="371"/>
    </row>
    <row r="6" spans="1:9" s="37" customFormat="1" ht="18.75" customHeight="1">
      <c r="A6" s="371" t="s">
        <v>211</v>
      </c>
      <c r="B6" s="371"/>
      <c r="C6" s="371"/>
      <c r="D6" s="371"/>
      <c r="E6" s="371"/>
      <c r="F6" s="371"/>
      <c r="G6" s="371"/>
      <c r="H6" s="371"/>
      <c r="I6" s="371"/>
    </row>
    <row r="7" spans="1:9" s="37" customFormat="1" ht="18.75" customHeight="1">
      <c r="A7" s="468"/>
      <c r="B7" s="371"/>
      <c r="C7" s="371"/>
      <c r="D7" s="371"/>
      <c r="E7" s="427" t="s">
        <v>244</v>
      </c>
      <c r="F7" s="427"/>
      <c r="G7" s="427"/>
      <c r="H7" s="427"/>
      <c r="I7" s="427"/>
    </row>
    <row r="8" spans="1:9" s="68" customFormat="1" ht="26.25" customHeight="1">
      <c r="A8" s="469"/>
      <c r="B8" s="470" t="s">
        <v>171</v>
      </c>
      <c r="C8" s="470" t="s">
        <v>141</v>
      </c>
      <c r="D8" s="398" t="s">
        <v>167</v>
      </c>
      <c r="E8" s="428" t="s">
        <v>1304</v>
      </c>
      <c r="F8" s="428" t="s">
        <v>1582</v>
      </c>
      <c r="G8" s="428" t="s">
        <v>1617</v>
      </c>
      <c r="H8" s="428" t="s">
        <v>1616</v>
      </c>
      <c r="I8" s="428" t="s">
        <v>1681</v>
      </c>
    </row>
    <row r="9" spans="1:9" ht="18.75" customHeight="1">
      <c r="A9" s="471" t="s">
        <v>184</v>
      </c>
      <c r="B9" s="403" t="s">
        <v>173</v>
      </c>
      <c r="C9" s="403" t="s">
        <v>172</v>
      </c>
      <c r="D9" s="499">
        <v>0</v>
      </c>
      <c r="E9" s="472" t="e">
        <f>InvulRegie[[#This Row],[Prijs excl. BTW]]*Tariefsopbouw!$I$37+InvulRegie[[#This Row],[Prijs excl. BTW]]</f>
        <v>#DIV/0!</v>
      </c>
      <c r="F9" s="472" t="e">
        <f>E9*Tariefsopbouw!$K$37+'Regie en afroep'!E9</f>
        <v>#DIV/0!</v>
      </c>
      <c r="G9" s="472" t="e">
        <f>F9*Tariefsopbouw!$M$37+'Regie en afroep'!F9</f>
        <v>#DIV/0!</v>
      </c>
      <c r="H9" s="472" t="e">
        <f>G9*Tariefsopbouw!$O$37+'Regie en afroep'!G9</f>
        <v>#DIV/0!</v>
      </c>
      <c r="I9" s="472" t="e">
        <f>H9*Tariefsopbouw!$Q$37+H9</f>
        <v>#DIV/0!</v>
      </c>
    </row>
    <row r="10" spans="1:9" ht="18.75" customHeight="1">
      <c r="A10" s="473"/>
      <c r="B10" s="403" t="s">
        <v>174</v>
      </c>
      <c r="C10" s="403" t="s">
        <v>172</v>
      </c>
      <c r="D10" s="499">
        <v>0</v>
      </c>
      <c r="E10" s="472" t="e">
        <f>InvulRegie[[#This Row],[Prijs excl. BTW]]*Tariefsopbouw!$I$37+InvulRegie[[#This Row],[Prijs excl. BTW]]</f>
        <v>#DIV/0!</v>
      </c>
      <c r="F10" s="472" t="e">
        <f>E10*Tariefsopbouw!$K$37+'Regie en afroep'!E10</f>
        <v>#DIV/0!</v>
      </c>
      <c r="G10" s="472" t="e">
        <f>F10*Tariefsopbouw!$M$37+'Regie en afroep'!F10</f>
        <v>#DIV/0!</v>
      </c>
      <c r="H10" s="472" t="e">
        <f>G10*Tariefsopbouw!$O$37+'Regie en afroep'!G10</f>
        <v>#DIV/0!</v>
      </c>
      <c r="I10" s="472" t="e">
        <f>H10*Tariefsopbouw!$Q$37+H10</f>
        <v>#DIV/0!</v>
      </c>
    </row>
    <row r="11" spans="1:9" ht="18.75" customHeight="1">
      <c r="A11" s="473"/>
      <c r="B11" s="414" t="s">
        <v>175</v>
      </c>
      <c r="C11" s="403" t="s">
        <v>172</v>
      </c>
      <c r="D11" s="499">
        <v>0</v>
      </c>
      <c r="E11" s="472" t="e">
        <f>InvulRegie[[#This Row],[Prijs excl. BTW]]*Tariefsopbouw!$I$37+InvulRegie[[#This Row],[Prijs excl. BTW]]</f>
        <v>#DIV/0!</v>
      </c>
      <c r="F11" s="472" t="e">
        <f>E11*Tariefsopbouw!$K$37+'Regie en afroep'!E11</f>
        <v>#DIV/0!</v>
      </c>
      <c r="G11" s="472" t="e">
        <f>F11*Tariefsopbouw!$M$37+'Regie en afroep'!F11</f>
        <v>#DIV/0!</v>
      </c>
      <c r="H11" s="472" t="e">
        <f>G11*Tariefsopbouw!$O$37+'Regie en afroep'!G11</f>
        <v>#DIV/0!</v>
      </c>
      <c r="I11" s="472" t="e">
        <f>H11*Tariefsopbouw!$Q$37+H11</f>
        <v>#DIV/0!</v>
      </c>
    </row>
    <row r="12" spans="1:9" ht="18.75" customHeight="1">
      <c r="A12" s="473"/>
      <c r="B12" s="414" t="s">
        <v>191</v>
      </c>
      <c r="C12" s="403" t="s">
        <v>172</v>
      </c>
      <c r="D12" s="499">
        <v>0</v>
      </c>
      <c r="E12" s="472" t="e">
        <f>InvulRegie[[#This Row],[Prijs excl. BTW]]*Tariefsopbouw!$I$37+InvulRegie[[#This Row],[Prijs excl. BTW]]</f>
        <v>#DIV/0!</v>
      </c>
      <c r="F12" s="472" t="e">
        <f>E12*Tariefsopbouw!$K$37+'Regie en afroep'!E12</f>
        <v>#DIV/0!</v>
      </c>
      <c r="G12" s="472" t="e">
        <f>F12*Tariefsopbouw!$M$37+'Regie en afroep'!F12</f>
        <v>#DIV/0!</v>
      </c>
      <c r="H12" s="472" t="e">
        <f>G12*Tariefsopbouw!$O$37+'Regie en afroep'!G12</f>
        <v>#DIV/0!</v>
      </c>
      <c r="I12" s="472" t="e">
        <f>H12*Tariefsopbouw!$Q$37+H12</f>
        <v>#DIV/0!</v>
      </c>
    </row>
    <row r="13" spans="1:9" ht="18.75" customHeight="1">
      <c r="A13" s="474"/>
      <c r="B13" s="403" t="s">
        <v>181</v>
      </c>
      <c r="C13" s="403" t="s">
        <v>172</v>
      </c>
      <c r="D13" s="499">
        <v>0</v>
      </c>
      <c r="E13" s="472" t="e">
        <f>InvulRegie[[#This Row],[Prijs excl. BTW]]*Tariefsopbouw!$I$37+InvulRegie[[#This Row],[Prijs excl. BTW]]</f>
        <v>#DIV/0!</v>
      </c>
      <c r="F13" s="472" t="e">
        <f>E13*Tariefsopbouw!$K$37+'Regie en afroep'!E13</f>
        <v>#DIV/0!</v>
      </c>
      <c r="G13" s="472" t="e">
        <f>F13*Tariefsopbouw!$M$37+'Regie en afroep'!F13</f>
        <v>#DIV/0!</v>
      </c>
      <c r="H13" s="472" t="e">
        <f>G13*Tariefsopbouw!$O$37+'Regie en afroep'!G13</f>
        <v>#DIV/0!</v>
      </c>
      <c r="I13" s="472" t="e">
        <f>H13*Tariefsopbouw!$Q$37+H13</f>
        <v>#DIV/0!</v>
      </c>
    </row>
    <row r="14" spans="1:9" ht="18.75" customHeight="1">
      <c r="A14" s="471" t="s">
        <v>121</v>
      </c>
      <c r="B14" s="403" t="s">
        <v>40</v>
      </c>
      <c r="C14" s="403" t="s">
        <v>41</v>
      </c>
      <c r="D14" s="499">
        <v>0</v>
      </c>
      <c r="E14" s="472" t="e">
        <f>InvulRegie[[#This Row],[Prijs excl. BTW]]*Tariefsopbouw!$I$37+InvulRegie[[#This Row],[Prijs excl. BTW]]</f>
        <v>#DIV/0!</v>
      </c>
      <c r="F14" s="472" t="e">
        <f>E14*Tariefsopbouw!$K$37+'Regie en afroep'!E14</f>
        <v>#DIV/0!</v>
      </c>
      <c r="G14" s="472" t="e">
        <f>F14*Tariefsopbouw!$M$37+'Regie en afroep'!F14</f>
        <v>#DIV/0!</v>
      </c>
      <c r="H14" s="472" t="e">
        <f>G14*Tariefsopbouw!$O$37+'Regie en afroep'!G14</f>
        <v>#DIV/0!</v>
      </c>
      <c r="I14" s="472" t="e">
        <f>H14*Tariefsopbouw!$Q$37+H14</f>
        <v>#DIV/0!</v>
      </c>
    </row>
    <row r="15" spans="1:9" ht="18.75" customHeight="1">
      <c r="A15" s="473"/>
      <c r="B15" s="403" t="s">
        <v>42</v>
      </c>
      <c r="C15" s="403" t="s">
        <v>176</v>
      </c>
      <c r="D15" s="499">
        <v>0</v>
      </c>
      <c r="E15" s="472" t="e">
        <f>InvulRegie[[#This Row],[Prijs excl. BTW]]*Tariefsopbouw!$I$37+InvulRegie[[#This Row],[Prijs excl. BTW]]</f>
        <v>#DIV/0!</v>
      </c>
      <c r="F15" s="472" t="e">
        <f>E15*Tariefsopbouw!$K$37+'Regie en afroep'!E15</f>
        <v>#DIV/0!</v>
      </c>
      <c r="G15" s="472" t="e">
        <f>F15*Tariefsopbouw!$M$37+'Regie en afroep'!F15</f>
        <v>#DIV/0!</v>
      </c>
      <c r="H15" s="472" t="e">
        <f>G15*Tariefsopbouw!$O$37+'Regie en afroep'!G15</f>
        <v>#DIV/0!</v>
      </c>
      <c r="I15" s="472" t="e">
        <f>H15*Tariefsopbouw!$Q$37+H15</f>
        <v>#DIV/0!</v>
      </c>
    </row>
    <row r="16" spans="1:9" ht="18.75" customHeight="1">
      <c r="A16" s="473"/>
      <c r="B16" s="403" t="s">
        <v>177</v>
      </c>
      <c r="C16" s="403" t="s">
        <v>176</v>
      </c>
      <c r="D16" s="499">
        <v>0</v>
      </c>
      <c r="E16" s="472" t="e">
        <f>InvulRegie[[#This Row],[Prijs excl. BTW]]*Tariefsopbouw!$I$37+InvulRegie[[#This Row],[Prijs excl. BTW]]</f>
        <v>#DIV/0!</v>
      </c>
      <c r="F16" s="472" t="e">
        <f>E16*Tariefsopbouw!$K$37+'Regie en afroep'!E16</f>
        <v>#DIV/0!</v>
      </c>
      <c r="G16" s="472" t="e">
        <f>F16*Tariefsopbouw!$M$37+'Regie en afroep'!F16</f>
        <v>#DIV/0!</v>
      </c>
      <c r="H16" s="472" t="e">
        <f>G16*Tariefsopbouw!$O$37+'Regie en afroep'!G16</f>
        <v>#DIV/0!</v>
      </c>
      <c r="I16" s="472" t="e">
        <f>H16*Tariefsopbouw!$Q$37+H16</f>
        <v>#DIV/0!</v>
      </c>
    </row>
    <row r="17" spans="1:9" ht="18.75" customHeight="1">
      <c r="A17" s="473"/>
      <c r="B17" s="403" t="s">
        <v>178</v>
      </c>
      <c r="C17" s="403" t="s">
        <v>43</v>
      </c>
      <c r="D17" s="499">
        <v>0</v>
      </c>
      <c r="E17" s="472" t="e">
        <f>InvulRegie[[#This Row],[Prijs excl. BTW]]*Tariefsopbouw!$I$37+InvulRegie[[#This Row],[Prijs excl. BTW]]</f>
        <v>#DIV/0!</v>
      </c>
      <c r="F17" s="472" t="e">
        <f>E17*Tariefsopbouw!$K$37+'Regie en afroep'!E17</f>
        <v>#DIV/0!</v>
      </c>
      <c r="G17" s="472" t="e">
        <f>F17*Tariefsopbouw!$M$37+'Regie en afroep'!F17</f>
        <v>#DIV/0!</v>
      </c>
      <c r="H17" s="472" t="e">
        <f>G17*Tariefsopbouw!$O$37+'Regie en afroep'!G17</f>
        <v>#DIV/0!</v>
      </c>
      <c r="I17" s="472" t="e">
        <f>H17*Tariefsopbouw!$Q$37+H17</f>
        <v>#DIV/0!</v>
      </c>
    </row>
    <row r="18" spans="1:9" ht="18.75" customHeight="1">
      <c r="A18" s="473"/>
      <c r="B18" s="403" t="s">
        <v>226</v>
      </c>
      <c r="C18" s="403" t="s">
        <v>43</v>
      </c>
      <c r="D18" s="499">
        <v>0</v>
      </c>
      <c r="E18" s="472" t="e">
        <f>InvulRegie[[#This Row],[Prijs excl. BTW]]*Tariefsopbouw!$I$37+InvulRegie[[#This Row],[Prijs excl. BTW]]</f>
        <v>#DIV/0!</v>
      </c>
      <c r="F18" s="472" t="e">
        <f>E18*Tariefsopbouw!$K$37+'Regie en afroep'!E18</f>
        <v>#DIV/0!</v>
      </c>
      <c r="G18" s="472" t="e">
        <f>F18*Tariefsopbouw!$M$37+'Regie en afroep'!F18</f>
        <v>#DIV/0!</v>
      </c>
      <c r="H18" s="472" t="e">
        <f>G18*Tariefsopbouw!$O$37+'Regie en afroep'!G18</f>
        <v>#DIV/0!</v>
      </c>
      <c r="I18" s="472" t="e">
        <f>H18*Tariefsopbouw!$Q$37+H18</f>
        <v>#DIV/0!</v>
      </c>
    </row>
    <row r="19" spans="1:9" ht="18.75" customHeight="1">
      <c r="A19" s="473"/>
      <c r="B19" s="403" t="s">
        <v>179</v>
      </c>
      <c r="C19" s="403" t="s">
        <v>43</v>
      </c>
      <c r="D19" s="499">
        <v>0</v>
      </c>
      <c r="E19" s="472" t="e">
        <f>InvulRegie[[#This Row],[Prijs excl. BTW]]*Tariefsopbouw!$I$37+InvulRegie[[#This Row],[Prijs excl. BTW]]</f>
        <v>#DIV/0!</v>
      </c>
      <c r="F19" s="472" t="e">
        <f>E19*Tariefsopbouw!$K$37+'Regie en afroep'!E19</f>
        <v>#DIV/0!</v>
      </c>
      <c r="G19" s="472" t="e">
        <f>F19*Tariefsopbouw!$M$37+'Regie en afroep'!F19</f>
        <v>#DIV/0!</v>
      </c>
      <c r="H19" s="472" t="e">
        <f>G19*Tariefsopbouw!$O$37+'Regie en afroep'!G19</f>
        <v>#DIV/0!</v>
      </c>
      <c r="I19" s="472" t="e">
        <f>H19*Tariefsopbouw!$Q$37+H19</f>
        <v>#DIV/0!</v>
      </c>
    </row>
    <row r="20" spans="1:9" ht="18.75" customHeight="1">
      <c r="A20" s="474"/>
      <c r="B20" s="403" t="s">
        <v>180</v>
      </c>
      <c r="C20" s="403" t="s">
        <v>43</v>
      </c>
      <c r="D20" s="499">
        <v>0</v>
      </c>
      <c r="E20" s="472" t="e">
        <f>InvulRegie[[#This Row],[Prijs excl. BTW]]*Tariefsopbouw!$I$37+InvulRegie[[#This Row],[Prijs excl. BTW]]</f>
        <v>#DIV/0!</v>
      </c>
      <c r="F20" s="472" t="e">
        <f>E20*Tariefsopbouw!$K$37+'Regie en afroep'!E20</f>
        <v>#DIV/0!</v>
      </c>
      <c r="G20" s="472" t="e">
        <f>F20*Tariefsopbouw!$M$37+'Regie en afroep'!F20</f>
        <v>#DIV/0!</v>
      </c>
      <c r="H20" s="472" t="e">
        <f>G20*Tariefsopbouw!$O$37+'Regie en afroep'!G20</f>
        <v>#DIV/0!</v>
      </c>
      <c r="I20" s="472" t="e">
        <f>H20*Tariefsopbouw!$Q$37+H20</f>
        <v>#DIV/0!</v>
      </c>
    </row>
    <row r="21" spans="1:9" ht="18.75" customHeight="1">
      <c r="A21" s="471" t="s">
        <v>182</v>
      </c>
      <c r="B21" s="403" t="s">
        <v>56</v>
      </c>
      <c r="C21" s="403" t="s">
        <v>48</v>
      </c>
      <c r="D21" s="499">
        <v>0</v>
      </c>
      <c r="E21" s="472" t="e">
        <f>InvulRegie[[#This Row],[Prijs excl. BTW]]*Tariefsopbouw!$I$37+InvulRegie[[#This Row],[Prijs excl. BTW]]</f>
        <v>#DIV/0!</v>
      </c>
      <c r="F21" s="472" t="e">
        <f>E21*Tariefsopbouw!$K$37+'Regie en afroep'!E21</f>
        <v>#DIV/0!</v>
      </c>
      <c r="G21" s="472" t="e">
        <f>F21*Tariefsopbouw!$M$37+'Regie en afroep'!F21</f>
        <v>#DIV/0!</v>
      </c>
      <c r="H21" s="472" t="e">
        <f>G21*Tariefsopbouw!$O$37+'Regie en afroep'!G21</f>
        <v>#DIV/0!</v>
      </c>
      <c r="I21" s="472" t="e">
        <f>H21*Tariefsopbouw!$Q$37+H21</f>
        <v>#DIV/0!</v>
      </c>
    </row>
    <row r="22" spans="1:9" ht="18.75" customHeight="1">
      <c r="A22" s="474"/>
      <c r="B22" s="403" t="s">
        <v>44</v>
      </c>
      <c r="C22" s="403" t="s">
        <v>1612</v>
      </c>
      <c r="D22" s="499">
        <v>0</v>
      </c>
      <c r="E22" s="472" t="e">
        <f>InvulRegie[[#This Row],[Prijs excl. BTW]]*Tariefsopbouw!$I$37+InvulRegie[[#This Row],[Prijs excl. BTW]]</f>
        <v>#DIV/0!</v>
      </c>
      <c r="F22" s="472" t="e">
        <f>E22*Tariefsopbouw!$K$37+'Regie en afroep'!E22</f>
        <v>#DIV/0!</v>
      </c>
      <c r="G22" s="472" t="e">
        <f>F22*Tariefsopbouw!$M$37+'Regie en afroep'!F22</f>
        <v>#DIV/0!</v>
      </c>
      <c r="H22" s="472" t="e">
        <f>G22*Tariefsopbouw!$O$37+'Regie en afroep'!G22</f>
        <v>#DIV/0!</v>
      </c>
      <c r="I22" s="472" t="e">
        <f>H22*Tariefsopbouw!$Q$37+H22</f>
        <v>#DIV/0!</v>
      </c>
    </row>
    <row r="23" spans="1:9" ht="18.75" customHeight="1">
      <c r="A23" s="471" t="s">
        <v>192</v>
      </c>
      <c r="B23" s="403" t="s">
        <v>183</v>
      </c>
      <c r="C23" s="403" t="s">
        <v>1613</v>
      </c>
      <c r="D23" s="499">
        <v>0</v>
      </c>
      <c r="E23" s="472" t="e">
        <f>InvulRegie[[#This Row],[Prijs excl. BTW]]*Tariefsopbouw!$I$37+InvulRegie[[#This Row],[Prijs excl. BTW]]</f>
        <v>#DIV/0!</v>
      </c>
      <c r="F23" s="472" t="e">
        <f>E23*Tariefsopbouw!$K$37+'Regie en afroep'!E23</f>
        <v>#DIV/0!</v>
      </c>
      <c r="G23" s="472" t="e">
        <f>F23*Tariefsopbouw!$M$37+'Regie en afroep'!F23</f>
        <v>#DIV/0!</v>
      </c>
      <c r="H23" s="472" t="e">
        <f>G23*Tariefsopbouw!$O$37+'Regie en afroep'!G23</f>
        <v>#DIV/0!</v>
      </c>
      <c r="I23" s="472" t="e">
        <f>H23*Tariefsopbouw!$Q$37+H23</f>
        <v>#DIV/0!</v>
      </c>
    </row>
    <row r="24" spans="1:9" ht="18.75" customHeight="1">
      <c r="A24" s="473"/>
      <c r="B24" s="403" t="s">
        <v>219</v>
      </c>
      <c r="C24" s="403" t="s">
        <v>1613</v>
      </c>
      <c r="D24" s="499">
        <v>0</v>
      </c>
      <c r="E24" s="472" t="e">
        <f>InvulRegie[[#This Row],[Prijs excl. BTW]]*Tariefsopbouw!$I$37+InvulRegie[[#This Row],[Prijs excl. BTW]]</f>
        <v>#DIV/0!</v>
      </c>
      <c r="F24" s="472" t="e">
        <f>E24*Tariefsopbouw!$K$37+'Regie en afroep'!E24</f>
        <v>#DIV/0!</v>
      </c>
      <c r="G24" s="472" t="e">
        <f>F24*Tariefsopbouw!$M$37+'Regie en afroep'!F24</f>
        <v>#DIV/0!</v>
      </c>
      <c r="H24" s="472" t="e">
        <f>G24*Tariefsopbouw!$O$37+'Regie en afroep'!G24</f>
        <v>#DIV/0!</v>
      </c>
      <c r="I24" s="472" t="e">
        <f>H24*Tariefsopbouw!$Q$37+H24</f>
        <v>#DIV/0!</v>
      </c>
    </row>
    <row r="25" spans="1:9" ht="18.75" customHeight="1">
      <c r="A25" s="473"/>
      <c r="B25" s="403" t="s">
        <v>221</v>
      </c>
      <c r="C25" s="403" t="s">
        <v>1613</v>
      </c>
      <c r="D25" s="499">
        <v>0</v>
      </c>
      <c r="E25" s="472" t="e">
        <f>InvulRegie[[#This Row],[Prijs excl. BTW]]*Tariefsopbouw!$I$37+InvulRegie[[#This Row],[Prijs excl. BTW]]</f>
        <v>#DIV/0!</v>
      </c>
      <c r="F25" s="472" t="e">
        <f>E25*Tariefsopbouw!$K$37+'Regie en afroep'!E25</f>
        <v>#DIV/0!</v>
      </c>
      <c r="G25" s="472" t="e">
        <f>F25*Tariefsopbouw!$M$37+'Regie en afroep'!F25</f>
        <v>#DIV/0!</v>
      </c>
      <c r="H25" s="472" t="e">
        <f>G25*Tariefsopbouw!$O$37+'Regie en afroep'!G25</f>
        <v>#DIV/0!</v>
      </c>
      <c r="I25" s="472" t="e">
        <f>H25*Tariefsopbouw!$Q$37+H25</f>
        <v>#DIV/0!</v>
      </c>
    </row>
    <row r="26" spans="1:9" ht="18.75" customHeight="1">
      <c r="A26" s="473"/>
      <c r="B26" s="403" t="s">
        <v>220</v>
      </c>
      <c r="C26" s="403" t="s">
        <v>1613</v>
      </c>
      <c r="D26" s="499">
        <v>0</v>
      </c>
      <c r="E26" s="472" t="e">
        <f>InvulRegie[[#This Row],[Prijs excl. BTW]]*Tariefsopbouw!$I$37+InvulRegie[[#This Row],[Prijs excl. BTW]]</f>
        <v>#DIV/0!</v>
      </c>
      <c r="F26" s="472" t="e">
        <f>E26*Tariefsopbouw!$K$37+'Regie en afroep'!E26</f>
        <v>#DIV/0!</v>
      </c>
      <c r="G26" s="472" t="e">
        <f>F26*Tariefsopbouw!$M$37+'Regie en afroep'!F26</f>
        <v>#DIV/0!</v>
      </c>
      <c r="H26" s="472" t="e">
        <f>G26*Tariefsopbouw!$O$37+'Regie en afroep'!G26</f>
        <v>#DIV/0!</v>
      </c>
      <c r="I26" s="472" t="e">
        <f>H26*Tariefsopbouw!$Q$37+H26</f>
        <v>#DIV/0!</v>
      </c>
    </row>
    <row r="27" spans="1:9" ht="18.75" customHeight="1">
      <c r="A27" s="474"/>
      <c r="B27" s="403" t="s">
        <v>47</v>
      </c>
      <c r="C27" s="403" t="s">
        <v>1613</v>
      </c>
      <c r="D27" s="499">
        <v>0</v>
      </c>
      <c r="E27" s="472" t="e">
        <f>InvulRegie[[#This Row],[Prijs excl. BTW]]*Tariefsopbouw!$I$37+InvulRegie[[#This Row],[Prijs excl. BTW]]</f>
        <v>#DIV/0!</v>
      </c>
      <c r="F27" s="472" t="e">
        <f>E27*Tariefsopbouw!$K$37+'Regie en afroep'!E27</f>
        <v>#DIV/0!</v>
      </c>
      <c r="G27" s="472" t="e">
        <f>F27*Tariefsopbouw!$M$37+'Regie en afroep'!F27</f>
        <v>#DIV/0!</v>
      </c>
      <c r="H27" s="472" t="e">
        <f>G27*Tariefsopbouw!$O$37+'Regie en afroep'!G27</f>
        <v>#DIV/0!</v>
      </c>
      <c r="I27" s="472" t="e">
        <f>H27*Tariefsopbouw!$Q$37+H27</f>
        <v>#DIV/0!</v>
      </c>
    </row>
    <row r="28" spans="1:9" ht="18.75" customHeight="1">
      <c r="A28" s="471" t="s">
        <v>187</v>
      </c>
      <c r="B28" s="403" t="s">
        <v>49</v>
      </c>
      <c r="C28" s="403" t="s">
        <v>48</v>
      </c>
      <c r="D28" s="499">
        <v>0</v>
      </c>
      <c r="E28" s="472" t="e">
        <f>InvulRegie[[#This Row],[Prijs excl. BTW]]*Tariefsopbouw!$I$37+InvulRegie[[#This Row],[Prijs excl. BTW]]</f>
        <v>#DIV/0!</v>
      </c>
      <c r="F28" s="472" t="e">
        <f>E28*Tariefsopbouw!$K$37+'Regie en afroep'!E28</f>
        <v>#DIV/0!</v>
      </c>
      <c r="G28" s="472" t="e">
        <f>F28*Tariefsopbouw!$M$37+'Regie en afroep'!F28</f>
        <v>#DIV/0!</v>
      </c>
      <c r="H28" s="472" t="e">
        <f>G28*Tariefsopbouw!$O$37+'Regie en afroep'!G28</f>
        <v>#DIV/0!</v>
      </c>
      <c r="I28" s="472" t="e">
        <f>H28*Tariefsopbouw!$Q$37+H28</f>
        <v>#DIV/0!</v>
      </c>
    </row>
    <row r="29" spans="1:9" ht="18.75" customHeight="1">
      <c r="A29" s="473"/>
      <c r="B29" s="403" t="s">
        <v>50</v>
      </c>
      <c r="C29" s="403" t="s">
        <v>48</v>
      </c>
      <c r="D29" s="499">
        <v>0</v>
      </c>
      <c r="E29" s="472" t="e">
        <f>InvulRegie[[#This Row],[Prijs excl. BTW]]*Tariefsopbouw!$I$37+InvulRegie[[#This Row],[Prijs excl. BTW]]</f>
        <v>#DIV/0!</v>
      </c>
      <c r="F29" s="472" t="e">
        <f>E29*Tariefsopbouw!$K$37+'Regie en afroep'!E29</f>
        <v>#DIV/0!</v>
      </c>
      <c r="G29" s="472" t="e">
        <f>F29*Tariefsopbouw!$M$37+'Regie en afroep'!F29</f>
        <v>#DIV/0!</v>
      </c>
      <c r="H29" s="472" t="e">
        <f>G29*Tariefsopbouw!$O$37+'Regie en afroep'!G29</f>
        <v>#DIV/0!</v>
      </c>
      <c r="I29" s="472" t="e">
        <f>H29*Tariefsopbouw!$Q$37+H29</f>
        <v>#DIV/0!</v>
      </c>
    </row>
    <row r="30" spans="1:9" ht="18.75" customHeight="1">
      <c r="A30" s="473"/>
      <c r="B30" s="403" t="s">
        <v>51</v>
      </c>
      <c r="C30" s="403" t="s">
        <v>48</v>
      </c>
      <c r="D30" s="499">
        <v>0</v>
      </c>
      <c r="E30" s="472" t="e">
        <f>InvulRegie[[#This Row],[Prijs excl. BTW]]*Tariefsopbouw!$I$37+InvulRegie[[#This Row],[Prijs excl. BTW]]</f>
        <v>#DIV/0!</v>
      </c>
      <c r="F30" s="472" t="e">
        <f>E30*Tariefsopbouw!$K$37+'Regie en afroep'!E30</f>
        <v>#DIV/0!</v>
      </c>
      <c r="G30" s="472" t="e">
        <f>F30*Tariefsopbouw!$M$37+'Regie en afroep'!F30</f>
        <v>#DIV/0!</v>
      </c>
      <c r="H30" s="472" t="e">
        <f>G30*Tariefsopbouw!$O$37+'Regie en afroep'!G30</f>
        <v>#DIV/0!</v>
      </c>
      <c r="I30" s="472" t="e">
        <f>H30*Tariefsopbouw!$Q$37+H30</f>
        <v>#DIV/0!</v>
      </c>
    </row>
    <row r="31" spans="1:9" ht="18.75" customHeight="1">
      <c r="A31" s="473"/>
      <c r="B31" s="403" t="s">
        <v>52</v>
      </c>
      <c r="C31" s="403" t="s">
        <v>48</v>
      </c>
      <c r="D31" s="499">
        <v>0</v>
      </c>
      <c r="E31" s="472" t="e">
        <f>InvulRegie[[#This Row],[Prijs excl. BTW]]*Tariefsopbouw!$I$37+InvulRegie[[#This Row],[Prijs excl. BTW]]</f>
        <v>#DIV/0!</v>
      </c>
      <c r="F31" s="472" t="e">
        <f>E31*Tariefsopbouw!$K$37+'Regie en afroep'!E31</f>
        <v>#DIV/0!</v>
      </c>
      <c r="G31" s="472" t="e">
        <f>F31*Tariefsopbouw!$M$37+'Regie en afroep'!F31</f>
        <v>#DIV/0!</v>
      </c>
      <c r="H31" s="472" t="e">
        <f>G31*Tariefsopbouw!$O$37+'Regie en afroep'!G31</f>
        <v>#DIV/0!</v>
      </c>
      <c r="I31" s="472" t="e">
        <f>H31*Tariefsopbouw!$Q$37+H31</f>
        <v>#DIV/0!</v>
      </c>
    </row>
    <row r="32" spans="1:9" ht="18.75" customHeight="1">
      <c r="A32" s="474"/>
      <c r="B32" s="403" t="s">
        <v>45</v>
      </c>
      <c r="C32" s="403" t="s">
        <v>46</v>
      </c>
      <c r="D32" s="499">
        <v>0</v>
      </c>
      <c r="E32" s="472" t="e">
        <f>InvulRegie[[#This Row],[Prijs excl. BTW]]*Tariefsopbouw!$I$37+InvulRegie[[#This Row],[Prijs excl. BTW]]</f>
        <v>#DIV/0!</v>
      </c>
      <c r="F32" s="472" t="e">
        <f>E32*Tariefsopbouw!$K$37+'Regie en afroep'!E32</f>
        <v>#DIV/0!</v>
      </c>
      <c r="G32" s="472" t="e">
        <f>F32*Tariefsopbouw!$M$37+'Regie en afroep'!F32</f>
        <v>#DIV/0!</v>
      </c>
      <c r="H32" s="472" t="e">
        <f>G32*Tariefsopbouw!$O$37+'Regie en afroep'!G32</f>
        <v>#DIV/0!</v>
      </c>
      <c r="I32" s="472" t="e">
        <f>H32*Tariefsopbouw!$Q$37+H32</f>
        <v>#DIV/0!</v>
      </c>
    </row>
    <row r="33" spans="1:9" ht="18.75" customHeight="1">
      <c r="A33" s="475" t="s">
        <v>188</v>
      </c>
      <c r="B33" s="403" t="s">
        <v>53</v>
      </c>
      <c r="C33" s="403" t="s">
        <v>210</v>
      </c>
      <c r="D33" s="499">
        <v>0</v>
      </c>
      <c r="E33" s="472" t="e">
        <f>InvulRegie[[#This Row],[Prijs excl. BTW]]*Tariefsopbouw!$I$37+InvulRegie[[#This Row],[Prijs excl. BTW]]</f>
        <v>#DIV/0!</v>
      </c>
      <c r="F33" s="472" t="e">
        <f>E33*Tariefsopbouw!$K$37+'Regie en afroep'!E33</f>
        <v>#DIV/0!</v>
      </c>
      <c r="G33" s="472" t="e">
        <f>F33*Tariefsopbouw!$M$37+'Regie en afroep'!F33</f>
        <v>#DIV/0!</v>
      </c>
      <c r="H33" s="472" t="e">
        <f>G33*Tariefsopbouw!$O$37+'Regie en afroep'!G33</f>
        <v>#DIV/0!</v>
      </c>
      <c r="I33" s="472" t="e">
        <f>H33*Tariefsopbouw!$Q$37+H33</f>
        <v>#DIV/0!</v>
      </c>
    </row>
    <row r="34" spans="1:9" ht="18.75" customHeight="1">
      <c r="A34" s="476"/>
      <c r="B34" s="403" t="s">
        <v>54</v>
      </c>
      <c r="C34" s="403" t="s">
        <v>55</v>
      </c>
      <c r="D34" s="499">
        <v>0</v>
      </c>
      <c r="E34" s="472" t="e">
        <f>InvulRegie[[#This Row],[Prijs excl. BTW]]*Tariefsopbouw!$I$37+InvulRegie[[#This Row],[Prijs excl. BTW]]</f>
        <v>#DIV/0!</v>
      </c>
      <c r="F34" s="472" t="e">
        <f>E34*Tariefsopbouw!$K$37+'Regie en afroep'!E34</f>
        <v>#DIV/0!</v>
      </c>
      <c r="G34" s="472" t="e">
        <f>F34*Tariefsopbouw!$M$37+'Regie en afroep'!F34</f>
        <v>#DIV/0!</v>
      </c>
      <c r="H34" s="472" t="e">
        <f>G34*Tariefsopbouw!$O$37+'Regie en afroep'!G34</f>
        <v>#DIV/0!</v>
      </c>
      <c r="I34" s="472" t="e">
        <f>H34*Tariefsopbouw!$Q$37+H34</f>
        <v>#DIV/0!</v>
      </c>
    </row>
    <row r="35" spans="1:9" ht="18.75" customHeight="1">
      <c r="A35" s="476"/>
      <c r="B35" s="403" t="s">
        <v>189</v>
      </c>
      <c r="C35" s="403" t="s">
        <v>55</v>
      </c>
      <c r="D35" s="499">
        <v>0</v>
      </c>
      <c r="E35" s="472" t="e">
        <f>InvulRegie[[#This Row],[Prijs excl. BTW]]*Tariefsopbouw!$I$37+InvulRegie[[#This Row],[Prijs excl. BTW]]</f>
        <v>#DIV/0!</v>
      </c>
      <c r="F35" s="472" t="e">
        <f>E35*Tariefsopbouw!$K$37+'Regie en afroep'!E35</f>
        <v>#DIV/0!</v>
      </c>
      <c r="G35" s="472" t="e">
        <f>F35*Tariefsopbouw!$M$37+'Regie en afroep'!F35</f>
        <v>#DIV/0!</v>
      </c>
      <c r="H35" s="472" t="e">
        <f>G35*Tariefsopbouw!$O$37+'Regie en afroep'!G35</f>
        <v>#DIV/0!</v>
      </c>
      <c r="I35" s="472" t="e">
        <f>H35*Tariefsopbouw!$Q$37+H35</f>
        <v>#DIV/0!</v>
      </c>
    </row>
    <row r="36" spans="1:9" ht="18.75" customHeight="1">
      <c r="A36" s="477"/>
      <c r="B36" s="403" t="s">
        <v>190</v>
      </c>
      <c r="C36" s="403" t="s">
        <v>55</v>
      </c>
      <c r="D36" s="499">
        <v>0</v>
      </c>
      <c r="E36" s="472" t="e">
        <f>InvulRegie[[#This Row],[Prijs excl. BTW]]*Tariefsopbouw!$I$37+InvulRegie[[#This Row],[Prijs excl. BTW]]</f>
        <v>#DIV/0!</v>
      </c>
      <c r="F36" s="472" t="e">
        <f>E36*Tariefsopbouw!$K$37+'Regie en afroep'!E36</f>
        <v>#DIV/0!</v>
      </c>
      <c r="G36" s="472" t="e">
        <f>F36*Tariefsopbouw!$M$37+'Regie en afroep'!F36</f>
        <v>#DIV/0!</v>
      </c>
      <c r="H36" s="472" t="e">
        <f>G36*Tariefsopbouw!$O$37+'Regie en afroep'!G36</f>
        <v>#DIV/0!</v>
      </c>
      <c r="I36" s="472" t="e">
        <f>H36*Tariefsopbouw!$Q$37+H36</f>
        <v>#DIV/0!</v>
      </c>
    </row>
    <row r="37" spans="1:9" s="10" customFormat="1" ht="26.25" customHeight="1">
      <c r="A37" s="478"/>
      <c r="B37" s="479" t="s">
        <v>32</v>
      </c>
      <c r="C37" s="479"/>
      <c r="D37" s="479"/>
      <c r="E37" s="479"/>
      <c r="F37" s="479"/>
      <c r="G37" s="479"/>
      <c r="H37" s="479"/>
      <c r="I37" s="479"/>
    </row>
    <row r="38" spans="1:9" ht="18.75" customHeight="1">
      <c r="A38" s="480"/>
      <c r="B38" s="402"/>
      <c r="C38" s="402"/>
      <c r="D38" s="402"/>
      <c r="E38" s="402"/>
      <c r="F38" s="402"/>
      <c r="G38" s="402"/>
      <c r="H38" s="402"/>
      <c r="I38" s="402"/>
    </row>
    <row r="39" spans="1:9" ht="18.75" customHeight="1" thickBot="1">
      <c r="A39" s="480"/>
      <c r="B39" s="402"/>
      <c r="C39" s="402"/>
      <c r="D39" s="402"/>
      <c r="E39" s="402"/>
      <c r="F39" s="402"/>
      <c r="G39" s="402"/>
      <c r="H39" s="402"/>
      <c r="I39" s="402"/>
    </row>
    <row r="40" spans="1:9" ht="15.6">
      <c r="A40" s="481"/>
      <c r="B40" s="482" t="s">
        <v>1577</v>
      </c>
      <c r="C40" s="482"/>
      <c r="D40" s="483"/>
      <c r="E40" s="402"/>
      <c r="F40" s="402"/>
      <c r="G40" s="402"/>
      <c r="H40" s="402"/>
      <c r="I40" s="402"/>
    </row>
    <row r="41" spans="1:9" ht="13.8">
      <c r="A41" s="484"/>
      <c r="B41" s="485"/>
      <c r="C41" s="485"/>
      <c r="D41" s="486"/>
      <c r="E41" s="402"/>
      <c r="F41" s="402"/>
      <c r="G41" s="402"/>
      <c r="H41" s="402"/>
      <c r="I41" s="402"/>
    </row>
    <row r="42" spans="1:9" ht="13.8">
      <c r="A42" s="484"/>
      <c r="B42" s="487" t="s">
        <v>1614</v>
      </c>
      <c r="C42" s="485"/>
      <c r="D42" s="486"/>
      <c r="E42" s="402"/>
      <c r="F42" s="402"/>
      <c r="G42" s="402"/>
      <c r="H42" s="402"/>
      <c r="I42" s="402"/>
    </row>
    <row r="43" spans="1:9" ht="13.8">
      <c r="A43" s="484"/>
      <c r="B43" s="485"/>
      <c r="C43" s="485"/>
      <c r="D43" s="486"/>
      <c r="E43" s="402"/>
      <c r="F43" s="402"/>
      <c r="G43" s="402"/>
      <c r="H43" s="402"/>
      <c r="I43" s="402"/>
    </row>
    <row r="44" spans="1:9" ht="13.8">
      <c r="A44" s="484"/>
      <c r="B44" s="488" t="s">
        <v>1546</v>
      </c>
      <c r="C44" s="485"/>
      <c r="D44" s="486"/>
      <c r="E44" s="402"/>
      <c r="F44" s="402"/>
      <c r="G44" s="402"/>
      <c r="H44" s="402"/>
      <c r="I44" s="402"/>
    </row>
    <row r="45" spans="1:9" ht="13.8">
      <c r="A45" s="484"/>
      <c r="B45" s="485"/>
      <c r="C45" s="485"/>
      <c r="D45" s="486"/>
      <c r="E45" s="402"/>
      <c r="F45" s="402"/>
      <c r="G45" s="402"/>
      <c r="H45" s="402"/>
      <c r="I45" s="402"/>
    </row>
    <row r="46" spans="1:9" ht="13.8">
      <c r="A46" s="489" t="s">
        <v>1547</v>
      </c>
      <c r="B46" s="490" t="s">
        <v>1548</v>
      </c>
      <c r="C46" s="490"/>
      <c r="D46" s="491"/>
      <c r="E46" s="402"/>
      <c r="F46" s="402"/>
      <c r="G46" s="402"/>
      <c r="H46" s="402"/>
      <c r="I46" s="402"/>
    </row>
    <row r="47" spans="1:9" ht="13.8">
      <c r="A47" s="489" t="s">
        <v>1547</v>
      </c>
      <c r="B47" s="490" t="s">
        <v>1549</v>
      </c>
      <c r="C47" s="490" t="s">
        <v>1549</v>
      </c>
      <c r="D47" s="491" t="s">
        <v>1549</v>
      </c>
      <c r="E47" s="402"/>
      <c r="F47" s="402"/>
      <c r="G47" s="402"/>
      <c r="H47" s="402"/>
      <c r="I47" s="402"/>
    </row>
    <row r="48" spans="1:9" ht="13.8">
      <c r="A48" s="489" t="s">
        <v>1547</v>
      </c>
      <c r="B48" s="490" t="s">
        <v>1550</v>
      </c>
      <c r="C48" s="490" t="s">
        <v>1550</v>
      </c>
      <c r="D48" s="491" t="s">
        <v>1550</v>
      </c>
      <c r="E48" s="402"/>
      <c r="F48" s="402"/>
      <c r="G48" s="402"/>
      <c r="H48" s="402"/>
      <c r="I48" s="402"/>
    </row>
    <row r="49" spans="1:9" ht="13.8">
      <c r="A49" s="489" t="s">
        <v>1547</v>
      </c>
      <c r="B49" s="490" t="s">
        <v>1551</v>
      </c>
      <c r="C49" s="490" t="s">
        <v>1551</v>
      </c>
      <c r="D49" s="491" t="s">
        <v>1551</v>
      </c>
      <c r="E49" s="402"/>
      <c r="F49" s="402"/>
      <c r="G49" s="402"/>
      <c r="H49" s="402"/>
      <c r="I49" s="402"/>
    </row>
    <row r="50" spans="1:9" ht="13.8">
      <c r="A50" s="489" t="s">
        <v>1547</v>
      </c>
      <c r="B50" s="490" t="s">
        <v>1552</v>
      </c>
      <c r="C50" s="490" t="s">
        <v>1552</v>
      </c>
      <c r="D50" s="491" t="s">
        <v>1552</v>
      </c>
      <c r="E50" s="402"/>
      <c r="F50" s="402"/>
      <c r="G50" s="402"/>
      <c r="H50" s="402"/>
      <c r="I50" s="402"/>
    </row>
    <row r="51" spans="1:9" ht="13.8">
      <c r="A51" s="489" t="s">
        <v>1547</v>
      </c>
      <c r="B51" s="490" t="s">
        <v>1553</v>
      </c>
      <c r="C51" s="490" t="s">
        <v>1553</v>
      </c>
      <c r="D51" s="491" t="s">
        <v>1553</v>
      </c>
      <c r="E51" s="402"/>
      <c r="F51" s="402"/>
      <c r="G51" s="402"/>
      <c r="H51" s="402"/>
      <c r="I51" s="402"/>
    </row>
    <row r="52" spans="1:9" ht="13.8">
      <c r="A52" s="489" t="s">
        <v>1547</v>
      </c>
      <c r="B52" s="490" t="s">
        <v>1554</v>
      </c>
      <c r="C52" s="490" t="s">
        <v>1554</v>
      </c>
      <c r="D52" s="491" t="s">
        <v>1554</v>
      </c>
      <c r="E52" s="402"/>
      <c r="F52" s="402"/>
      <c r="G52" s="402"/>
      <c r="H52" s="402"/>
      <c r="I52" s="402"/>
    </row>
    <row r="53" spans="1:9" ht="13.8">
      <c r="A53" s="489" t="s">
        <v>1547</v>
      </c>
      <c r="B53" s="490" t="s">
        <v>1555</v>
      </c>
      <c r="C53" s="490" t="s">
        <v>1555</v>
      </c>
      <c r="D53" s="491" t="s">
        <v>1555</v>
      </c>
      <c r="E53" s="402"/>
      <c r="F53" s="402"/>
      <c r="G53" s="402"/>
      <c r="H53" s="402"/>
      <c r="I53" s="402"/>
    </row>
    <row r="54" spans="1:9" ht="13.8">
      <c r="A54" s="489" t="s">
        <v>1547</v>
      </c>
      <c r="B54" s="490" t="s">
        <v>1556</v>
      </c>
      <c r="C54" s="490" t="s">
        <v>1556</v>
      </c>
      <c r="D54" s="491" t="s">
        <v>1556</v>
      </c>
      <c r="E54" s="402"/>
      <c r="F54" s="402"/>
      <c r="G54" s="402"/>
      <c r="H54" s="402"/>
      <c r="I54" s="402"/>
    </row>
    <row r="55" spans="1:9" ht="13.8">
      <c r="A55" s="489" t="s">
        <v>1547</v>
      </c>
      <c r="B55" s="490" t="s">
        <v>1557</v>
      </c>
      <c r="C55" s="490" t="s">
        <v>1557</v>
      </c>
      <c r="D55" s="491" t="s">
        <v>1557</v>
      </c>
      <c r="E55" s="402"/>
      <c r="F55" s="402"/>
      <c r="G55" s="402"/>
      <c r="H55" s="402"/>
      <c r="I55" s="402"/>
    </row>
    <row r="56" spans="1:9" ht="13.8">
      <c r="A56" s="489" t="s">
        <v>1547</v>
      </c>
      <c r="B56" s="490" t="s">
        <v>1558</v>
      </c>
      <c r="C56" s="490" t="s">
        <v>1558</v>
      </c>
      <c r="D56" s="491" t="s">
        <v>1558</v>
      </c>
      <c r="E56" s="402"/>
      <c r="F56" s="402"/>
      <c r="G56" s="402"/>
      <c r="H56" s="402"/>
      <c r="I56" s="402"/>
    </row>
    <row r="57" spans="1:9" ht="13.8">
      <c r="A57" s="489" t="s">
        <v>1547</v>
      </c>
      <c r="B57" s="490" t="s">
        <v>1559</v>
      </c>
      <c r="C57" s="490" t="s">
        <v>1559</v>
      </c>
      <c r="D57" s="491" t="s">
        <v>1559</v>
      </c>
      <c r="E57" s="402"/>
      <c r="F57" s="402"/>
      <c r="G57" s="402"/>
      <c r="H57" s="402"/>
      <c r="I57" s="402"/>
    </row>
    <row r="58" spans="1:9" ht="13.8">
      <c r="A58" s="484"/>
      <c r="B58" s="492"/>
      <c r="C58" s="485"/>
      <c r="D58" s="486"/>
      <c r="E58" s="402"/>
      <c r="F58" s="402"/>
      <c r="G58" s="402"/>
      <c r="H58" s="402"/>
      <c r="I58" s="402"/>
    </row>
    <row r="59" spans="1:9" ht="13.8">
      <c r="A59" s="484"/>
      <c r="B59" s="493" t="s">
        <v>1560</v>
      </c>
      <c r="C59" s="485"/>
      <c r="D59" s="486"/>
      <c r="E59" s="402"/>
      <c r="F59" s="402"/>
      <c r="G59" s="402"/>
      <c r="H59" s="402"/>
      <c r="I59" s="402"/>
    </row>
    <row r="60" spans="1:9" ht="13.8">
      <c r="A60" s="484"/>
      <c r="B60" s="492"/>
      <c r="C60" s="485"/>
      <c r="D60" s="486"/>
      <c r="E60" s="402"/>
      <c r="F60" s="402"/>
      <c r="G60" s="402"/>
      <c r="H60" s="402"/>
      <c r="I60" s="402"/>
    </row>
    <row r="61" spans="1:9" ht="24" customHeight="1">
      <c r="A61" s="489" t="s">
        <v>1547</v>
      </c>
      <c r="B61" s="490" t="s">
        <v>1561</v>
      </c>
      <c r="C61" s="490" t="s">
        <v>1561</v>
      </c>
      <c r="D61" s="491" t="s">
        <v>1561</v>
      </c>
      <c r="E61" s="402"/>
      <c r="F61" s="402"/>
      <c r="G61" s="402"/>
      <c r="H61" s="402"/>
      <c r="I61" s="402"/>
    </row>
    <row r="62" spans="1:9" ht="13.8">
      <c r="A62" s="489" t="s">
        <v>1547</v>
      </c>
      <c r="B62" s="490" t="s">
        <v>1562</v>
      </c>
      <c r="C62" s="490" t="s">
        <v>1562</v>
      </c>
      <c r="D62" s="491" t="s">
        <v>1562</v>
      </c>
      <c r="E62" s="402"/>
      <c r="F62" s="402"/>
      <c r="G62" s="402"/>
      <c r="H62" s="402"/>
      <c r="I62" s="402"/>
    </row>
    <row r="63" spans="1:9" ht="13.8">
      <c r="A63" s="489" t="s">
        <v>1547</v>
      </c>
      <c r="B63" s="490" t="s">
        <v>1563</v>
      </c>
      <c r="C63" s="490" t="s">
        <v>1563</v>
      </c>
      <c r="D63" s="491" t="s">
        <v>1563</v>
      </c>
      <c r="E63" s="402"/>
      <c r="F63" s="402"/>
      <c r="G63" s="402"/>
      <c r="H63" s="402"/>
      <c r="I63" s="402"/>
    </row>
    <row r="64" spans="1:9" ht="13.8">
      <c r="A64" s="489" t="s">
        <v>1547</v>
      </c>
      <c r="B64" s="490" t="s">
        <v>1557</v>
      </c>
      <c r="C64" s="490" t="s">
        <v>1557</v>
      </c>
      <c r="D64" s="491" t="s">
        <v>1557</v>
      </c>
      <c r="E64" s="402"/>
      <c r="F64" s="402"/>
      <c r="G64" s="402"/>
      <c r="H64" s="402"/>
      <c r="I64" s="402"/>
    </row>
    <row r="65" spans="1:9" ht="13.8">
      <c r="A65" s="489" t="s">
        <v>1547</v>
      </c>
      <c r="B65" s="490" t="s">
        <v>1564</v>
      </c>
      <c r="C65" s="490" t="s">
        <v>1564</v>
      </c>
      <c r="D65" s="491" t="s">
        <v>1564</v>
      </c>
      <c r="E65" s="402"/>
      <c r="F65" s="402"/>
      <c r="G65" s="402"/>
      <c r="H65" s="402"/>
      <c r="I65" s="402"/>
    </row>
    <row r="66" spans="1:9" ht="13.8">
      <c r="A66" s="489" t="s">
        <v>1547</v>
      </c>
      <c r="B66" s="490" t="s">
        <v>1565</v>
      </c>
      <c r="C66" s="490" t="s">
        <v>1565</v>
      </c>
      <c r="D66" s="491" t="s">
        <v>1565</v>
      </c>
      <c r="E66" s="402"/>
      <c r="F66" s="402"/>
      <c r="G66" s="402"/>
      <c r="H66" s="402"/>
      <c r="I66" s="402"/>
    </row>
    <row r="67" spans="1:9" ht="13.8">
      <c r="A67" s="489" t="s">
        <v>1547</v>
      </c>
      <c r="B67" s="490" t="s">
        <v>1566</v>
      </c>
      <c r="C67" s="490" t="s">
        <v>1566</v>
      </c>
      <c r="D67" s="491" t="s">
        <v>1566</v>
      </c>
      <c r="E67" s="402"/>
      <c r="F67" s="402"/>
      <c r="G67" s="402"/>
      <c r="H67" s="402"/>
      <c r="I67" s="402"/>
    </row>
    <row r="68" spans="1:9" ht="13.8">
      <c r="A68" s="489" t="s">
        <v>1547</v>
      </c>
      <c r="B68" s="490" t="s">
        <v>1567</v>
      </c>
      <c r="C68" s="490" t="s">
        <v>1567</v>
      </c>
      <c r="D68" s="491" t="s">
        <v>1567</v>
      </c>
      <c r="E68" s="402"/>
      <c r="F68" s="402"/>
      <c r="G68" s="402"/>
      <c r="H68" s="402"/>
      <c r="I68" s="402"/>
    </row>
    <row r="69" spans="1:9" ht="13.8">
      <c r="A69" s="489" t="s">
        <v>1547</v>
      </c>
      <c r="B69" s="490" t="s">
        <v>1568</v>
      </c>
      <c r="C69" s="490" t="s">
        <v>1568</v>
      </c>
      <c r="D69" s="491" t="s">
        <v>1568</v>
      </c>
      <c r="E69" s="402"/>
      <c r="F69" s="402"/>
      <c r="G69" s="402"/>
      <c r="H69" s="402"/>
      <c r="I69" s="402"/>
    </row>
    <row r="70" spans="1:9" ht="13.8">
      <c r="A70" s="484"/>
      <c r="B70" s="485"/>
      <c r="C70" s="485"/>
      <c r="D70" s="486"/>
      <c r="E70" s="402"/>
      <c r="F70" s="402"/>
      <c r="G70" s="402"/>
      <c r="H70" s="402"/>
      <c r="I70" s="402"/>
    </row>
    <row r="71" spans="1:9" ht="13.8">
      <c r="A71" s="484"/>
      <c r="B71" s="493" t="s">
        <v>1569</v>
      </c>
      <c r="C71" s="485"/>
      <c r="D71" s="486"/>
      <c r="E71" s="402"/>
      <c r="F71" s="402"/>
      <c r="G71" s="402"/>
      <c r="H71" s="402"/>
      <c r="I71" s="402"/>
    </row>
    <row r="72" spans="1:9" ht="13.8">
      <c r="A72" s="484"/>
      <c r="B72" s="492"/>
      <c r="C72" s="485"/>
      <c r="D72" s="486"/>
      <c r="E72" s="402"/>
      <c r="F72" s="402"/>
      <c r="G72" s="402"/>
      <c r="H72" s="402"/>
      <c r="I72" s="402"/>
    </row>
    <row r="73" spans="1:9" ht="13.8">
      <c r="A73" s="489" t="s">
        <v>1547</v>
      </c>
      <c r="B73" s="494" t="s">
        <v>1570</v>
      </c>
      <c r="C73" s="494" t="s">
        <v>1570</v>
      </c>
      <c r="D73" s="495" t="s">
        <v>1570</v>
      </c>
      <c r="E73" s="402"/>
      <c r="F73" s="402"/>
      <c r="G73" s="402"/>
      <c r="H73" s="402"/>
      <c r="I73" s="402"/>
    </row>
    <row r="74" spans="1:9" ht="13.8">
      <c r="A74" s="489" t="s">
        <v>1547</v>
      </c>
      <c r="B74" s="494" t="s">
        <v>1571</v>
      </c>
      <c r="C74" s="494" t="s">
        <v>1571</v>
      </c>
      <c r="D74" s="495" t="s">
        <v>1571</v>
      </c>
      <c r="E74" s="402"/>
      <c r="F74" s="402"/>
      <c r="G74" s="402"/>
      <c r="H74" s="402"/>
      <c r="I74" s="402"/>
    </row>
    <row r="75" spans="1:9" ht="13.8">
      <c r="A75" s="489" t="s">
        <v>1547</v>
      </c>
      <c r="B75" s="494" t="s">
        <v>1572</v>
      </c>
      <c r="C75" s="494" t="s">
        <v>1572</v>
      </c>
      <c r="D75" s="495" t="s">
        <v>1572</v>
      </c>
      <c r="E75" s="402"/>
      <c r="F75" s="402"/>
      <c r="G75" s="402"/>
      <c r="H75" s="402"/>
      <c r="I75" s="402"/>
    </row>
    <row r="76" spans="1:9" ht="13.8">
      <c r="A76" s="489" t="s">
        <v>1547</v>
      </c>
      <c r="B76" s="494" t="s">
        <v>1573</v>
      </c>
      <c r="C76" s="494" t="s">
        <v>1573</v>
      </c>
      <c r="D76" s="495" t="s">
        <v>1573</v>
      </c>
      <c r="E76" s="402"/>
      <c r="F76" s="402"/>
      <c r="G76" s="402"/>
      <c r="H76" s="402"/>
      <c r="I76" s="402"/>
    </row>
    <row r="77" spans="1:9" ht="13.8">
      <c r="A77" s="489" t="s">
        <v>1547</v>
      </c>
      <c r="B77" s="494" t="s">
        <v>1574</v>
      </c>
      <c r="C77" s="494" t="s">
        <v>1574</v>
      </c>
      <c r="D77" s="495" t="s">
        <v>1574</v>
      </c>
      <c r="E77" s="402"/>
      <c r="F77" s="402"/>
      <c r="G77" s="402"/>
      <c r="H77" s="402"/>
      <c r="I77" s="402"/>
    </row>
    <row r="78" spans="1:9" ht="13.8">
      <c r="A78" s="489" t="s">
        <v>1547</v>
      </c>
      <c r="B78" s="494" t="s">
        <v>1575</v>
      </c>
      <c r="C78" s="494" t="s">
        <v>1575</v>
      </c>
      <c r="D78" s="495" t="s">
        <v>1575</v>
      </c>
      <c r="E78" s="402"/>
      <c r="F78" s="402"/>
      <c r="G78" s="402"/>
      <c r="H78" s="402"/>
      <c r="I78" s="402"/>
    </row>
    <row r="79" spans="1:9" ht="14.4" thickBot="1">
      <c r="A79" s="496" t="s">
        <v>1547</v>
      </c>
      <c r="B79" s="497" t="s">
        <v>1576</v>
      </c>
      <c r="C79" s="497" t="s">
        <v>1576</v>
      </c>
      <c r="D79" s="498" t="s">
        <v>1576</v>
      </c>
      <c r="E79" s="402"/>
      <c r="F79" s="402"/>
      <c r="G79" s="402"/>
      <c r="H79" s="402"/>
      <c r="I79" s="402"/>
    </row>
  </sheetData>
  <sheetProtection algorithmName="SHA-512" hashValue="Y4/Fiv8/vn/mT4wdFHeCwZnwSCoZbhk8nBkBw2MDbVlhGjjwGyui+WYWn2wOAURmrLryC95s6MTTNWZFGiNqxg==" saltValue="u0ls2WJFwmmDZrQqkb4f/w==" spinCount="100000" sheet="1" objects="1" scenarios="1" autoFilter="0"/>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6"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28"/>
  <sheetViews>
    <sheetView showGridLines="0" view="pageBreakPreview" zoomScaleNormal="100" zoomScaleSheetLayoutView="100" workbookViewId="0">
      <selection activeCell="H7" sqref="H7"/>
    </sheetView>
  </sheetViews>
  <sheetFormatPr defaultColWidth="9.109375" defaultRowHeight="18.75" customHeight="1"/>
  <cols>
    <col min="1" max="1" width="13.6640625" style="146" customWidth="1"/>
    <col min="2" max="2" width="31.5546875" style="145" customWidth="1"/>
    <col min="3" max="5" width="23.33203125" style="146" customWidth="1"/>
    <col min="6" max="6" width="23.5546875" style="146" customWidth="1"/>
    <col min="7" max="7" width="23.33203125" style="146" customWidth="1"/>
    <col min="8" max="8" width="22.6640625" style="147" customWidth="1"/>
    <col min="9" max="9" width="20.5546875" style="146" customWidth="1"/>
    <col min="10" max="10" width="15.88671875" style="146" customWidth="1"/>
    <col min="11" max="16384" width="9.109375" style="146"/>
  </cols>
  <sheetData>
    <row r="1" spans="1:8" s="26" customFormat="1" ht="17.25" customHeight="1">
      <c r="A1" s="284" t="s">
        <v>201</v>
      </c>
      <c r="B1" s="284"/>
      <c r="C1" s="284"/>
      <c r="D1" s="284"/>
      <c r="E1" s="284"/>
      <c r="F1" s="284"/>
      <c r="G1" s="284"/>
      <c r="H1" s="144"/>
    </row>
    <row r="2" spans="1:8" s="26" customFormat="1" ht="15" customHeight="1">
      <c r="A2" s="287"/>
      <c r="B2" s="285"/>
      <c r="C2" s="285"/>
      <c r="D2" s="285"/>
      <c r="E2" s="285"/>
      <c r="F2" s="285"/>
      <c r="G2" s="285"/>
      <c r="H2" s="144"/>
    </row>
    <row r="3" spans="1:8" s="28" customFormat="1" ht="12">
      <c r="B3" s="32"/>
      <c r="H3" s="144"/>
    </row>
    <row r="4" spans="1:8" ht="12">
      <c r="A4" s="145"/>
      <c r="B4" s="146"/>
    </row>
    <row r="5" spans="1:8" ht="12">
      <c r="A5" s="36" t="s">
        <v>209</v>
      </c>
      <c r="B5" s="146"/>
    </row>
    <row r="6" spans="1:8" s="148" customFormat="1" ht="25.5" customHeight="1">
      <c r="A6" s="251" t="s">
        <v>197</v>
      </c>
      <c r="B6" s="252" t="s">
        <v>135</v>
      </c>
      <c r="C6" s="251" t="s">
        <v>162</v>
      </c>
      <c r="D6" s="253" t="s">
        <v>163</v>
      </c>
      <c r="E6" s="253" t="s">
        <v>1261</v>
      </c>
      <c r="F6" s="251" t="s">
        <v>164</v>
      </c>
    </row>
    <row r="7" spans="1:8" s="148" customFormat="1" ht="18.75" customHeight="1">
      <c r="A7" s="5">
        <v>1</v>
      </c>
      <c r="B7" s="3" t="str">
        <f>VLOOKUP(Samenvattingschoonmaak[[#This Row],[Code Locatie]],Locaties[],2,0)</f>
        <v>Jansstraat en Janskerk</v>
      </c>
      <c r="C7" s="149">
        <f>SUMIF('Ruimtestaat'!$A:$A,Totalisatie!$A7,'Ruimtestaat'!$N:$N)</f>
        <v>1534.0600000000004</v>
      </c>
      <c r="D7" s="150">
        <f>SUMIF('Ruimtestaat'!$A:$A,Totalisatie!$A7,'Ruimtestaat'!$AE:$AE)</f>
        <v>0</v>
      </c>
      <c r="E7" s="151">
        <f>SUMIF('Ruimtestaat'!$A:$A,Totalisatie!$A7,'Ruimtestaat'!$AF:$AF)</f>
        <v>0</v>
      </c>
      <c r="F7" s="152">
        <f t="shared" ref="F7:F8" si="0">IF(C7=0,0,E7/C7)</f>
        <v>0</v>
      </c>
    </row>
    <row r="8" spans="1:8" s="148" customFormat="1" ht="18.75" customHeight="1">
      <c r="A8" s="5">
        <v>2</v>
      </c>
      <c r="B8" s="3" t="str">
        <f>VLOOKUP(Samenvattingschoonmaak[[#This Row],[Code Locatie]],Locaties[],2,0)</f>
        <v>Kleine Houtweg</v>
      </c>
      <c r="C8" s="149">
        <f>SUMIF('Ruimtestaat'!$A:$A,Totalisatie!$A8,'Ruimtestaat'!$N:$N)</f>
        <v>825.90000000000009</v>
      </c>
      <c r="D8" s="150">
        <f>SUMIF('Ruimtestaat'!$A:$A,Totalisatie!$A8,'Ruimtestaat'!$AE:$AE)</f>
        <v>0</v>
      </c>
      <c r="E8" s="151">
        <f>SUMIF('Ruimtestaat'!$A:$A,Totalisatie!$A8,'Ruimtestaat'!$AF:$AF)</f>
        <v>0</v>
      </c>
      <c r="F8" s="152">
        <f t="shared" si="0"/>
        <v>0</v>
      </c>
    </row>
    <row r="9" spans="1:8" s="148" customFormat="1" ht="18.75" customHeight="1">
      <c r="A9" s="153"/>
      <c r="B9" s="154" t="s">
        <v>32</v>
      </c>
      <c r="C9" s="155">
        <f>SUBTOTAL(109,Samenvattingschoonmaak[Oppervlakte i/o])</f>
        <v>2359.9600000000005</v>
      </c>
      <c r="D9" s="156">
        <f>SUBTOTAL(109,Samenvattingschoonmaak[Uren / jaar])</f>
        <v>0</v>
      </c>
      <c r="E9" s="157">
        <f>SUBTOTAL(109,Samenvattingschoonmaak[Kosten / jaar excl btw])</f>
        <v>0</v>
      </c>
      <c r="F9" s="158">
        <f>Samenvattingschoonmaak[[#Totals],[Kosten / jaar excl btw]]/Samenvattingschoonmaak[[#Totals],[Oppervlakte i/o]]</f>
        <v>0</v>
      </c>
    </row>
    <row r="10" spans="1:8" ht="18.75" customHeight="1">
      <c r="A10" s="145"/>
      <c r="B10" s="146"/>
    </row>
    <row r="11" spans="1:8" ht="18.75" customHeight="1">
      <c r="A11" s="36" t="s">
        <v>165</v>
      </c>
      <c r="B11" s="159"/>
      <c r="C11" s="159"/>
      <c r="D11" s="159"/>
      <c r="E11" s="159"/>
      <c r="F11" s="159"/>
    </row>
    <row r="12" spans="1:8" ht="36.75" customHeight="1">
      <c r="A12" s="251" t="s">
        <v>197</v>
      </c>
      <c r="B12" s="252" t="s">
        <v>202</v>
      </c>
      <c r="C12" s="251" t="s">
        <v>1287</v>
      </c>
      <c r="D12" s="253" t="s">
        <v>1288</v>
      </c>
      <c r="E12" s="253" t="s">
        <v>1289</v>
      </c>
      <c r="F12" s="251" t="s">
        <v>1579</v>
      </c>
      <c r="G12" s="254" t="s">
        <v>1578</v>
      </c>
      <c r="H12" s="255" t="s">
        <v>1290</v>
      </c>
    </row>
    <row r="13" spans="1:8" ht="18.75" customHeight="1">
      <c r="A13" s="5">
        <v>1</v>
      </c>
      <c r="B13" s="3" t="str">
        <f>VLOOKUP(Totalisatie[[#This Row],[Code Locatie]],Locaties[],2,0)</f>
        <v>Jansstraat en Janskerk</v>
      </c>
      <c r="C13" s="151">
        <f ca="1">SUMIF(Ruimtestaat[#All],Totalisatie[[#This Row],[Code Locatie]],Ruimtestaat[[#All],[kosten / jaar excl btw]])</f>
        <v>0</v>
      </c>
      <c r="D13" s="160">
        <f ca="1">SUMIF(OverzichtVloer20[[#All],[Code Locatie]:[Kosten/jaar excl. BTW]],Totalisatie[[#This Row],[Code Locatie]],OverzichtVloer20[[#Headers],[#Data],[Kosten/jaar excl. BTW]])</f>
        <v>0</v>
      </c>
      <c r="E13" s="160">
        <f ca="1">SUMIF(Overzichtextrawerkz.[[#All],[Code Locatie]:[Kosten/jaar excl. BTW]],Totalisatie[[#This Row],[Code Locatie]],Overzichtextrawerkz.[[#All],[Kosten/jaar excl. BTW]])</f>
        <v>0</v>
      </c>
      <c r="F13" s="160">
        <f ca="1">SUMIF(OverzichtGlas[[Code Locatie]:[Kosten/jaar excl. BTW]],Totalisatie[[#This Row],[Code Locatie]],OverzichtGlas[Kosten/jaar excl. BTW])</f>
        <v>0</v>
      </c>
      <c r="G13" s="160">
        <f ca="1">SUMIF(Sanitair2[[#All],[Code Locatie]:[Kosten/jaar excl. BTW]],Totalisatie[[#This Row],[Code Locatie]],Sanitair2[[#All],[Kosten/jaar excl. BTW]])</f>
        <v>0</v>
      </c>
      <c r="H13" s="151">
        <f ca="1">SUM(Totalisatie[[#This Row],[Schoonmaakonderhoud
Kosten / jaar excl btw]:[Sanitaire voorzieningen kosten/ jaar excl. Btw2]])</f>
        <v>0</v>
      </c>
    </row>
    <row r="14" spans="1:8" ht="18.75" customHeight="1">
      <c r="A14" s="5">
        <v>2</v>
      </c>
      <c r="B14" s="3" t="str">
        <f>VLOOKUP(Totalisatie[[#This Row],[Code Locatie]],Locaties[],2,0)</f>
        <v>Kleine Houtweg</v>
      </c>
      <c r="C14" s="151">
        <f ca="1">SUMIF(Ruimtestaat[#All],Totalisatie[[#This Row],[Code Locatie]],Ruimtestaat[[#All],[kosten / jaar excl btw]])</f>
        <v>0</v>
      </c>
      <c r="D14" s="160">
        <f ca="1">SUMIF(OverzichtVloer20[[#All],[Code Locatie]:[Kosten/jaar excl. BTW]],Totalisatie[[#This Row],[Code Locatie]],OverzichtVloer20[[#Headers],[#Data],[Kosten/jaar excl. BTW]])</f>
        <v>0</v>
      </c>
      <c r="E14" s="160">
        <f ca="1">SUMIF(Overzichtextrawerkz.[[#All],[Code Locatie]:[Kosten/jaar excl. BTW]],Totalisatie[[#This Row],[Code Locatie]],Overzichtextrawerkz.[[#All],[Kosten/jaar excl. BTW]])</f>
        <v>0</v>
      </c>
      <c r="F14" s="160">
        <f ca="1">SUMIF(OverzichtGlas[[Code Locatie]:[Kosten/jaar excl. BTW]],Totalisatie[[#This Row],[Code Locatie]],OverzichtGlas[Kosten/jaar excl. BTW])</f>
        <v>0</v>
      </c>
      <c r="G14" s="160">
        <f ca="1">SUMIF(Sanitair2[[#All],[Code Locatie]:[Kosten/jaar excl. BTW]],Totalisatie[[#This Row],[Code Locatie]],Sanitair2[[#All],[Kosten/jaar excl. BTW]])</f>
        <v>0</v>
      </c>
      <c r="H14" s="151">
        <f ca="1">SUM(Totalisatie[[#This Row],[Schoonmaakonderhoud
Kosten / jaar excl btw]:[Sanitaire voorzieningen kosten/ jaar excl. Btw2]])</f>
        <v>0</v>
      </c>
    </row>
    <row r="15" spans="1:8" ht="18.75" customHeight="1">
      <c r="A15" s="153"/>
      <c r="B15" s="154" t="s">
        <v>32</v>
      </c>
      <c r="C15" s="157">
        <f ca="1">SUBTOTAL(109,Totalisatie[Schoonmaakonderhoud
Kosten / jaar excl btw])</f>
        <v>0</v>
      </c>
      <c r="D15" s="157">
        <f ca="1">SUBTOTAL(109,Totalisatie[Vloeronderhoud
Kosten / jaar excl btw])</f>
        <v>0</v>
      </c>
      <c r="E15" s="157">
        <f ca="1">SUBTOTAL(109,Totalisatie[Extra werkzaamheden kosten/ jaar excl. btw])</f>
        <v>0</v>
      </c>
      <c r="F15" s="157">
        <f ca="1">SUBTOTAL(109,Totalisatie[Glasbewassing kosten/ jaar excl. Btw])</f>
        <v>0</v>
      </c>
      <c r="G15" s="157">
        <f ca="1">SUBTOTAL(109,Totalisatie[Sanitaire voorzieningen kosten/ jaar excl. Btw2])</f>
        <v>0</v>
      </c>
      <c r="H15" s="157">
        <f ca="1">SUBTOTAL(109,Totalisatie[Totaalprijs
Kosten / jaar excl. btw])</f>
        <v>0</v>
      </c>
    </row>
    <row r="16" spans="1:8" ht="18.75" customHeight="1">
      <c r="A16" s="145"/>
      <c r="B16" s="146"/>
      <c r="C16" s="161"/>
      <c r="D16" s="162"/>
      <c r="E16" s="162"/>
      <c r="F16" s="162"/>
      <c r="G16" s="162"/>
    </row>
    <row r="17" spans="1:7" ht="18.75" customHeight="1">
      <c r="A17" s="145"/>
      <c r="B17" s="146"/>
    </row>
    <row r="18" spans="1:7" ht="12">
      <c r="A18" s="36" t="s">
        <v>203</v>
      </c>
      <c r="B18" s="146"/>
    </row>
    <row r="19" spans="1:7" ht="18.75" customHeight="1">
      <c r="A19" s="288" t="s">
        <v>207</v>
      </c>
      <c r="B19" s="289"/>
      <c r="C19" s="500"/>
      <c r="D19" s="500"/>
      <c r="E19" s="500"/>
      <c r="F19" s="500"/>
      <c r="G19" s="501"/>
    </row>
    <row r="20" spans="1:7" ht="18.75" customHeight="1">
      <c r="A20" s="163" t="s">
        <v>122</v>
      </c>
      <c r="B20" s="502" t="s">
        <v>212</v>
      </c>
      <c r="C20" s="503"/>
      <c r="D20" s="163" t="s">
        <v>122</v>
      </c>
      <c r="E20" s="502" t="s">
        <v>212</v>
      </c>
      <c r="F20" s="506"/>
      <c r="G20" s="503"/>
    </row>
    <row r="21" spans="1:7" ht="18.75" customHeight="1">
      <c r="A21" s="164" t="s">
        <v>204</v>
      </c>
      <c r="B21" s="504" t="s">
        <v>212</v>
      </c>
      <c r="C21" s="505"/>
      <c r="D21" s="164" t="s">
        <v>204</v>
      </c>
      <c r="E21" s="504" t="s">
        <v>212</v>
      </c>
      <c r="F21" s="507"/>
      <c r="G21" s="505"/>
    </row>
    <row r="22" spans="1:7" ht="18.75" customHeight="1">
      <c r="A22" s="163" t="s">
        <v>205</v>
      </c>
      <c r="B22" s="502" t="s">
        <v>212</v>
      </c>
      <c r="C22" s="503"/>
      <c r="D22" s="163" t="s">
        <v>205</v>
      </c>
      <c r="E22" s="502" t="s">
        <v>212</v>
      </c>
      <c r="F22" s="506"/>
      <c r="G22" s="503"/>
    </row>
    <row r="23" spans="1:7" ht="37.5" customHeight="1">
      <c r="A23" s="164" t="s">
        <v>206</v>
      </c>
      <c r="B23" s="504" t="s">
        <v>212</v>
      </c>
      <c r="C23" s="505"/>
      <c r="D23" s="164" t="s">
        <v>206</v>
      </c>
      <c r="E23" s="508" t="s">
        <v>212</v>
      </c>
      <c r="F23" s="509"/>
      <c r="G23" s="510"/>
    </row>
    <row r="24" spans="1:7" ht="18.75" customHeight="1">
      <c r="A24" s="163" t="s">
        <v>1615</v>
      </c>
      <c r="B24" s="165"/>
      <c r="C24" s="166"/>
      <c r="D24" s="167"/>
      <c r="E24" s="168"/>
      <c r="F24" s="168"/>
      <c r="G24" s="169"/>
    </row>
    <row r="27" spans="1:7" ht="18.75" customHeight="1">
      <c r="E27" s="170"/>
    </row>
    <row r="28" spans="1:7" ht="18.75" customHeight="1">
      <c r="E28" s="162"/>
    </row>
  </sheetData>
  <sheetProtection algorithmName="SHA-512" hashValue="Ot7YardxGWNbjaCXJSRHXAYLMFmzm2fd1JHjCfQc6dYYQW25hIZ4hhpvqhDRdQ+TIPepMNCKYalnkEy4rrwmzg==" saltValue="QY1pDxsNqA7t97nT4REB/Q==" spinCount="100000" sheet="1" objects="1" scenarios="1" autoFilter="0"/>
  <mergeCells count="12">
    <mergeCell ref="A1:G1"/>
    <mergeCell ref="A2:G2"/>
    <mergeCell ref="E23:G23"/>
    <mergeCell ref="A19:B19"/>
    <mergeCell ref="C19:G19"/>
    <mergeCell ref="B20:C20"/>
    <mergeCell ref="B21:C21"/>
    <mergeCell ref="B22:C22"/>
    <mergeCell ref="B23:C23"/>
    <mergeCell ref="E20:G20"/>
    <mergeCell ref="E21:G21"/>
    <mergeCell ref="E22:G22"/>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6"/>
  <sheetViews>
    <sheetView view="pageBreakPreview" zoomScaleNormal="100" zoomScaleSheetLayoutView="100" workbookViewId="0">
      <selection activeCell="D18" sqref="D18"/>
    </sheetView>
  </sheetViews>
  <sheetFormatPr defaultColWidth="9" defaultRowHeight="13.8"/>
  <cols>
    <col min="1" max="1" width="19.44140625" style="26" customWidth="1"/>
    <col min="2" max="2" width="103.6640625" style="26" bestFit="1" customWidth="1"/>
    <col min="3" max="16384" width="9" style="13"/>
  </cols>
  <sheetData>
    <row r="1" spans="1:2" ht="25.8">
      <c r="A1" s="198" t="s">
        <v>1245</v>
      </c>
      <c r="B1" s="12"/>
    </row>
    <row r="2" spans="1:2">
      <c r="A2" s="12"/>
      <c r="B2" s="14"/>
    </row>
    <row r="3" spans="1:2">
      <c r="A3" s="178" t="s">
        <v>1246</v>
      </c>
      <c r="B3" s="178" t="s">
        <v>1203</v>
      </c>
    </row>
    <row r="4" spans="1:2">
      <c r="A4" s="179" t="s">
        <v>259</v>
      </c>
      <c r="B4" s="180"/>
    </row>
    <row r="5" spans="1:2">
      <c r="A5" s="181"/>
      <c r="B5" s="182" t="s">
        <v>1306</v>
      </c>
    </row>
    <row r="6" spans="1:2">
      <c r="A6" s="181"/>
      <c r="B6" s="182" t="s">
        <v>1204</v>
      </c>
    </row>
    <row r="7" spans="1:2">
      <c r="A7" s="181"/>
      <c r="B7" s="182" t="s">
        <v>1307</v>
      </c>
    </row>
    <row r="8" spans="1:2">
      <c r="A8" s="181"/>
      <c r="B8" s="182" t="s">
        <v>1308</v>
      </c>
    </row>
    <row r="9" spans="1:2">
      <c r="A9" s="183" t="s">
        <v>260</v>
      </c>
      <c r="B9" s="184"/>
    </row>
    <row r="10" spans="1:2">
      <c r="A10" s="181"/>
      <c r="B10" s="182" t="s">
        <v>1499</v>
      </c>
    </row>
    <row r="11" spans="1:2">
      <c r="A11" s="181"/>
      <c r="B11" s="182" t="s">
        <v>1309</v>
      </c>
    </row>
    <row r="12" spans="1:2">
      <c r="A12" s="183" t="s">
        <v>261</v>
      </c>
      <c r="B12" s="184"/>
    </row>
    <row r="13" spans="1:2">
      <c r="A13" s="181"/>
      <c r="B13" s="182" t="s">
        <v>1310</v>
      </c>
    </row>
    <row r="14" spans="1:2">
      <c r="A14" s="181"/>
      <c r="B14" s="182" t="s">
        <v>1311</v>
      </c>
    </row>
    <row r="15" spans="1:2">
      <c r="A15" s="183" t="s">
        <v>262</v>
      </c>
      <c r="B15" s="184"/>
    </row>
    <row r="16" spans="1:2">
      <c r="A16" s="181"/>
      <c r="B16" s="182" t="s">
        <v>1312</v>
      </c>
    </row>
    <row r="17" spans="1:2">
      <c r="A17" s="181"/>
      <c r="B17" s="182" t="s">
        <v>1311</v>
      </c>
    </row>
    <row r="18" spans="1:2">
      <c r="A18" s="183" t="s">
        <v>263</v>
      </c>
      <c r="B18" s="184"/>
    </row>
    <row r="19" spans="1:2">
      <c r="A19" s="181"/>
      <c r="B19" s="182" t="s">
        <v>1500</v>
      </c>
    </row>
    <row r="20" spans="1:2">
      <c r="A20" s="183" t="s">
        <v>264</v>
      </c>
      <c r="B20" s="185" t="s">
        <v>1258</v>
      </c>
    </row>
    <row r="21" spans="1:2">
      <c r="A21" s="181"/>
      <c r="B21" s="182" t="s">
        <v>1501</v>
      </c>
    </row>
    <row r="22" spans="1:2">
      <c r="A22" s="181"/>
      <c r="B22" s="182" t="s">
        <v>1502</v>
      </c>
    </row>
    <row r="23" spans="1:2">
      <c r="A23" s="181"/>
      <c r="B23" s="182" t="s">
        <v>1503</v>
      </c>
    </row>
    <row r="24" spans="1:2">
      <c r="A24" s="183" t="s">
        <v>265</v>
      </c>
      <c r="B24" s="184" t="s">
        <v>1258</v>
      </c>
    </row>
    <row r="25" spans="1:2">
      <c r="A25" s="181"/>
      <c r="B25" s="181" t="s">
        <v>1504</v>
      </c>
    </row>
    <row r="26" spans="1:2">
      <c r="A26" s="181"/>
      <c r="B26" s="181" t="s">
        <v>1505</v>
      </c>
    </row>
    <row r="27" spans="1:2">
      <c r="A27" s="181"/>
      <c r="B27" s="181"/>
    </row>
    <row r="28" spans="1:2">
      <c r="A28" s="181"/>
      <c r="B28" s="181" t="s">
        <v>1205</v>
      </c>
    </row>
    <row r="29" spans="1:2">
      <c r="A29" s="181"/>
      <c r="B29" s="181" t="s">
        <v>1247</v>
      </c>
    </row>
    <row r="30" spans="1:2">
      <c r="A30" s="183" t="s">
        <v>266</v>
      </c>
      <c r="B30" s="185" t="s">
        <v>1206</v>
      </c>
    </row>
    <row r="31" spans="1:2">
      <c r="A31" s="186"/>
      <c r="B31" s="187" t="s">
        <v>1248</v>
      </c>
    </row>
    <row r="32" spans="1:2">
      <c r="A32" s="188"/>
      <c r="B32" s="189"/>
    </row>
    <row r="33" spans="1:2">
      <c r="A33" s="190" t="s">
        <v>1207</v>
      </c>
      <c r="B33" s="191"/>
    </row>
    <row r="34" spans="1:2">
      <c r="A34" s="192" t="s">
        <v>267</v>
      </c>
      <c r="B34" s="193"/>
    </row>
    <row r="35" spans="1:2">
      <c r="A35" s="181"/>
      <c r="B35" s="194" t="s">
        <v>1250</v>
      </c>
    </row>
    <row r="36" spans="1:2">
      <c r="A36" s="181" t="s">
        <v>1251</v>
      </c>
      <c r="B36" s="194"/>
    </row>
    <row r="37" spans="1:2">
      <c r="A37" s="181"/>
      <c r="B37" s="182" t="s">
        <v>1506</v>
      </c>
    </row>
    <row r="38" spans="1:2">
      <c r="A38" s="181"/>
      <c r="B38" s="182" t="s">
        <v>1507</v>
      </c>
    </row>
    <row r="39" spans="1:2">
      <c r="A39" s="181"/>
      <c r="B39" s="182" t="s">
        <v>1622</v>
      </c>
    </row>
    <row r="40" spans="1:2">
      <c r="A40" s="181"/>
      <c r="B40" s="182" t="s">
        <v>1508</v>
      </c>
    </row>
    <row r="41" spans="1:2">
      <c r="A41" s="181"/>
      <c r="B41" s="182" t="s">
        <v>1509</v>
      </c>
    </row>
    <row r="42" spans="1:2">
      <c r="A42" s="181"/>
      <c r="B42" s="182" t="s">
        <v>1510</v>
      </c>
    </row>
    <row r="43" spans="1:2">
      <c r="A43" s="181"/>
      <c r="B43" s="182" t="s">
        <v>1511</v>
      </c>
    </row>
    <row r="44" spans="1:2">
      <c r="A44" s="181"/>
      <c r="B44" s="182" t="s">
        <v>1512</v>
      </c>
    </row>
    <row r="45" spans="1:2">
      <c r="A45" s="181"/>
      <c r="B45" s="182" t="s">
        <v>1513</v>
      </c>
    </row>
    <row r="46" spans="1:2">
      <c r="A46" s="181"/>
      <c r="B46" s="181" t="s">
        <v>1514</v>
      </c>
    </row>
    <row r="47" spans="1:2">
      <c r="A47" s="181"/>
      <c r="B47" s="182" t="s">
        <v>1515</v>
      </c>
    </row>
    <row r="48" spans="1:2">
      <c r="A48" s="181"/>
      <c r="B48" s="182" t="s">
        <v>1516</v>
      </c>
    </row>
    <row r="49" spans="1:2">
      <c r="A49" s="192" t="s">
        <v>268</v>
      </c>
      <c r="B49" s="195"/>
    </row>
    <row r="50" spans="1:2">
      <c r="A50" s="181" t="s">
        <v>1252</v>
      </c>
      <c r="B50" s="182" t="s">
        <v>1517</v>
      </c>
    </row>
    <row r="51" spans="1:2">
      <c r="A51" s="181"/>
      <c r="B51" s="182" t="s">
        <v>1208</v>
      </c>
    </row>
    <row r="52" spans="1:2">
      <c r="A52" s="192" t="s">
        <v>269</v>
      </c>
      <c r="B52" s="195"/>
    </row>
    <row r="53" spans="1:2">
      <c r="A53" s="181"/>
      <c r="B53" s="181" t="s">
        <v>1518</v>
      </c>
    </row>
    <row r="54" spans="1:2" ht="24.6">
      <c r="A54" s="181"/>
      <c r="B54" s="194" t="s">
        <v>1519</v>
      </c>
    </row>
    <row r="55" spans="1:2">
      <c r="A55" s="181"/>
      <c r="B55" s="194" t="s">
        <v>1520</v>
      </c>
    </row>
    <row r="56" spans="1:2">
      <c r="A56" s="181"/>
      <c r="B56" s="181" t="s">
        <v>1521</v>
      </c>
    </row>
    <row r="57" spans="1:2">
      <c r="A57" s="192" t="s">
        <v>270</v>
      </c>
      <c r="B57" s="195"/>
    </row>
    <row r="58" spans="1:2">
      <c r="A58" s="181"/>
      <c r="B58" s="181" t="s">
        <v>1209</v>
      </c>
    </row>
    <row r="59" spans="1:2">
      <c r="A59" s="181"/>
      <c r="B59" s="181" t="s">
        <v>1210</v>
      </c>
    </row>
    <row r="60" spans="1:2" ht="24.6">
      <c r="A60" s="181"/>
      <c r="B60" s="194" t="s">
        <v>1211</v>
      </c>
    </row>
    <row r="61" spans="1:2">
      <c r="A61" s="192" t="s">
        <v>271</v>
      </c>
      <c r="B61" s="195"/>
    </row>
    <row r="62" spans="1:2">
      <c r="A62" s="181"/>
      <c r="B62" s="194" t="s">
        <v>1522</v>
      </c>
    </row>
    <row r="63" spans="1:2">
      <c r="A63" s="181"/>
      <c r="B63" s="194" t="s">
        <v>1523</v>
      </c>
    </row>
    <row r="64" spans="1:2">
      <c r="A64" s="181"/>
      <c r="B64" s="182" t="s">
        <v>1524</v>
      </c>
    </row>
    <row r="65" spans="1:2">
      <c r="A65" s="192" t="s">
        <v>272</v>
      </c>
      <c r="B65" s="195"/>
    </row>
    <row r="66" spans="1:2">
      <c r="A66" s="181"/>
      <c r="B66" s="181" t="s">
        <v>1525</v>
      </c>
    </row>
    <row r="67" spans="1:2">
      <c r="A67" s="181"/>
      <c r="B67" s="194" t="s">
        <v>1526</v>
      </c>
    </row>
    <row r="68" spans="1:2">
      <c r="A68" s="192" t="s">
        <v>273</v>
      </c>
      <c r="B68" s="195"/>
    </row>
    <row r="69" spans="1:2">
      <c r="A69" s="181"/>
      <c r="B69" s="194" t="s">
        <v>1527</v>
      </c>
    </row>
    <row r="70" spans="1:2">
      <c r="A70" s="181"/>
      <c r="B70" s="194" t="s">
        <v>1528</v>
      </c>
    </row>
    <row r="71" spans="1:2">
      <c r="A71" s="192" t="s">
        <v>274</v>
      </c>
      <c r="B71" s="196" t="s">
        <v>1212</v>
      </c>
    </row>
    <row r="72" spans="1:2">
      <c r="A72" s="186"/>
      <c r="B72" s="197" t="s">
        <v>1529</v>
      </c>
    </row>
    <row r="73" spans="1:2">
      <c r="A73" s="188"/>
      <c r="B73" s="189"/>
    </row>
    <row r="74" spans="1:2">
      <c r="A74" s="188"/>
      <c r="B74" s="189"/>
    </row>
    <row r="75" spans="1:2">
      <c r="A75" s="190" t="s">
        <v>1253</v>
      </c>
      <c r="B75" s="189"/>
    </row>
    <row r="76" spans="1:2">
      <c r="A76" s="199" t="s">
        <v>1249</v>
      </c>
      <c r="B76" s="200"/>
    </row>
    <row r="77" spans="1:2">
      <c r="A77" s="201" t="s">
        <v>275</v>
      </c>
      <c r="B77" s="202"/>
    </row>
    <row r="78" spans="1:2">
      <c r="A78" s="203"/>
      <c r="B78" s="194" t="s">
        <v>1213</v>
      </c>
    </row>
    <row r="79" spans="1:2">
      <c r="A79" s="203"/>
      <c r="B79" s="181" t="s">
        <v>1530</v>
      </c>
    </row>
    <row r="80" spans="1:2">
      <c r="A80" s="203"/>
      <c r="B80" s="181" t="s">
        <v>1531</v>
      </c>
    </row>
    <row r="81" spans="1:2">
      <c r="A81" s="203"/>
      <c r="B81" s="181" t="s">
        <v>1214</v>
      </c>
    </row>
    <row r="82" spans="1:2">
      <c r="A82" s="203"/>
      <c r="B82" s="194" t="s">
        <v>1532</v>
      </c>
    </row>
    <row r="83" spans="1:2">
      <c r="A83" s="203"/>
      <c r="B83" s="194" t="s">
        <v>1533</v>
      </c>
    </row>
    <row r="84" spans="1:2">
      <c r="A84" s="204" t="s">
        <v>276</v>
      </c>
      <c r="B84" s="205"/>
    </row>
    <row r="85" spans="1:2">
      <c r="A85" s="203"/>
      <c r="B85" s="181" t="s">
        <v>1216</v>
      </c>
    </row>
    <row r="86" spans="1:2">
      <c r="A86" s="203"/>
      <c r="B86" s="194" t="s">
        <v>1534</v>
      </c>
    </row>
    <row r="87" spans="1:2">
      <c r="A87" s="204" t="s">
        <v>277</v>
      </c>
      <c r="B87" s="204" t="s">
        <v>1535</v>
      </c>
    </row>
    <row r="88" spans="1:2">
      <c r="A88" s="181"/>
      <c r="B88" s="181" t="s">
        <v>1217</v>
      </c>
    </row>
    <row r="89" spans="1:2">
      <c r="A89" s="181"/>
      <c r="B89" s="194" t="s">
        <v>1213</v>
      </c>
    </row>
    <row r="90" spans="1:2">
      <c r="A90" s="181"/>
      <c r="B90" s="181" t="s">
        <v>1214</v>
      </c>
    </row>
    <row r="91" spans="1:2">
      <c r="A91" s="181"/>
      <c r="B91" s="194" t="s">
        <v>1215</v>
      </c>
    </row>
    <row r="92" spans="1:2">
      <c r="A92" s="186"/>
      <c r="B92" s="197"/>
    </row>
    <row r="93" spans="1:2">
      <c r="A93" s="206"/>
      <c r="B93" s="207"/>
    </row>
    <row r="94" spans="1:2" ht="15.6">
      <c r="A94" s="208" t="s">
        <v>1231</v>
      </c>
      <c r="B94" s="209"/>
    </row>
    <row r="95" spans="1:2" ht="15.6">
      <c r="A95" s="210" t="s">
        <v>1254</v>
      </c>
      <c r="B95" s="211"/>
    </row>
    <row r="96" spans="1:2">
      <c r="A96" s="268"/>
      <c r="B96" s="268"/>
    </row>
    <row r="97" spans="1:2" ht="24">
      <c r="A97" s="15" t="s">
        <v>1255</v>
      </c>
      <c r="B97" s="16" t="s">
        <v>1218</v>
      </c>
    </row>
    <row r="98" spans="1:2">
      <c r="A98" s="17"/>
      <c r="B98" s="191"/>
    </row>
    <row r="99" spans="1:2">
      <c r="A99" s="15" t="s">
        <v>1232</v>
      </c>
      <c r="B99" s="16" t="s">
        <v>1219</v>
      </c>
    </row>
    <row r="100" spans="1:2">
      <c r="A100" s="17"/>
      <c r="B100" s="18"/>
    </row>
    <row r="101" spans="1:2" ht="51.75" customHeight="1">
      <c r="A101" s="269" t="s">
        <v>1536</v>
      </c>
      <c r="B101" s="19" t="s">
        <v>1537</v>
      </c>
    </row>
    <row r="102" spans="1:2" ht="36">
      <c r="A102" s="270"/>
      <c r="B102" s="20" t="s">
        <v>1220</v>
      </c>
    </row>
    <row r="103" spans="1:2" ht="24">
      <c r="A103" s="271"/>
      <c r="B103" s="21" t="s">
        <v>1538</v>
      </c>
    </row>
    <row r="104" spans="1:2">
      <c r="A104" s="17"/>
      <c r="B104" s="18"/>
    </row>
    <row r="105" spans="1:2">
      <c r="A105" s="22" t="s">
        <v>1233</v>
      </c>
      <c r="B105" s="16" t="s">
        <v>1300</v>
      </c>
    </row>
    <row r="106" spans="1:2">
      <c r="A106" s="17"/>
      <c r="B106" s="18"/>
    </row>
    <row r="107" spans="1:2" ht="48">
      <c r="A107" s="22" t="s">
        <v>1234</v>
      </c>
      <c r="B107" s="16" t="s">
        <v>1539</v>
      </c>
    </row>
    <row r="108" spans="1:2">
      <c r="A108" s="17"/>
      <c r="B108" s="18"/>
    </row>
    <row r="109" spans="1:2" ht="24">
      <c r="A109" s="23" t="s">
        <v>1235</v>
      </c>
      <c r="B109" s="24" t="s">
        <v>1221</v>
      </c>
    </row>
    <row r="110" spans="1:2">
      <c r="A110" s="17"/>
      <c r="B110" s="18"/>
    </row>
    <row r="111" spans="1:2">
      <c r="A111" s="22" t="s">
        <v>214</v>
      </c>
      <c r="B111" s="16" t="s">
        <v>1222</v>
      </c>
    </row>
    <row r="112" spans="1:2">
      <c r="A112" s="17"/>
      <c r="B112" s="18"/>
    </row>
    <row r="113" spans="1:2" ht="24">
      <c r="A113" s="22" t="s">
        <v>1236</v>
      </c>
      <c r="B113" s="16" t="s">
        <v>1540</v>
      </c>
    </row>
    <row r="114" spans="1:2">
      <c r="A114" s="17"/>
      <c r="B114" s="18"/>
    </row>
    <row r="115" spans="1:2" ht="36">
      <c r="A115" s="22" t="s">
        <v>1237</v>
      </c>
      <c r="B115" s="16" t="s">
        <v>1541</v>
      </c>
    </row>
    <row r="116" spans="1:2">
      <c r="A116" s="17"/>
      <c r="B116" s="18"/>
    </row>
    <row r="117" spans="1:2" ht="24">
      <c r="A117" s="22" t="s">
        <v>1238</v>
      </c>
      <c r="B117" s="16" t="s">
        <v>1223</v>
      </c>
    </row>
    <row r="118" spans="1:2">
      <c r="A118" s="17"/>
      <c r="B118" s="18"/>
    </row>
    <row r="119" spans="1:2">
      <c r="A119" s="22" t="s">
        <v>1239</v>
      </c>
      <c r="B119" s="16" t="s">
        <v>1224</v>
      </c>
    </row>
    <row r="120" spans="1:2">
      <c r="A120" s="17"/>
      <c r="B120" s="18"/>
    </row>
    <row r="121" spans="1:2">
      <c r="A121" s="22" t="s">
        <v>1240</v>
      </c>
      <c r="B121" s="16" t="s">
        <v>1225</v>
      </c>
    </row>
    <row r="122" spans="1:2">
      <c r="A122" s="17"/>
      <c r="B122" s="18"/>
    </row>
    <row r="123" spans="1:2">
      <c r="A123" s="272" t="s">
        <v>1241</v>
      </c>
      <c r="B123" s="25" t="s">
        <v>1226</v>
      </c>
    </row>
    <row r="124" spans="1:2">
      <c r="A124" s="273"/>
      <c r="B124" s="20" t="s">
        <v>1227</v>
      </c>
    </row>
    <row r="125" spans="1:2">
      <c r="A125" s="273"/>
      <c r="B125" s="20" t="s">
        <v>1228</v>
      </c>
    </row>
    <row r="126" spans="1:2">
      <c r="A126" s="274"/>
      <c r="B126" s="21" t="s">
        <v>1542</v>
      </c>
    </row>
    <row r="127" spans="1:2">
      <c r="A127" s="17"/>
      <c r="B127" s="18"/>
    </row>
    <row r="128" spans="1:2" ht="24">
      <c r="A128" s="22" t="s">
        <v>36</v>
      </c>
      <c r="B128" s="16" t="s">
        <v>1543</v>
      </c>
    </row>
    <row r="129" spans="1:2">
      <c r="A129" s="17"/>
      <c r="B129" s="18"/>
    </row>
    <row r="130" spans="1:2">
      <c r="A130" s="22" t="s">
        <v>1242</v>
      </c>
      <c r="B130" s="16" t="s">
        <v>1229</v>
      </c>
    </row>
    <row r="131" spans="1:2">
      <c r="A131" s="17"/>
      <c r="B131" s="18"/>
    </row>
    <row r="132" spans="1:2" ht="36">
      <c r="A132" s="22" t="s">
        <v>1243</v>
      </c>
      <c r="B132" s="16" t="s">
        <v>1230</v>
      </c>
    </row>
    <row r="133" spans="1:2">
      <c r="A133" s="17"/>
      <c r="B133" s="18"/>
    </row>
    <row r="134" spans="1:2" ht="36">
      <c r="A134" s="22" t="s">
        <v>1544</v>
      </c>
      <c r="B134" s="16" t="s">
        <v>1545</v>
      </c>
    </row>
    <row r="136" spans="1:2" ht="24">
      <c r="A136" s="22" t="s">
        <v>1620</v>
      </c>
      <c r="B136" s="232" t="s">
        <v>1621</v>
      </c>
    </row>
  </sheetData>
  <sheetProtection algorithmName="SHA-512" hashValue="cSVk8PH5GHBr21ZlbRuH9T10py+O4gusNRR1j6B2WnoBGayp6vjRnWws2ZdQ8pE9mZEabGBRp4uofZ9Ktg9Dbw==" saltValue="fyaVzzUyOCVv0couoynSVQ==" spinCount="100000" sheet="1" objects="1" scenarios="1"/>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ACE-B15E-4799-BFF2-7CD585D93A29}">
  <sheetPr>
    <tabColor theme="0" tint="-0.14999847407452621"/>
  </sheetPr>
  <dimension ref="A1:D34"/>
  <sheetViews>
    <sheetView showGridLines="0" view="pageBreakPreview" zoomScaleNormal="100" zoomScaleSheetLayoutView="100" workbookViewId="0">
      <selection activeCell="B18" sqref="B18:D18"/>
    </sheetView>
  </sheetViews>
  <sheetFormatPr defaultColWidth="9.109375" defaultRowHeight="15" customHeight="1"/>
  <cols>
    <col min="1" max="1" width="4.5546875" style="171" customWidth="1"/>
    <col min="2" max="2" width="148.109375" style="171" customWidth="1"/>
    <col min="3" max="3" width="125.44140625" style="171" customWidth="1"/>
    <col min="4" max="4" width="7.5546875" style="171" customWidth="1"/>
    <col min="5" max="5" width="29" style="171" bestFit="1" customWidth="1"/>
    <col min="6" max="6" width="5.6640625" style="171" customWidth="1"/>
    <col min="7" max="7" width="9.109375" style="171"/>
    <col min="8" max="8" width="17.88671875" style="171" bestFit="1" customWidth="1"/>
    <col min="9" max="11" width="9.109375" style="171"/>
    <col min="12" max="12" width="19.6640625" style="171" customWidth="1"/>
    <col min="13" max="16384" width="9.109375" style="171"/>
  </cols>
  <sheetData>
    <row r="1" spans="1:4" ht="15" customHeight="1">
      <c r="A1" s="276" t="s">
        <v>1619</v>
      </c>
      <c r="B1" s="277"/>
    </row>
    <row r="2" spans="1:4" ht="15" customHeight="1">
      <c r="A2" s="278"/>
      <c r="B2" s="279"/>
    </row>
    <row r="3" spans="1:4" ht="15" customHeight="1">
      <c r="B3" s="172" t="s">
        <v>1546</v>
      </c>
      <c r="C3" s="173"/>
      <c r="D3" s="173"/>
    </row>
    <row r="4" spans="1:4" ht="15" customHeight="1">
      <c r="A4" s="174" t="s">
        <v>1547</v>
      </c>
      <c r="B4" s="275" t="s">
        <v>1548</v>
      </c>
      <c r="C4" s="275"/>
      <c r="D4" s="275"/>
    </row>
    <row r="5" spans="1:4" ht="15" customHeight="1">
      <c r="A5" s="174" t="s">
        <v>1547</v>
      </c>
      <c r="B5" s="275" t="s">
        <v>1549</v>
      </c>
      <c r="C5" s="275" t="s">
        <v>1549</v>
      </c>
      <c r="D5" s="275" t="s">
        <v>1549</v>
      </c>
    </row>
    <row r="6" spans="1:4" ht="15" customHeight="1">
      <c r="A6" s="174" t="s">
        <v>1547</v>
      </c>
      <c r="B6" s="275" t="s">
        <v>1550</v>
      </c>
      <c r="C6" s="275" t="s">
        <v>1550</v>
      </c>
      <c r="D6" s="275" t="s">
        <v>1550</v>
      </c>
    </row>
    <row r="7" spans="1:4" ht="15" customHeight="1">
      <c r="A7" s="174" t="s">
        <v>1547</v>
      </c>
      <c r="B7" s="275" t="s">
        <v>1551</v>
      </c>
      <c r="C7" s="275" t="s">
        <v>1551</v>
      </c>
      <c r="D7" s="275" t="s">
        <v>1551</v>
      </c>
    </row>
    <row r="8" spans="1:4" ht="15" customHeight="1">
      <c r="A8" s="174" t="s">
        <v>1547</v>
      </c>
      <c r="B8" s="275" t="s">
        <v>1552</v>
      </c>
      <c r="C8" s="275" t="s">
        <v>1552</v>
      </c>
      <c r="D8" s="275" t="s">
        <v>1552</v>
      </c>
    </row>
    <row r="9" spans="1:4" ht="15" customHeight="1">
      <c r="A9" s="174" t="s">
        <v>1547</v>
      </c>
      <c r="B9" s="275" t="s">
        <v>1553</v>
      </c>
      <c r="C9" s="275" t="s">
        <v>1553</v>
      </c>
      <c r="D9" s="275" t="s">
        <v>1553</v>
      </c>
    </row>
    <row r="10" spans="1:4" ht="15" customHeight="1">
      <c r="A10" s="174" t="s">
        <v>1547</v>
      </c>
      <c r="B10" s="275" t="s">
        <v>1554</v>
      </c>
      <c r="C10" s="275" t="s">
        <v>1554</v>
      </c>
      <c r="D10" s="275" t="s">
        <v>1554</v>
      </c>
    </row>
    <row r="11" spans="1:4" ht="15" customHeight="1">
      <c r="A11" s="174" t="s">
        <v>1547</v>
      </c>
      <c r="B11" s="275" t="s">
        <v>1555</v>
      </c>
      <c r="C11" s="275" t="s">
        <v>1555</v>
      </c>
      <c r="D11" s="275" t="s">
        <v>1555</v>
      </c>
    </row>
    <row r="12" spans="1:4" ht="15" customHeight="1">
      <c r="A12" s="174" t="s">
        <v>1547</v>
      </c>
      <c r="B12" s="275" t="s">
        <v>1556</v>
      </c>
      <c r="C12" s="275" t="s">
        <v>1556</v>
      </c>
      <c r="D12" s="275" t="s">
        <v>1556</v>
      </c>
    </row>
    <row r="13" spans="1:4" ht="15" customHeight="1">
      <c r="A13" s="174" t="s">
        <v>1547</v>
      </c>
      <c r="B13" s="275" t="s">
        <v>1557</v>
      </c>
      <c r="C13" s="275" t="s">
        <v>1557</v>
      </c>
      <c r="D13" s="275" t="s">
        <v>1557</v>
      </c>
    </row>
    <row r="14" spans="1:4" ht="15" customHeight="1">
      <c r="A14" s="174" t="s">
        <v>1547</v>
      </c>
      <c r="B14" s="275" t="s">
        <v>1558</v>
      </c>
      <c r="C14" s="275" t="s">
        <v>1558</v>
      </c>
      <c r="D14" s="275" t="s">
        <v>1558</v>
      </c>
    </row>
    <row r="15" spans="1:4" ht="15" customHeight="1">
      <c r="A15" s="175"/>
      <c r="B15" s="176"/>
      <c r="C15" s="173"/>
      <c r="D15" s="173"/>
    </row>
    <row r="16" spans="1:4" ht="15" customHeight="1">
      <c r="A16" s="175"/>
      <c r="B16" s="177" t="s">
        <v>1560</v>
      </c>
      <c r="C16" s="173"/>
      <c r="D16" s="173"/>
    </row>
    <row r="17" spans="1:4" ht="15" customHeight="1">
      <c r="A17" s="174" t="s">
        <v>1547</v>
      </c>
      <c r="B17" s="275" t="s">
        <v>1561</v>
      </c>
      <c r="C17" s="275" t="s">
        <v>1561</v>
      </c>
      <c r="D17" s="275" t="s">
        <v>1561</v>
      </c>
    </row>
    <row r="18" spans="1:4" ht="15" customHeight="1">
      <c r="A18" s="174" t="s">
        <v>1547</v>
      </c>
      <c r="B18" s="275" t="s">
        <v>1562</v>
      </c>
      <c r="C18" s="275" t="s">
        <v>1562</v>
      </c>
      <c r="D18" s="275" t="s">
        <v>1562</v>
      </c>
    </row>
    <row r="19" spans="1:4" ht="15" customHeight="1">
      <c r="A19" s="174" t="s">
        <v>1547</v>
      </c>
      <c r="B19" s="275" t="s">
        <v>1563</v>
      </c>
      <c r="C19" s="275" t="s">
        <v>1563</v>
      </c>
      <c r="D19" s="275" t="s">
        <v>1563</v>
      </c>
    </row>
    <row r="20" spans="1:4" ht="15" customHeight="1">
      <c r="A20" s="174" t="s">
        <v>1547</v>
      </c>
      <c r="B20" s="275" t="s">
        <v>1557</v>
      </c>
      <c r="C20" s="275" t="s">
        <v>1557</v>
      </c>
      <c r="D20" s="275" t="s">
        <v>1557</v>
      </c>
    </row>
    <row r="21" spans="1:4" ht="15" customHeight="1">
      <c r="A21" s="174" t="s">
        <v>1547</v>
      </c>
      <c r="B21" s="275" t="s">
        <v>1564</v>
      </c>
      <c r="C21" s="275" t="s">
        <v>1564</v>
      </c>
      <c r="D21" s="275" t="s">
        <v>1564</v>
      </c>
    </row>
    <row r="22" spans="1:4" ht="15" customHeight="1">
      <c r="A22" s="174" t="s">
        <v>1547</v>
      </c>
      <c r="B22" s="275" t="s">
        <v>1565</v>
      </c>
      <c r="C22" s="275" t="s">
        <v>1565</v>
      </c>
      <c r="D22" s="275" t="s">
        <v>1565</v>
      </c>
    </row>
    <row r="23" spans="1:4" ht="15" customHeight="1">
      <c r="A23" s="174" t="s">
        <v>1547</v>
      </c>
      <c r="B23" s="275" t="s">
        <v>1566</v>
      </c>
      <c r="C23" s="275" t="s">
        <v>1566</v>
      </c>
      <c r="D23" s="275" t="s">
        <v>1566</v>
      </c>
    </row>
    <row r="24" spans="1:4" ht="15" customHeight="1">
      <c r="A24" s="175"/>
      <c r="B24" s="173"/>
      <c r="C24" s="173"/>
      <c r="D24" s="173"/>
    </row>
    <row r="25" spans="1:4" ht="15" customHeight="1">
      <c r="A25" s="175"/>
      <c r="B25" s="177" t="s">
        <v>1569</v>
      </c>
      <c r="C25" s="173"/>
      <c r="D25" s="173"/>
    </row>
    <row r="26" spans="1:4" ht="15" customHeight="1">
      <c r="A26" s="174" t="s">
        <v>1547</v>
      </c>
      <c r="B26" s="280" t="s">
        <v>1570</v>
      </c>
      <c r="C26" s="280" t="s">
        <v>1570</v>
      </c>
      <c r="D26" s="280" t="s">
        <v>1570</v>
      </c>
    </row>
    <row r="27" spans="1:4" ht="15" customHeight="1">
      <c r="A27" s="174" t="s">
        <v>1547</v>
      </c>
      <c r="B27" s="280" t="s">
        <v>1571</v>
      </c>
      <c r="C27" s="280" t="s">
        <v>1571</v>
      </c>
      <c r="D27" s="280" t="s">
        <v>1571</v>
      </c>
    </row>
    <row r="28" spans="1:4" ht="15" customHeight="1">
      <c r="A28" s="174" t="s">
        <v>1547</v>
      </c>
      <c r="B28" s="280" t="s">
        <v>1572</v>
      </c>
      <c r="C28" s="280" t="s">
        <v>1572</v>
      </c>
      <c r="D28" s="280" t="s">
        <v>1572</v>
      </c>
    </row>
    <row r="29" spans="1:4" ht="15" customHeight="1">
      <c r="A29" s="174" t="s">
        <v>1547</v>
      </c>
      <c r="B29" s="280" t="s">
        <v>1573</v>
      </c>
      <c r="C29" s="280" t="s">
        <v>1573</v>
      </c>
      <c r="D29" s="280" t="s">
        <v>1573</v>
      </c>
    </row>
    <row r="30" spans="1:4" ht="15" customHeight="1">
      <c r="A30" s="174" t="s">
        <v>1547</v>
      </c>
      <c r="B30" s="280" t="s">
        <v>1574</v>
      </c>
      <c r="C30" s="280" t="s">
        <v>1574</v>
      </c>
      <c r="D30" s="280" t="s">
        <v>1574</v>
      </c>
    </row>
    <row r="32" spans="1:4" ht="15" customHeight="1">
      <c r="A32" s="175"/>
      <c r="B32" s="177" t="s">
        <v>1618</v>
      </c>
      <c r="C32" s="173"/>
      <c r="D32" s="173"/>
    </row>
    <row r="33" spans="1:4" ht="15" customHeight="1">
      <c r="A33" s="174" t="s">
        <v>1547</v>
      </c>
      <c r="B33" s="275" t="s">
        <v>193</v>
      </c>
      <c r="C33" s="275" t="s">
        <v>1559</v>
      </c>
      <c r="D33" s="275" t="s">
        <v>1559</v>
      </c>
    </row>
    <row r="34" spans="1:4" ht="15" customHeight="1">
      <c r="A34" s="174" t="s">
        <v>1547</v>
      </c>
      <c r="B34" s="171" t="s">
        <v>1256</v>
      </c>
    </row>
  </sheetData>
  <sheetProtection algorithmName="SHA-512" hashValue="E8ScWnZAvLrR7Jai/61rTOaPWxd9mBWtdcj+T9NSEY3O8Iv9QHy/CODjNbuZH9vH8QIDxqZaHyCaSSSl0nXbcg==" saltValue="snNgTgSGl9DTC1O8SdnRaA==" spinCount="100000" sheet="1" sort="0" autoFilter="0"/>
  <dataConsolidate link="1"/>
  <mergeCells count="25">
    <mergeCell ref="B33:D33"/>
    <mergeCell ref="B23:D23"/>
    <mergeCell ref="B26:D26"/>
    <mergeCell ref="B27:D27"/>
    <mergeCell ref="B28:D28"/>
    <mergeCell ref="B29:D29"/>
    <mergeCell ref="B30:D30"/>
    <mergeCell ref="B22:D22"/>
    <mergeCell ref="B9:D9"/>
    <mergeCell ref="B10:D10"/>
    <mergeCell ref="B11:D11"/>
    <mergeCell ref="B12:D12"/>
    <mergeCell ref="B13:D13"/>
    <mergeCell ref="B14:D14"/>
    <mergeCell ref="B17:D17"/>
    <mergeCell ref="B18:D18"/>
    <mergeCell ref="B19:D19"/>
    <mergeCell ref="B20:D20"/>
    <mergeCell ref="B21:D21"/>
    <mergeCell ref="B8:D8"/>
    <mergeCell ref="A1:B2"/>
    <mergeCell ref="B4:D4"/>
    <mergeCell ref="B5:D5"/>
    <mergeCell ref="B6:D6"/>
    <mergeCell ref="B7:D7"/>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1069" activePane="bottomLeft" state="frozen"/>
      <selection pane="bottomLeft" activeCell="AB1082" sqref="AB1082"/>
    </sheetView>
  </sheetViews>
  <sheetFormatPr defaultColWidth="9.109375" defaultRowHeight="13.8"/>
  <cols>
    <col min="1" max="1" width="14.44140625" style="27" customWidth="1"/>
    <col min="2" max="2" width="26" style="9" bestFit="1" customWidth="1"/>
    <col min="3" max="3" width="16.109375" style="27" customWidth="1"/>
    <col min="4" max="4" width="25.88671875" style="9" bestFit="1" customWidth="1"/>
    <col min="5" max="5" width="14.88671875" style="27" bestFit="1" customWidth="1"/>
    <col min="6" max="6" width="16.44140625" style="27" customWidth="1"/>
    <col min="7" max="25" width="5.5546875" style="27" bestFit="1" customWidth="1"/>
    <col min="26" max="16384" width="9.109375" style="9"/>
  </cols>
  <sheetData>
    <row r="1" spans="1:25" ht="28.8">
      <c r="A1" s="212" t="s">
        <v>1257</v>
      </c>
    </row>
    <row r="2" spans="1:25" ht="15.6">
      <c r="G2" s="281" t="s">
        <v>256</v>
      </c>
      <c r="H2" s="281"/>
      <c r="I2" s="281"/>
      <c r="J2" s="281"/>
      <c r="K2" s="281"/>
      <c r="L2" s="281"/>
      <c r="M2" s="281"/>
      <c r="N2" s="281"/>
      <c r="O2" s="282" t="s">
        <v>257</v>
      </c>
      <c r="P2" s="282"/>
      <c r="Q2" s="282"/>
      <c r="R2" s="282"/>
      <c r="S2" s="282"/>
      <c r="T2" s="282"/>
      <c r="U2" s="282"/>
      <c r="V2" s="282"/>
      <c r="W2" s="283" t="s">
        <v>258</v>
      </c>
      <c r="X2" s="283"/>
      <c r="Y2" s="283"/>
    </row>
    <row r="3" spans="1:25" ht="30" customHeight="1">
      <c r="A3" s="213" t="s">
        <v>33</v>
      </c>
      <c r="B3" s="231" t="s">
        <v>135</v>
      </c>
      <c r="C3" s="213" t="s">
        <v>117</v>
      </c>
      <c r="D3" s="213" t="s">
        <v>279</v>
      </c>
      <c r="E3" s="213" t="s">
        <v>280</v>
      </c>
      <c r="F3" s="213" t="s">
        <v>1581</v>
      </c>
      <c r="G3" s="214" t="s">
        <v>259</v>
      </c>
      <c r="H3" s="214" t="s">
        <v>260</v>
      </c>
      <c r="I3" s="214" t="s">
        <v>261</v>
      </c>
      <c r="J3" s="214" t="s">
        <v>262</v>
      </c>
      <c r="K3" s="214" t="s">
        <v>263</v>
      </c>
      <c r="L3" s="214" t="s">
        <v>264</v>
      </c>
      <c r="M3" s="214" t="s">
        <v>265</v>
      </c>
      <c r="N3" s="214" t="s">
        <v>266</v>
      </c>
      <c r="O3" s="215" t="s">
        <v>267</v>
      </c>
      <c r="P3" s="215" t="s">
        <v>268</v>
      </c>
      <c r="Q3" s="215" t="s">
        <v>269</v>
      </c>
      <c r="R3" s="215" t="s">
        <v>270</v>
      </c>
      <c r="S3" s="215" t="s">
        <v>271</v>
      </c>
      <c r="T3" s="215" t="s">
        <v>272</v>
      </c>
      <c r="U3" s="215" t="s">
        <v>273</v>
      </c>
      <c r="V3" s="215" t="s">
        <v>274</v>
      </c>
      <c r="W3" s="216" t="s">
        <v>275</v>
      </c>
      <c r="X3" s="216" t="s">
        <v>276</v>
      </c>
      <c r="Y3" s="216" t="s">
        <v>277</v>
      </c>
    </row>
    <row r="4" spans="1:25">
      <c r="A4" s="217">
        <v>1</v>
      </c>
      <c r="B4" s="218" t="str">
        <f>VLOOKUP(Tabel10[[#This Row],[Code]],Ruimtegroepen[[Code]:[Ruimte omschrijving]],2,FALSE)</f>
        <v>Magazijnen/bergingen</v>
      </c>
      <c r="C4" s="219" t="s">
        <v>281</v>
      </c>
      <c r="D4" s="218" t="s">
        <v>29</v>
      </c>
      <c r="E4" s="219" t="s">
        <v>100</v>
      </c>
      <c r="F4" s="219" t="s">
        <v>282</v>
      </c>
      <c r="G4" s="220" t="s">
        <v>283</v>
      </c>
      <c r="H4" s="220" t="s">
        <v>283</v>
      </c>
      <c r="I4" s="220" t="s">
        <v>20</v>
      </c>
      <c r="J4" s="220" t="s">
        <v>15</v>
      </c>
      <c r="K4" s="220" t="s">
        <v>283</v>
      </c>
      <c r="L4" s="220" t="s">
        <v>283</v>
      </c>
      <c r="M4" s="220" t="s">
        <v>283</v>
      </c>
      <c r="N4" s="220" t="s">
        <v>2</v>
      </c>
      <c r="O4" s="221" t="s">
        <v>283</v>
      </c>
      <c r="P4" s="221" t="s">
        <v>283</v>
      </c>
      <c r="Q4" s="221" t="s">
        <v>283</v>
      </c>
      <c r="R4" s="221" t="s">
        <v>283</v>
      </c>
      <c r="S4" s="221" t="s">
        <v>2</v>
      </c>
      <c r="T4" s="221" t="s">
        <v>284</v>
      </c>
      <c r="U4" s="221" t="s">
        <v>284</v>
      </c>
      <c r="V4" s="221" t="s">
        <v>2</v>
      </c>
      <c r="W4" s="222" t="s">
        <v>283</v>
      </c>
      <c r="X4" s="222" t="s">
        <v>283</v>
      </c>
      <c r="Y4" s="223" t="s">
        <v>283</v>
      </c>
    </row>
    <row r="5" spans="1:25">
      <c r="A5" s="217">
        <v>1</v>
      </c>
      <c r="B5" s="218" t="str">
        <f>VLOOKUP(Tabel10[[#This Row],[Code]],Ruimtegroepen[[Code]:[Ruimte omschrijving]],2,FALSE)</f>
        <v>Magazijnen/bergingen</v>
      </c>
      <c r="C5" s="219" t="s">
        <v>281</v>
      </c>
      <c r="D5" s="218" t="s">
        <v>29</v>
      </c>
      <c r="E5" s="219" t="s">
        <v>99</v>
      </c>
      <c r="F5" s="219" t="s">
        <v>285</v>
      </c>
      <c r="G5" s="220" t="s">
        <v>20</v>
      </c>
      <c r="H5" s="220" t="s">
        <v>15</v>
      </c>
      <c r="I5" s="220" t="s">
        <v>283</v>
      </c>
      <c r="J5" s="220" t="s">
        <v>283</v>
      </c>
      <c r="K5" s="220" t="s">
        <v>283</v>
      </c>
      <c r="L5" s="220" t="s">
        <v>283</v>
      </c>
      <c r="M5" s="220" t="s">
        <v>283</v>
      </c>
      <c r="N5" s="220" t="s">
        <v>2</v>
      </c>
      <c r="O5" s="221" t="s">
        <v>283</v>
      </c>
      <c r="P5" s="221" t="s">
        <v>283</v>
      </c>
      <c r="Q5" s="221" t="s">
        <v>283</v>
      </c>
      <c r="R5" s="221" t="s">
        <v>283</v>
      </c>
      <c r="S5" s="221" t="s">
        <v>2</v>
      </c>
      <c r="T5" s="221" t="s">
        <v>284</v>
      </c>
      <c r="U5" s="221" t="s">
        <v>284</v>
      </c>
      <c r="V5" s="221" t="s">
        <v>2</v>
      </c>
      <c r="W5" s="222" t="s">
        <v>283</v>
      </c>
      <c r="X5" s="222" t="s">
        <v>283</v>
      </c>
      <c r="Y5" s="223" t="s">
        <v>283</v>
      </c>
    </row>
    <row r="6" spans="1:25">
      <c r="A6" s="217">
        <v>1</v>
      </c>
      <c r="B6" s="218" t="str">
        <f>VLOOKUP(Tabel10[[#This Row],[Code]],Ruimtegroepen[[Code]:[Ruimte omschrijving]],2,FALSE)</f>
        <v>Magazijnen/bergingen</v>
      </c>
      <c r="C6" s="219" t="s">
        <v>281</v>
      </c>
      <c r="D6" s="218" t="s">
        <v>29</v>
      </c>
      <c r="E6" s="219" t="s">
        <v>101</v>
      </c>
      <c r="F6" s="219" t="s">
        <v>286</v>
      </c>
      <c r="G6" s="224" t="s">
        <v>283</v>
      </c>
      <c r="H6" s="220" t="s">
        <v>283</v>
      </c>
      <c r="I6" s="220" t="s">
        <v>20</v>
      </c>
      <c r="J6" s="220" t="s">
        <v>15</v>
      </c>
      <c r="K6" s="220" t="s">
        <v>250</v>
      </c>
      <c r="L6" s="220" t="s">
        <v>283</v>
      </c>
      <c r="M6" s="220" t="s">
        <v>283</v>
      </c>
      <c r="N6" s="220" t="s">
        <v>2</v>
      </c>
      <c r="O6" s="221" t="s">
        <v>283</v>
      </c>
      <c r="P6" s="221" t="s">
        <v>283</v>
      </c>
      <c r="Q6" s="221" t="s">
        <v>283</v>
      </c>
      <c r="R6" s="221" t="s">
        <v>283</v>
      </c>
      <c r="S6" s="221" t="s">
        <v>2</v>
      </c>
      <c r="T6" s="221" t="s">
        <v>284</v>
      </c>
      <c r="U6" s="221" t="s">
        <v>284</v>
      </c>
      <c r="V6" s="221" t="s">
        <v>2</v>
      </c>
      <c r="W6" s="222" t="s">
        <v>283</v>
      </c>
      <c r="X6" s="222" t="s">
        <v>283</v>
      </c>
      <c r="Y6" s="223" t="s">
        <v>283</v>
      </c>
    </row>
    <row r="7" spans="1:25">
      <c r="A7" s="217">
        <v>1</v>
      </c>
      <c r="B7" s="218" t="str">
        <f>VLOOKUP(Tabel10[[#This Row],[Code]],Ruimtegroepen[[Code]:[Ruimte omschrijving]],2,FALSE)</f>
        <v>Magazijnen/bergingen</v>
      </c>
      <c r="C7" s="219" t="s">
        <v>281</v>
      </c>
      <c r="D7" s="218" t="s">
        <v>29</v>
      </c>
      <c r="E7" s="219" t="s">
        <v>102</v>
      </c>
      <c r="F7" s="219" t="s">
        <v>287</v>
      </c>
      <c r="G7" s="224" t="s">
        <v>283</v>
      </c>
      <c r="H7" s="220" t="s">
        <v>283</v>
      </c>
      <c r="I7" s="220" t="s">
        <v>20</v>
      </c>
      <c r="J7" s="220" t="s">
        <v>15</v>
      </c>
      <c r="K7" s="220" t="s">
        <v>250</v>
      </c>
      <c r="L7" s="220" t="s">
        <v>283</v>
      </c>
      <c r="M7" s="220" t="s">
        <v>283</v>
      </c>
      <c r="N7" s="220" t="s">
        <v>2</v>
      </c>
      <c r="O7" s="221" t="s">
        <v>283</v>
      </c>
      <c r="P7" s="221" t="s">
        <v>283</v>
      </c>
      <c r="Q7" s="221" t="s">
        <v>283</v>
      </c>
      <c r="R7" s="221" t="s">
        <v>283</v>
      </c>
      <c r="S7" s="221" t="s">
        <v>2</v>
      </c>
      <c r="T7" s="221" t="s">
        <v>284</v>
      </c>
      <c r="U7" s="221" t="s">
        <v>284</v>
      </c>
      <c r="V7" s="221" t="s">
        <v>2</v>
      </c>
      <c r="W7" s="222" t="s">
        <v>283</v>
      </c>
      <c r="X7" s="222" t="s">
        <v>283</v>
      </c>
      <c r="Y7" s="223" t="s">
        <v>283</v>
      </c>
    </row>
    <row r="8" spans="1:25">
      <c r="A8" s="225">
        <v>1</v>
      </c>
      <c r="B8" s="218" t="str">
        <f>VLOOKUP(Tabel10[[#This Row],[Code]],Ruimtegroepen[[Code]:[Ruimte omschrijving]],2,FALSE)</f>
        <v>Magazijnen/bergingen</v>
      </c>
      <c r="C8" s="219" t="s">
        <v>281</v>
      </c>
      <c r="D8" s="218" t="s">
        <v>29</v>
      </c>
      <c r="E8" s="219" t="s">
        <v>99</v>
      </c>
      <c r="F8" s="219" t="s">
        <v>285</v>
      </c>
      <c r="G8" s="226" t="s">
        <v>20</v>
      </c>
      <c r="H8" s="226" t="s">
        <v>15</v>
      </c>
      <c r="I8" s="220" t="s">
        <v>283</v>
      </c>
      <c r="J8" s="220" t="s">
        <v>283</v>
      </c>
      <c r="K8" s="220" t="s">
        <v>283</v>
      </c>
      <c r="L8" s="220" t="s">
        <v>283</v>
      </c>
      <c r="M8" s="220" t="s">
        <v>283</v>
      </c>
      <c r="N8" s="226" t="s">
        <v>2</v>
      </c>
      <c r="O8" s="227" t="s">
        <v>283</v>
      </c>
      <c r="P8" s="227" t="s">
        <v>283</v>
      </c>
      <c r="Q8" s="227" t="s">
        <v>283</v>
      </c>
      <c r="R8" s="227" t="s">
        <v>283</v>
      </c>
      <c r="S8" s="227" t="s">
        <v>2</v>
      </c>
      <c r="T8" s="227" t="s">
        <v>284</v>
      </c>
      <c r="U8" s="227" t="s">
        <v>284</v>
      </c>
      <c r="V8" s="227" t="s">
        <v>2</v>
      </c>
      <c r="W8" s="228" t="s">
        <v>283</v>
      </c>
      <c r="X8" s="228" t="s">
        <v>283</v>
      </c>
      <c r="Y8" s="229" t="s">
        <v>283</v>
      </c>
    </row>
    <row r="9" spans="1:25">
      <c r="A9" s="217">
        <v>1</v>
      </c>
      <c r="B9" s="218" t="str">
        <f>VLOOKUP(Tabel10[[#This Row],[Code]],Ruimtegroepen[[Code]:[Ruimte omschrijving]],2,FALSE)</f>
        <v>Magazijnen/bergingen</v>
      </c>
      <c r="C9" s="219" t="s">
        <v>281</v>
      </c>
      <c r="D9" s="218" t="s">
        <v>29</v>
      </c>
      <c r="E9" s="219" t="s">
        <v>1313</v>
      </c>
      <c r="F9" s="219" t="s">
        <v>1314</v>
      </c>
      <c r="G9" s="220" t="s">
        <v>283</v>
      </c>
      <c r="H9" s="220" t="s">
        <v>283</v>
      </c>
      <c r="I9" s="220" t="s">
        <v>20</v>
      </c>
      <c r="J9" s="220" t="s">
        <v>15</v>
      </c>
      <c r="K9" s="220" t="s">
        <v>250</v>
      </c>
      <c r="L9" s="220" t="s">
        <v>283</v>
      </c>
      <c r="M9" s="220" t="s">
        <v>283</v>
      </c>
      <c r="N9" s="220" t="s">
        <v>2</v>
      </c>
      <c r="O9" s="227" t="s">
        <v>283</v>
      </c>
      <c r="P9" s="227" t="s">
        <v>283</v>
      </c>
      <c r="Q9" s="227" t="s">
        <v>283</v>
      </c>
      <c r="R9" s="227" t="s">
        <v>283</v>
      </c>
      <c r="S9" s="227" t="s">
        <v>2</v>
      </c>
      <c r="T9" s="227" t="s">
        <v>284</v>
      </c>
      <c r="U9" s="227" t="s">
        <v>284</v>
      </c>
      <c r="V9" s="227" t="s">
        <v>2</v>
      </c>
      <c r="W9" s="228" t="s">
        <v>283</v>
      </c>
      <c r="X9" s="228" t="s">
        <v>283</v>
      </c>
      <c r="Y9" s="228" t="s">
        <v>283</v>
      </c>
    </row>
    <row r="10" spans="1:25">
      <c r="A10" s="217">
        <v>1</v>
      </c>
      <c r="B10" s="218" t="str">
        <f>VLOOKUP(Tabel10[[#This Row],[Code]],Ruimtegroepen[[Code]:[Ruimte omschrijving]],2,FALSE)</f>
        <v>Magazijnen/bergingen</v>
      </c>
      <c r="C10" s="219" t="s">
        <v>288</v>
      </c>
      <c r="D10" s="218" t="s">
        <v>1</v>
      </c>
      <c r="E10" s="219" t="s">
        <v>100</v>
      </c>
      <c r="F10" s="219" t="s">
        <v>289</v>
      </c>
      <c r="G10" s="224" t="s">
        <v>283</v>
      </c>
      <c r="H10" s="220" t="s">
        <v>283</v>
      </c>
      <c r="I10" s="220" t="s">
        <v>20</v>
      </c>
      <c r="J10" s="220" t="s">
        <v>15</v>
      </c>
      <c r="K10" s="220" t="s">
        <v>283</v>
      </c>
      <c r="L10" s="220" t="s">
        <v>283</v>
      </c>
      <c r="M10" s="220" t="s">
        <v>283</v>
      </c>
      <c r="N10" s="220" t="s">
        <v>283</v>
      </c>
      <c r="O10" s="221" t="s">
        <v>283</v>
      </c>
      <c r="P10" s="221" t="s">
        <v>283</v>
      </c>
      <c r="Q10" s="221" t="s">
        <v>283</v>
      </c>
      <c r="R10" s="221" t="s">
        <v>283</v>
      </c>
      <c r="S10" s="221" t="s">
        <v>2</v>
      </c>
      <c r="T10" s="221" t="s">
        <v>284</v>
      </c>
      <c r="U10" s="221" t="s">
        <v>284</v>
      </c>
      <c r="V10" s="221" t="s">
        <v>283</v>
      </c>
      <c r="W10" s="222" t="s">
        <v>283</v>
      </c>
      <c r="X10" s="222" t="s">
        <v>283</v>
      </c>
      <c r="Y10" s="223" t="s">
        <v>283</v>
      </c>
    </row>
    <row r="11" spans="1:25">
      <c r="A11" s="217">
        <v>1</v>
      </c>
      <c r="B11" s="218" t="str">
        <f>VLOOKUP(Tabel10[[#This Row],[Code]],Ruimtegroepen[[Code]:[Ruimte omschrijving]],2,FALSE)</f>
        <v>Magazijnen/bergingen</v>
      </c>
      <c r="C11" s="219" t="s">
        <v>288</v>
      </c>
      <c r="D11" s="218" t="s">
        <v>1</v>
      </c>
      <c r="E11" s="219" t="s">
        <v>99</v>
      </c>
      <c r="F11" s="219" t="s">
        <v>290</v>
      </c>
      <c r="G11" s="220" t="s">
        <v>20</v>
      </c>
      <c r="H11" s="220" t="s">
        <v>15</v>
      </c>
      <c r="I11" s="220" t="s">
        <v>283</v>
      </c>
      <c r="J11" s="220" t="s">
        <v>283</v>
      </c>
      <c r="K11" s="220" t="s">
        <v>283</v>
      </c>
      <c r="L11" s="220" t="s">
        <v>283</v>
      </c>
      <c r="M11" s="220" t="s">
        <v>283</v>
      </c>
      <c r="N11" s="220" t="s">
        <v>283</v>
      </c>
      <c r="O11" s="221" t="s">
        <v>283</v>
      </c>
      <c r="P11" s="221" t="s">
        <v>283</v>
      </c>
      <c r="Q11" s="221" t="s">
        <v>283</v>
      </c>
      <c r="R11" s="221" t="s">
        <v>283</v>
      </c>
      <c r="S11" s="221" t="s">
        <v>2</v>
      </c>
      <c r="T11" s="221" t="s">
        <v>284</v>
      </c>
      <c r="U11" s="221" t="s">
        <v>284</v>
      </c>
      <c r="V11" s="221" t="s">
        <v>283</v>
      </c>
      <c r="W11" s="222" t="s">
        <v>283</v>
      </c>
      <c r="X11" s="222" t="s">
        <v>283</v>
      </c>
      <c r="Y11" s="223" t="s">
        <v>283</v>
      </c>
    </row>
    <row r="12" spans="1:25">
      <c r="A12" s="217">
        <v>1</v>
      </c>
      <c r="B12" s="218" t="str">
        <f>VLOOKUP(Tabel10[[#This Row],[Code]],Ruimtegroepen[[Code]:[Ruimte omschrijving]],2,FALSE)</f>
        <v>Magazijnen/bergingen</v>
      </c>
      <c r="C12" s="219" t="s">
        <v>288</v>
      </c>
      <c r="D12" s="218" t="s">
        <v>1</v>
      </c>
      <c r="E12" s="219" t="s">
        <v>101</v>
      </c>
      <c r="F12" s="219" t="s">
        <v>291</v>
      </c>
      <c r="G12" s="224" t="s">
        <v>283</v>
      </c>
      <c r="H12" s="220" t="s">
        <v>283</v>
      </c>
      <c r="I12" s="220" t="s">
        <v>20</v>
      </c>
      <c r="J12" s="220" t="s">
        <v>15</v>
      </c>
      <c r="K12" s="220" t="s">
        <v>250</v>
      </c>
      <c r="L12" s="220" t="s">
        <v>283</v>
      </c>
      <c r="M12" s="220" t="s">
        <v>283</v>
      </c>
      <c r="N12" s="220" t="s">
        <v>283</v>
      </c>
      <c r="O12" s="221" t="s">
        <v>283</v>
      </c>
      <c r="P12" s="221" t="s">
        <v>283</v>
      </c>
      <c r="Q12" s="221" t="s">
        <v>283</v>
      </c>
      <c r="R12" s="221" t="s">
        <v>283</v>
      </c>
      <c r="S12" s="221" t="s">
        <v>2</v>
      </c>
      <c r="T12" s="221" t="s">
        <v>284</v>
      </c>
      <c r="U12" s="221" t="s">
        <v>284</v>
      </c>
      <c r="V12" s="221" t="s">
        <v>283</v>
      </c>
      <c r="W12" s="222" t="s">
        <v>283</v>
      </c>
      <c r="X12" s="222" t="s">
        <v>283</v>
      </c>
      <c r="Y12" s="223" t="s">
        <v>283</v>
      </c>
    </row>
    <row r="13" spans="1:25">
      <c r="A13" s="217">
        <v>1</v>
      </c>
      <c r="B13" s="218" t="str">
        <f>VLOOKUP(Tabel10[[#This Row],[Code]],Ruimtegroepen[[Code]:[Ruimte omschrijving]],2,FALSE)</f>
        <v>Magazijnen/bergingen</v>
      </c>
      <c r="C13" s="219" t="s">
        <v>288</v>
      </c>
      <c r="D13" s="218" t="s">
        <v>1</v>
      </c>
      <c r="E13" s="219" t="s">
        <v>102</v>
      </c>
      <c r="F13" s="219" t="s">
        <v>292</v>
      </c>
      <c r="G13" s="224" t="s">
        <v>283</v>
      </c>
      <c r="H13" s="220" t="s">
        <v>283</v>
      </c>
      <c r="I13" s="220" t="s">
        <v>20</v>
      </c>
      <c r="J13" s="220" t="s">
        <v>15</v>
      </c>
      <c r="K13" s="220" t="s">
        <v>250</v>
      </c>
      <c r="L13" s="220" t="s">
        <v>283</v>
      </c>
      <c r="M13" s="220" t="s">
        <v>283</v>
      </c>
      <c r="N13" s="220" t="s">
        <v>283</v>
      </c>
      <c r="O13" s="221" t="s">
        <v>283</v>
      </c>
      <c r="P13" s="221" t="s">
        <v>283</v>
      </c>
      <c r="Q13" s="221" t="s">
        <v>283</v>
      </c>
      <c r="R13" s="221" t="s">
        <v>283</v>
      </c>
      <c r="S13" s="221" t="s">
        <v>2</v>
      </c>
      <c r="T13" s="221" t="s">
        <v>284</v>
      </c>
      <c r="U13" s="221" t="s">
        <v>284</v>
      </c>
      <c r="V13" s="221" t="s">
        <v>283</v>
      </c>
      <c r="W13" s="222" t="s">
        <v>283</v>
      </c>
      <c r="X13" s="222" t="s">
        <v>283</v>
      </c>
      <c r="Y13" s="223" t="s">
        <v>283</v>
      </c>
    </row>
    <row r="14" spans="1:25">
      <c r="A14" s="217">
        <v>1</v>
      </c>
      <c r="B14" s="218" t="str">
        <f>VLOOKUP(Tabel10[[#This Row],[Code]],Ruimtegroepen[[Code]:[Ruimte omschrijving]],2,FALSE)</f>
        <v>Magazijnen/bergingen</v>
      </c>
      <c r="C14" s="219" t="s">
        <v>288</v>
      </c>
      <c r="D14" s="218" t="s">
        <v>1</v>
      </c>
      <c r="E14" s="219" t="s">
        <v>99</v>
      </c>
      <c r="F14" s="219" t="s">
        <v>290</v>
      </c>
      <c r="G14" s="220" t="s">
        <v>20</v>
      </c>
      <c r="H14" s="220" t="s">
        <v>15</v>
      </c>
      <c r="I14" s="220" t="s">
        <v>283</v>
      </c>
      <c r="J14" s="220" t="s">
        <v>283</v>
      </c>
      <c r="K14" s="220" t="s">
        <v>283</v>
      </c>
      <c r="L14" s="220" t="s">
        <v>283</v>
      </c>
      <c r="M14" s="220" t="s">
        <v>283</v>
      </c>
      <c r="N14" s="220" t="s">
        <v>283</v>
      </c>
      <c r="O14" s="221" t="s">
        <v>283</v>
      </c>
      <c r="P14" s="221" t="s">
        <v>283</v>
      </c>
      <c r="Q14" s="221" t="s">
        <v>283</v>
      </c>
      <c r="R14" s="221" t="s">
        <v>283</v>
      </c>
      <c r="S14" s="221" t="s">
        <v>2</v>
      </c>
      <c r="T14" s="221" t="s">
        <v>284</v>
      </c>
      <c r="U14" s="221" t="s">
        <v>284</v>
      </c>
      <c r="V14" s="221" t="s">
        <v>283</v>
      </c>
      <c r="W14" s="222" t="s">
        <v>283</v>
      </c>
      <c r="X14" s="222" t="s">
        <v>283</v>
      </c>
      <c r="Y14" s="223" t="s">
        <v>283</v>
      </c>
    </row>
    <row r="15" spans="1:25">
      <c r="A15" s="217">
        <v>1</v>
      </c>
      <c r="B15" s="218" t="str">
        <f>VLOOKUP(Tabel10[[#This Row],[Code]],Ruimtegroepen[[Code]:[Ruimte omschrijving]],2,FALSE)</f>
        <v>Magazijnen/bergingen</v>
      </c>
      <c r="C15" s="219" t="s">
        <v>288</v>
      </c>
      <c r="D15" s="218" t="s">
        <v>1</v>
      </c>
      <c r="E15" s="219" t="s">
        <v>1313</v>
      </c>
      <c r="F15" s="219" t="s">
        <v>1315</v>
      </c>
      <c r="G15" s="224" t="s">
        <v>283</v>
      </c>
      <c r="H15" s="220" t="s">
        <v>283</v>
      </c>
      <c r="I15" s="220" t="s">
        <v>20</v>
      </c>
      <c r="J15" s="220" t="s">
        <v>15</v>
      </c>
      <c r="K15" s="220" t="s">
        <v>250</v>
      </c>
      <c r="L15" s="220" t="s">
        <v>283</v>
      </c>
      <c r="M15" s="220" t="s">
        <v>283</v>
      </c>
      <c r="N15" s="220" t="s">
        <v>283</v>
      </c>
      <c r="O15" s="221" t="s">
        <v>283</v>
      </c>
      <c r="P15" s="221" t="s">
        <v>283</v>
      </c>
      <c r="Q15" s="221" t="s">
        <v>283</v>
      </c>
      <c r="R15" s="221" t="s">
        <v>283</v>
      </c>
      <c r="S15" s="221" t="s">
        <v>2</v>
      </c>
      <c r="T15" s="221" t="s">
        <v>284</v>
      </c>
      <c r="U15" s="221" t="s">
        <v>284</v>
      </c>
      <c r="V15" s="221" t="s">
        <v>283</v>
      </c>
      <c r="W15" s="222" t="s">
        <v>283</v>
      </c>
      <c r="X15" s="222" t="s">
        <v>283</v>
      </c>
      <c r="Y15" s="223" t="s">
        <v>283</v>
      </c>
    </row>
    <row r="16" spans="1:25">
      <c r="A16" s="217">
        <v>1</v>
      </c>
      <c r="B16" s="218" t="str">
        <f>VLOOKUP(Tabel10[[#This Row],[Code]],Ruimtegroepen[[Code]:[Ruimte omschrijving]],2,FALSE)</f>
        <v>Magazijnen/bergingen</v>
      </c>
      <c r="C16" s="219" t="s">
        <v>293</v>
      </c>
      <c r="D16" s="218" t="s">
        <v>21</v>
      </c>
      <c r="E16" s="219" t="s">
        <v>100</v>
      </c>
      <c r="F16" s="219" t="s">
        <v>294</v>
      </c>
      <c r="G16" s="224" t="s">
        <v>283</v>
      </c>
      <c r="H16" s="220" t="s">
        <v>283</v>
      </c>
      <c r="I16" s="220" t="s">
        <v>18</v>
      </c>
      <c r="J16" s="220" t="s">
        <v>15</v>
      </c>
      <c r="K16" s="220" t="s">
        <v>283</v>
      </c>
      <c r="L16" s="220" t="s">
        <v>283</v>
      </c>
      <c r="M16" s="220" t="s">
        <v>283</v>
      </c>
      <c r="N16" s="220" t="s">
        <v>283</v>
      </c>
      <c r="O16" s="221" t="s">
        <v>283</v>
      </c>
      <c r="P16" s="221" t="s">
        <v>283</v>
      </c>
      <c r="Q16" s="221" t="s">
        <v>283</v>
      </c>
      <c r="R16" s="221" t="s">
        <v>283</v>
      </c>
      <c r="S16" s="221" t="s">
        <v>20</v>
      </c>
      <c r="T16" s="221" t="s">
        <v>284</v>
      </c>
      <c r="U16" s="221" t="s">
        <v>284</v>
      </c>
      <c r="V16" s="221" t="s">
        <v>283</v>
      </c>
      <c r="W16" s="222" t="s">
        <v>283</v>
      </c>
      <c r="X16" s="222" t="s">
        <v>283</v>
      </c>
      <c r="Y16" s="223" t="s">
        <v>283</v>
      </c>
    </row>
    <row r="17" spans="1:25">
      <c r="A17" s="217">
        <v>1</v>
      </c>
      <c r="B17" s="218" t="str">
        <f>VLOOKUP(Tabel10[[#This Row],[Code]],Ruimtegroepen[[Code]:[Ruimte omschrijving]],2,FALSE)</f>
        <v>Magazijnen/bergingen</v>
      </c>
      <c r="C17" s="219" t="s">
        <v>293</v>
      </c>
      <c r="D17" s="218" t="s">
        <v>21</v>
      </c>
      <c r="E17" s="219" t="s">
        <v>99</v>
      </c>
      <c r="F17" s="219" t="s">
        <v>295</v>
      </c>
      <c r="G17" s="220" t="s">
        <v>18</v>
      </c>
      <c r="H17" s="220" t="s">
        <v>15</v>
      </c>
      <c r="I17" s="220" t="s">
        <v>283</v>
      </c>
      <c r="J17" s="220" t="s">
        <v>283</v>
      </c>
      <c r="K17" s="220" t="s">
        <v>283</v>
      </c>
      <c r="L17" s="220" t="s">
        <v>283</v>
      </c>
      <c r="M17" s="220" t="s">
        <v>283</v>
      </c>
      <c r="N17" s="220" t="s">
        <v>283</v>
      </c>
      <c r="O17" s="221" t="s">
        <v>283</v>
      </c>
      <c r="P17" s="221" t="s">
        <v>283</v>
      </c>
      <c r="Q17" s="221" t="s">
        <v>283</v>
      </c>
      <c r="R17" s="221" t="s">
        <v>283</v>
      </c>
      <c r="S17" s="221" t="s">
        <v>20</v>
      </c>
      <c r="T17" s="221" t="s">
        <v>284</v>
      </c>
      <c r="U17" s="221" t="s">
        <v>284</v>
      </c>
      <c r="V17" s="221" t="s">
        <v>283</v>
      </c>
      <c r="W17" s="222" t="s">
        <v>283</v>
      </c>
      <c r="X17" s="222" t="s">
        <v>283</v>
      </c>
      <c r="Y17" s="223" t="s">
        <v>283</v>
      </c>
    </row>
    <row r="18" spans="1:25">
      <c r="A18" s="217">
        <v>1</v>
      </c>
      <c r="B18" s="218" t="str">
        <f>VLOOKUP(Tabel10[[#This Row],[Code]],Ruimtegroepen[[Code]:[Ruimte omschrijving]],2,FALSE)</f>
        <v>Magazijnen/bergingen</v>
      </c>
      <c r="C18" s="219" t="s">
        <v>293</v>
      </c>
      <c r="D18" s="218" t="s">
        <v>21</v>
      </c>
      <c r="E18" s="219" t="s">
        <v>101</v>
      </c>
      <c r="F18" s="219" t="s">
        <v>296</v>
      </c>
      <c r="G18" s="224" t="s">
        <v>283</v>
      </c>
      <c r="H18" s="220" t="s">
        <v>283</v>
      </c>
      <c r="I18" s="220" t="s">
        <v>18</v>
      </c>
      <c r="J18" s="220" t="s">
        <v>15</v>
      </c>
      <c r="K18" s="220" t="s">
        <v>250</v>
      </c>
      <c r="L18" s="220" t="s">
        <v>283</v>
      </c>
      <c r="M18" s="220" t="s">
        <v>283</v>
      </c>
      <c r="N18" s="220" t="s">
        <v>283</v>
      </c>
      <c r="O18" s="221" t="s">
        <v>283</v>
      </c>
      <c r="P18" s="221" t="s">
        <v>283</v>
      </c>
      <c r="Q18" s="221" t="s">
        <v>283</v>
      </c>
      <c r="R18" s="221" t="s">
        <v>283</v>
      </c>
      <c r="S18" s="221" t="s">
        <v>20</v>
      </c>
      <c r="T18" s="221" t="s">
        <v>284</v>
      </c>
      <c r="U18" s="221" t="s">
        <v>284</v>
      </c>
      <c r="V18" s="221" t="s">
        <v>283</v>
      </c>
      <c r="W18" s="222" t="s">
        <v>283</v>
      </c>
      <c r="X18" s="222" t="s">
        <v>283</v>
      </c>
      <c r="Y18" s="223" t="s">
        <v>283</v>
      </c>
    </row>
    <row r="19" spans="1:25">
      <c r="A19" s="217">
        <v>1</v>
      </c>
      <c r="B19" s="218" t="str">
        <f>VLOOKUP(Tabel10[[#This Row],[Code]],Ruimtegroepen[[Code]:[Ruimte omschrijving]],2,FALSE)</f>
        <v>Magazijnen/bergingen</v>
      </c>
      <c r="C19" s="219" t="s">
        <v>293</v>
      </c>
      <c r="D19" s="218" t="s">
        <v>21</v>
      </c>
      <c r="E19" s="219" t="s">
        <v>102</v>
      </c>
      <c r="F19" s="219" t="s">
        <v>297</v>
      </c>
      <c r="G19" s="224" t="s">
        <v>283</v>
      </c>
      <c r="H19" s="220" t="s">
        <v>283</v>
      </c>
      <c r="I19" s="220" t="s">
        <v>18</v>
      </c>
      <c r="J19" s="220" t="s">
        <v>15</v>
      </c>
      <c r="K19" s="220" t="s">
        <v>250</v>
      </c>
      <c r="L19" s="220" t="s">
        <v>283</v>
      </c>
      <c r="M19" s="220" t="s">
        <v>283</v>
      </c>
      <c r="N19" s="220" t="s">
        <v>283</v>
      </c>
      <c r="O19" s="221" t="s">
        <v>283</v>
      </c>
      <c r="P19" s="221" t="s">
        <v>283</v>
      </c>
      <c r="Q19" s="221" t="s">
        <v>283</v>
      </c>
      <c r="R19" s="221" t="s">
        <v>283</v>
      </c>
      <c r="S19" s="221" t="s">
        <v>20</v>
      </c>
      <c r="T19" s="221" t="s">
        <v>284</v>
      </c>
      <c r="U19" s="221" t="s">
        <v>284</v>
      </c>
      <c r="V19" s="221" t="s">
        <v>283</v>
      </c>
      <c r="W19" s="222" t="s">
        <v>283</v>
      </c>
      <c r="X19" s="222" t="s">
        <v>283</v>
      </c>
      <c r="Y19" s="223" t="s">
        <v>283</v>
      </c>
    </row>
    <row r="20" spans="1:25">
      <c r="A20" s="217">
        <v>1</v>
      </c>
      <c r="B20" s="218" t="str">
        <f>VLOOKUP(Tabel10[[#This Row],[Code]],Ruimtegroepen[[Code]:[Ruimte omschrijving]],2,FALSE)</f>
        <v>Magazijnen/bergingen</v>
      </c>
      <c r="C20" s="219" t="s">
        <v>293</v>
      </c>
      <c r="D20" s="218" t="s">
        <v>21</v>
      </c>
      <c r="E20" s="219" t="s">
        <v>99</v>
      </c>
      <c r="F20" s="219" t="s">
        <v>295</v>
      </c>
      <c r="G20" s="220" t="s">
        <v>18</v>
      </c>
      <c r="H20" s="220" t="s">
        <v>15</v>
      </c>
      <c r="I20" s="220" t="s">
        <v>283</v>
      </c>
      <c r="J20" s="220" t="s">
        <v>283</v>
      </c>
      <c r="K20" s="220" t="s">
        <v>283</v>
      </c>
      <c r="L20" s="220" t="s">
        <v>283</v>
      </c>
      <c r="M20" s="220" t="s">
        <v>283</v>
      </c>
      <c r="N20" s="220" t="s">
        <v>283</v>
      </c>
      <c r="O20" s="221" t="s">
        <v>283</v>
      </c>
      <c r="P20" s="221" t="s">
        <v>283</v>
      </c>
      <c r="Q20" s="221" t="s">
        <v>283</v>
      </c>
      <c r="R20" s="221" t="s">
        <v>283</v>
      </c>
      <c r="S20" s="221" t="s">
        <v>20</v>
      </c>
      <c r="T20" s="221" t="s">
        <v>284</v>
      </c>
      <c r="U20" s="221" t="s">
        <v>284</v>
      </c>
      <c r="V20" s="221" t="s">
        <v>283</v>
      </c>
      <c r="W20" s="222" t="s">
        <v>283</v>
      </c>
      <c r="X20" s="222" t="s">
        <v>283</v>
      </c>
      <c r="Y20" s="223" t="s">
        <v>283</v>
      </c>
    </row>
    <row r="21" spans="1:25">
      <c r="A21" s="217">
        <v>1</v>
      </c>
      <c r="B21" s="218" t="str">
        <f>VLOOKUP(Tabel10[[#This Row],[Code]],Ruimtegroepen[[Code]:[Ruimte omschrijving]],2,FALSE)</f>
        <v>Magazijnen/bergingen</v>
      </c>
      <c r="C21" s="219" t="s">
        <v>293</v>
      </c>
      <c r="D21" s="218" t="s">
        <v>21</v>
      </c>
      <c r="E21" s="219" t="s">
        <v>1313</v>
      </c>
      <c r="F21" s="219" t="s">
        <v>1316</v>
      </c>
      <c r="G21" s="224" t="s">
        <v>283</v>
      </c>
      <c r="H21" s="220" t="s">
        <v>283</v>
      </c>
      <c r="I21" s="220" t="s">
        <v>18</v>
      </c>
      <c r="J21" s="220" t="s">
        <v>15</v>
      </c>
      <c r="K21" s="220" t="s">
        <v>250</v>
      </c>
      <c r="L21" s="220" t="s">
        <v>283</v>
      </c>
      <c r="M21" s="220" t="s">
        <v>283</v>
      </c>
      <c r="N21" s="220" t="s">
        <v>283</v>
      </c>
      <c r="O21" s="221" t="s">
        <v>283</v>
      </c>
      <c r="P21" s="221" t="s">
        <v>283</v>
      </c>
      <c r="Q21" s="221" t="s">
        <v>283</v>
      </c>
      <c r="R21" s="221" t="s">
        <v>283</v>
      </c>
      <c r="S21" s="221" t="s">
        <v>20</v>
      </c>
      <c r="T21" s="221" t="s">
        <v>284</v>
      </c>
      <c r="U21" s="221" t="s">
        <v>284</v>
      </c>
      <c r="V21" s="221" t="s">
        <v>283</v>
      </c>
      <c r="W21" s="222" t="s">
        <v>283</v>
      </c>
      <c r="X21" s="222" t="s">
        <v>283</v>
      </c>
      <c r="Y21" s="223" t="s">
        <v>283</v>
      </c>
    </row>
    <row r="22" spans="1:25">
      <c r="A22" s="217">
        <v>1</v>
      </c>
      <c r="B22" s="218" t="str">
        <f>VLOOKUP(Tabel10[[#This Row],[Code]],Ruimtegroepen[[Code]:[Ruimte omschrijving]],2,FALSE)</f>
        <v>Magazijnen/bergingen</v>
      </c>
      <c r="C22" s="219" t="s">
        <v>298</v>
      </c>
      <c r="D22" s="218" t="s">
        <v>12</v>
      </c>
      <c r="E22" s="219" t="s">
        <v>100</v>
      </c>
      <c r="F22" s="219" t="s">
        <v>299</v>
      </c>
      <c r="G22" s="224" t="s">
        <v>283</v>
      </c>
      <c r="H22" s="220" t="s">
        <v>283</v>
      </c>
      <c r="I22" s="220" t="s">
        <v>17</v>
      </c>
      <c r="J22" s="220" t="s">
        <v>15</v>
      </c>
      <c r="K22" s="220" t="s">
        <v>283</v>
      </c>
      <c r="L22" s="220" t="s">
        <v>283</v>
      </c>
      <c r="M22" s="220" t="s">
        <v>283</v>
      </c>
      <c r="N22" s="220" t="s">
        <v>283</v>
      </c>
      <c r="O22" s="221" t="s">
        <v>283</v>
      </c>
      <c r="P22" s="221" t="s">
        <v>283</v>
      </c>
      <c r="Q22" s="221" t="s">
        <v>283</v>
      </c>
      <c r="R22" s="221" t="s">
        <v>283</v>
      </c>
      <c r="S22" s="221" t="s">
        <v>18</v>
      </c>
      <c r="T22" s="221" t="s">
        <v>284</v>
      </c>
      <c r="U22" s="221" t="s">
        <v>284</v>
      </c>
      <c r="V22" s="221"/>
      <c r="W22" s="222" t="s">
        <v>283</v>
      </c>
      <c r="X22" s="222" t="s">
        <v>283</v>
      </c>
      <c r="Y22" s="223" t="s">
        <v>283</v>
      </c>
    </row>
    <row r="23" spans="1:25">
      <c r="A23" s="217">
        <v>1</v>
      </c>
      <c r="B23" s="218" t="str">
        <f>VLOOKUP(Tabel10[[#This Row],[Code]],Ruimtegroepen[[Code]:[Ruimte omschrijving]],2,FALSE)</f>
        <v>Magazijnen/bergingen</v>
      </c>
      <c r="C23" s="219" t="s">
        <v>298</v>
      </c>
      <c r="D23" s="218" t="s">
        <v>12</v>
      </c>
      <c r="E23" s="219" t="s">
        <v>99</v>
      </c>
      <c r="F23" s="219" t="s">
        <v>300</v>
      </c>
      <c r="G23" s="220" t="s">
        <v>17</v>
      </c>
      <c r="H23" s="220" t="s">
        <v>15</v>
      </c>
      <c r="I23" s="220" t="s">
        <v>283</v>
      </c>
      <c r="J23" s="220" t="s">
        <v>283</v>
      </c>
      <c r="K23" s="220" t="s">
        <v>283</v>
      </c>
      <c r="L23" s="220" t="s">
        <v>283</v>
      </c>
      <c r="M23" s="220" t="s">
        <v>283</v>
      </c>
      <c r="N23" s="220" t="s">
        <v>283</v>
      </c>
      <c r="O23" s="221" t="s">
        <v>283</v>
      </c>
      <c r="P23" s="221" t="s">
        <v>283</v>
      </c>
      <c r="Q23" s="221" t="s">
        <v>283</v>
      </c>
      <c r="R23" s="221" t="s">
        <v>283</v>
      </c>
      <c r="S23" s="221" t="s">
        <v>18</v>
      </c>
      <c r="T23" s="221" t="s">
        <v>284</v>
      </c>
      <c r="U23" s="221" t="s">
        <v>284</v>
      </c>
      <c r="V23" s="221" t="s">
        <v>283</v>
      </c>
      <c r="W23" s="222" t="s">
        <v>283</v>
      </c>
      <c r="X23" s="222" t="s">
        <v>283</v>
      </c>
      <c r="Y23" s="223" t="s">
        <v>283</v>
      </c>
    </row>
    <row r="24" spans="1:25">
      <c r="A24" s="217">
        <v>1</v>
      </c>
      <c r="B24" s="218" t="str">
        <f>VLOOKUP(Tabel10[[#This Row],[Code]],Ruimtegroepen[[Code]:[Ruimte omschrijving]],2,FALSE)</f>
        <v>Magazijnen/bergingen</v>
      </c>
      <c r="C24" s="219" t="s">
        <v>298</v>
      </c>
      <c r="D24" s="218" t="s">
        <v>12</v>
      </c>
      <c r="E24" s="219" t="s">
        <v>101</v>
      </c>
      <c r="F24" s="219" t="s">
        <v>301</v>
      </c>
      <c r="G24" s="224" t="s">
        <v>283</v>
      </c>
      <c r="H24" s="220" t="s">
        <v>283</v>
      </c>
      <c r="I24" s="220" t="s">
        <v>17</v>
      </c>
      <c r="J24" s="220" t="s">
        <v>15</v>
      </c>
      <c r="K24" s="220" t="s">
        <v>250</v>
      </c>
      <c r="L24" s="220" t="s">
        <v>283</v>
      </c>
      <c r="M24" s="220" t="s">
        <v>283</v>
      </c>
      <c r="N24" s="220" t="s">
        <v>283</v>
      </c>
      <c r="O24" s="221" t="s">
        <v>283</v>
      </c>
      <c r="P24" s="221" t="s">
        <v>283</v>
      </c>
      <c r="Q24" s="221" t="s">
        <v>283</v>
      </c>
      <c r="R24" s="221" t="s">
        <v>283</v>
      </c>
      <c r="S24" s="221" t="s">
        <v>18</v>
      </c>
      <c r="T24" s="221" t="s">
        <v>284</v>
      </c>
      <c r="U24" s="221" t="s">
        <v>284</v>
      </c>
      <c r="V24" s="221" t="s">
        <v>283</v>
      </c>
      <c r="W24" s="222" t="s">
        <v>283</v>
      </c>
      <c r="X24" s="222" t="s">
        <v>283</v>
      </c>
      <c r="Y24" s="223" t="s">
        <v>283</v>
      </c>
    </row>
    <row r="25" spans="1:25">
      <c r="A25" s="217">
        <v>1</v>
      </c>
      <c r="B25" s="218" t="str">
        <f>VLOOKUP(Tabel10[[#This Row],[Code]],Ruimtegroepen[[Code]:[Ruimte omschrijving]],2,FALSE)</f>
        <v>Magazijnen/bergingen</v>
      </c>
      <c r="C25" s="219" t="s">
        <v>298</v>
      </c>
      <c r="D25" s="218" t="s">
        <v>12</v>
      </c>
      <c r="E25" s="219" t="s">
        <v>102</v>
      </c>
      <c r="F25" s="219" t="s">
        <v>302</v>
      </c>
      <c r="G25" s="224" t="s">
        <v>283</v>
      </c>
      <c r="H25" s="220" t="s">
        <v>283</v>
      </c>
      <c r="I25" s="220" t="s">
        <v>17</v>
      </c>
      <c r="J25" s="220" t="s">
        <v>15</v>
      </c>
      <c r="K25" s="220" t="s">
        <v>250</v>
      </c>
      <c r="L25" s="220" t="s">
        <v>283</v>
      </c>
      <c r="M25" s="220" t="s">
        <v>283</v>
      </c>
      <c r="N25" s="220" t="s">
        <v>283</v>
      </c>
      <c r="O25" s="221" t="s">
        <v>283</v>
      </c>
      <c r="P25" s="221" t="s">
        <v>283</v>
      </c>
      <c r="Q25" s="221" t="s">
        <v>283</v>
      </c>
      <c r="R25" s="221" t="s">
        <v>283</v>
      </c>
      <c r="S25" s="221" t="s">
        <v>18</v>
      </c>
      <c r="T25" s="221" t="s">
        <v>284</v>
      </c>
      <c r="U25" s="221" t="s">
        <v>284</v>
      </c>
      <c r="V25" s="221" t="s">
        <v>283</v>
      </c>
      <c r="W25" s="222" t="s">
        <v>283</v>
      </c>
      <c r="X25" s="222" t="s">
        <v>283</v>
      </c>
      <c r="Y25" s="223" t="s">
        <v>283</v>
      </c>
    </row>
    <row r="26" spans="1:25">
      <c r="A26" s="217">
        <v>1</v>
      </c>
      <c r="B26" s="218" t="str">
        <f>VLOOKUP(Tabel10[[#This Row],[Code]],Ruimtegroepen[[Code]:[Ruimte omschrijving]],2,FALSE)</f>
        <v>Magazijnen/bergingen</v>
      </c>
      <c r="C26" s="219" t="s">
        <v>298</v>
      </c>
      <c r="D26" s="218" t="s">
        <v>12</v>
      </c>
      <c r="E26" s="219" t="s">
        <v>99</v>
      </c>
      <c r="F26" s="219" t="s">
        <v>300</v>
      </c>
      <c r="G26" s="220" t="s">
        <v>17</v>
      </c>
      <c r="H26" s="220" t="s">
        <v>15</v>
      </c>
      <c r="I26" s="220" t="s">
        <v>283</v>
      </c>
      <c r="J26" s="220" t="s">
        <v>283</v>
      </c>
      <c r="K26" s="220" t="s">
        <v>283</v>
      </c>
      <c r="L26" s="220" t="s">
        <v>283</v>
      </c>
      <c r="M26" s="220" t="s">
        <v>283</v>
      </c>
      <c r="N26" s="220" t="s">
        <v>283</v>
      </c>
      <c r="O26" s="221" t="s">
        <v>283</v>
      </c>
      <c r="P26" s="221" t="s">
        <v>283</v>
      </c>
      <c r="Q26" s="221" t="s">
        <v>283</v>
      </c>
      <c r="R26" s="221" t="s">
        <v>283</v>
      </c>
      <c r="S26" s="221" t="s">
        <v>18</v>
      </c>
      <c r="T26" s="221" t="s">
        <v>284</v>
      </c>
      <c r="U26" s="221" t="s">
        <v>284</v>
      </c>
      <c r="V26" s="221" t="s">
        <v>283</v>
      </c>
      <c r="W26" s="222" t="s">
        <v>283</v>
      </c>
      <c r="X26" s="222" t="s">
        <v>283</v>
      </c>
      <c r="Y26" s="223" t="s">
        <v>283</v>
      </c>
    </row>
    <row r="27" spans="1:25">
      <c r="A27" s="217">
        <v>1</v>
      </c>
      <c r="B27" s="218" t="str">
        <f>VLOOKUP(Tabel10[[#This Row],[Code]],Ruimtegroepen[[Code]:[Ruimte omschrijving]],2,FALSE)</f>
        <v>Magazijnen/bergingen</v>
      </c>
      <c r="C27" s="219" t="s">
        <v>298</v>
      </c>
      <c r="D27" s="218" t="s">
        <v>12</v>
      </c>
      <c r="E27" s="219" t="s">
        <v>1313</v>
      </c>
      <c r="F27" s="219" t="s">
        <v>1317</v>
      </c>
      <c r="G27" s="224" t="s">
        <v>283</v>
      </c>
      <c r="H27" s="220" t="s">
        <v>283</v>
      </c>
      <c r="I27" s="220" t="s">
        <v>17</v>
      </c>
      <c r="J27" s="220" t="s">
        <v>15</v>
      </c>
      <c r="K27" s="220" t="s">
        <v>250</v>
      </c>
      <c r="L27" s="220" t="s">
        <v>283</v>
      </c>
      <c r="M27" s="220" t="s">
        <v>283</v>
      </c>
      <c r="N27" s="220" t="s">
        <v>283</v>
      </c>
      <c r="O27" s="221" t="s">
        <v>283</v>
      </c>
      <c r="P27" s="221" t="s">
        <v>283</v>
      </c>
      <c r="Q27" s="221" t="s">
        <v>283</v>
      </c>
      <c r="R27" s="221" t="s">
        <v>283</v>
      </c>
      <c r="S27" s="221" t="s">
        <v>18</v>
      </c>
      <c r="T27" s="221" t="s">
        <v>284</v>
      </c>
      <c r="U27" s="221" t="s">
        <v>284</v>
      </c>
      <c r="V27" s="221" t="s">
        <v>283</v>
      </c>
      <c r="W27" s="222" t="s">
        <v>283</v>
      </c>
      <c r="X27" s="222" t="s">
        <v>283</v>
      </c>
      <c r="Y27" s="223" t="s">
        <v>283</v>
      </c>
    </row>
    <row r="28" spans="1:25">
      <c r="A28" s="217">
        <v>1</v>
      </c>
      <c r="B28" s="218" t="str">
        <f>VLOOKUP(Tabel10[[#This Row],[Code]],Ruimtegroepen[[Code]:[Ruimte omschrijving]],2,FALSE)</f>
        <v>Magazijnen/bergingen</v>
      </c>
      <c r="C28" s="219" t="s">
        <v>303</v>
      </c>
      <c r="D28" s="218" t="s">
        <v>14</v>
      </c>
      <c r="E28" s="219" t="s">
        <v>100</v>
      </c>
      <c r="F28" s="219" t="s">
        <v>304</v>
      </c>
      <c r="G28" s="224" t="s">
        <v>283</v>
      </c>
      <c r="H28" s="220" t="s">
        <v>283</v>
      </c>
      <c r="I28" s="220" t="s">
        <v>15</v>
      </c>
      <c r="J28" s="220" t="s">
        <v>15</v>
      </c>
      <c r="K28" s="220" t="s">
        <v>283</v>
      </c>
      <c r="L28" s="220" t="s">
        <v>283</v>
      </c>
      <c r="M28" s="220" t="s">
        <v>283</v>
      </c>
      <c r="N28" s="220" t="s">
        <v>283</v>
      </c>
      <c r="O28" s="221" t="s">
        <v>283</v>
      </c>
      <c r="P28" s="221" t="s">
        <v>283</v>
      </c>
      <c r="Q28" s="221" t="s">
        <v>283</v>
      </c>
      <c r="R28" s="221" t="s">
        <v>283</v>
      </c>
      <c r="S28" s="221" t="s">
        <v>17</v>
      </c>
      <c r="T28" s="221" t="s">
        <v>284</v>
      </c>
      <c r="U28" s="221" t="s">
        <v>284</v>
      </c>
      <c r="V28" s="221" t="s">
        <v>283</v>
      </c>
      <c r="W28" s="222" t="s">
        <v>283</v>
      </c>
      <c r="X28" s="222" t="s">
        <v>283</v>
      </c>
      <c r="Y28" s="223" t="s">
        <v>283</v>
      </c>
    </row>
    <row r="29" spans="1:25">
      <c r="A29" s="217">
        <v>1</v>
      </c>
      <c r="B29" s="218" t="str">
        <f>VLOOKUP(Tabel10[[#This Row],[Code]],Ruimtegroepen[[Code]:[Ruimte omschrijving]],2,FALSE)</f>
        <v>Magazijnen/bergingen</v>
      </c>
      <c r="C29" s="219" t="s">
        <v>303</v>
      </c>
      <c r="D29" s="218" t="s">
        <v>14</v>
      </c>
      <c r="E29" s="219" t="s">
        <v>99</v>
      </c>
      <c r="F29" s="219" t="s">
        <v>305</v>
      </c>
      <c r="G29" s="220" t="s">
        <v>15</v>
      </c>
      <c r="H29" s="220" t="s">
        <v>15</v>
      </c>
      <c r="I29" s="220" t="s">
        <v>283</v>
      </c>
      <c r="J29" s="220" t="s">
        <v>283</v>
      </c>
      <c r="K29" s="220" t="s">
        <v>283</v>
      </c>
      <c r="L29" s="220" t="s">
        <v>283</v>
      </c>
      <c r="M29" s="220" t="s">
        <v>283</v>
      </c>
      <c r="N29" s="220" t="s">
        <v>283</v>
      </c>
      <c r="O29" s="221" t="s">
        <v>283</v>
      </c>
      <c r="P29" s="221" t="s">
        <v>283</v>
      </c>
      <c r="Q29" s="221" t="s">
        <v>283</v>
      </c>
      <c r="R29" s="221" t="s">
        <v>283</v>
      </c>
      <c r="S29" s="221" t="s">
        <v>17</v>
      </c>
      <c r="T29" s="221" t="s">
        <v>284</v>
      </c>
      <c r="U29" s="221" t="s">
        <v>284</v>
      </c>
      <c r="V29" s="221" t="s">
        <v>283</v>
      </c>
      <c r="W29" s="222" t="s">
        <v>283</v>
      </c>
      <c r="X29" s="222" t="s">
        <v>283</v>
      </c>
      <c r="Y29" s="223" t="s">
        <v>283</v>
      </c>
    </row>
    <row r="30" spans="1:25">
      <c r="A30" s="217">
        <v>1</v>
      </c>
      <c r="B30" s="218" t="str">
        <f>VLOOKUP(Tabel10[[#This Row],[Code]],Ruimtegroepen[[Code]:[Ruimte omschrijving]],2,FALSE)</f>
        <v>Magazijnen/bergingen</v>
      </c>
      <c r="C30" s="219" t="s">
        <v>303</v>
      </c>
      <c r="D30" s="218" t="s">
        <v>14</v>
      </c>
      <c r="E30" s="219" t="s">
        <v>101</v>
      </c>
      <c r="F30" s="219" t="s">
        <v>306</v>
      </c>
      <c r="G30" s="224" t="s">
        <v>283</v>
      </c>
      <c r="H30" s="220" t="s">
        <v>283</v>
      </c>
      <c r="I30" s="220" t="s">
        <v>15</v>
      </c>
      <c r="J30" s="220" t="s">
        <v>15</v>
      </c>
      <c r="K30" s="220" t="s">
        <v>250</v>
      </c>
      <c r="L30" s="220" t="s">
        <v>283</v>
      </c>
      <c r="M30" s="220" t="s">
        <v>283</v>
      </c>
      <c r="N30" s="220" t="s">
        <v>283</v>
      </c>
      <c r="O30" s="221" t="s">
        <v>283</v>
      </c>
      <c r="P30" s="221" t="s">
        <v>283</v>
      </c>
      <c r="Q30" s="221" t="s">
        <v>283</v>
      </c>
      <c r="R30" s="221" t="s">
        <v>283</v>
      </c>
      <c r="S30" s="221" t="s">
        <v>17</v>
      </c>
      <c r="T30" s="221" t="s">
        <v>284</v>
      </c>
      <c r="U30" s="221" t="s">
        <v>284</v>
      </c>
      <c r="V30" s="221" t="s">
        <v>283</v>
      </c>
      <c r="W30" s="222" t="s">
        <v>283</v>
      </c>
      <c r="X30" s="222" t="s">
        <v>283</v>
      </c>
      <c r="Y30" s="223" t="s">
        <v>283</v>
      </c>
    </row>
    <row r="31" spans="1:25">
      <c r="A31" s="217">
        <v>1</v>
      </c>
      <c r="B31" s="218" t="str">
        <f>VLOOKUP(Tabel10[[#This Row],[Code]],Ruimtegroepen[[Code]:[Ruimte omschrijving]],2,FALSE)</f>
        <v>Magazijnen/bergingen</v>
      </c>
      <c r="C31" s="219" t="s">
        <v>303</v>
      </c>
      <c r="D31" s="218" t="s">
        <v>14</v>
      </c>
      <c r="E31" s="219" t="s">
        <v>102</v>
      </c>
      <c r="F31" s="219" t="s">
        <v>307</v>
      </c>
      <c r="G31" s="224" t="s">
        <v>283</v>
      </c>
      <c r="H31" s="220" t="s">
        <v>283</v>
      </c>
      <c r="I31" s="220" t="s">
        <v>15</v>
      </c>
      <c r="J31" s="220" t="s">
        <v>15</v>
      </c>
      <c r="K31" s="220" t="s">
        <v>250</v>
      </c>
      <c r="L31" s="220" t="s">
        <v>283</v>
      </c>
      <c r="M31" s="220" t="s">
        <v>283</v>
      </c>
      <c r="N31" s="220" t="s">
        <v>283</v>
      </c>
      <c r="O31" s="221" t="s">
        <v>283</v>
      </c>
      <c r="P31" s="221" t="s">
        <v>283</v>
      </c>
      <c r="Q31" s="221" t="s">
        <v>283</v>
      </c>
      <c r="R31" s="221" t="s">
        <v>283</v>
      </c>
      <c r="S31" s="221" t="s">
        <v>17</v>
      </c>
      <c r="T31" s="221" t="s">
        <v>284</v>
      </c>
      <c r="U31" s="221" t="s">
        <v>284</v>
      </c>
      <c r="V31" s="221" t="s">
        <v>283</v>
      </c>
      <c r="W31" s="222" t="s">
        <v>283</v>
      </c>
      <c r="X31" s="222" t="s">
        <v>283</v>
      </c>
      <c r="Y31" s="223" t="s">
        <v>283</v>
      </c>
    </row>
    <row r="32" spans="1:25">
      <c r="A32" s="217">
        <v>1</v>
      </c>
      <c r="B32" s="218" t="str">
        <f>VLOOKUP(Tabel10[[#This Row],[Code]],Ruimtegroepen[[Code]:[Ruimte omschrijving]],2,FALSE)</f>
        <v>Magazijnen/bergingen</v>
      </c>
      <c r="C32" s="219" t="s">
        <v>303</v>
      </c>
      <c r="D32" s="218" t="s">
        <v>14</v>
      </c>
      <c r="E32" s="219" t="s">
        <v>99</v>
      </c>
      <c r="F32" s="219" t="s">
        <v>305</v>
      </c>
      <c r="G32" s="220" t="s">
        <v>15</v>
      </c>
      <c r="H32" s="220" t="s">
        <v>15</v>
      </c>
      <c r="I32" s="220" t="s">
        <v>283</v>
      </c>
      <c r="J32" s="220" t="s">
        <v>283</v>
      </c>
      <c r="K32" s="220" t="s">
        <v>283</v>
      </c>
      <c r="L32" s="220" t="s">
        <v>283</v>
      </c>
      <c r="M32" s="220" t="s">
        <v>283</v>
      </c>
      <c r="N32" s="220" t="s">
        <v>283</v>
      </c>
      <c r="O32" s="221" t="s">
        <v>283</v>
      </c>
      <c r="P32" s="221" t="s">
        <v>283</v>
      </c>
      <c r="Q32" s="221" t="s">
        <v>283</v>
      </c>
      <c r="R32" s="221" t="s">
        <v>283</v>
      </c>
      <c r="S32" s="221" t="s">
        <v>17</v>
      </c>
      <c r="T32" s="221" t="s">
        <v>284</v>
      </c>
      <c r="U32" s="221" t="s">
        <v>284</v>
      </c>
      <c r="V32" s="221" t="s">
        <v>283</v>
      </c>
      <c r="W32" s="222" t="s">
        <v>283</v>
      </c>
      <c r="X32" s="222" t="s">
        <v>283</v>
      </c>
      <c r="Y32" s="223" t="s">
        <v>283</v>
      </c>
    </row>
    <row r="33" spans="1:25">
      <c r="A33" s="217">
        <v>1</v>
      </c>
      <c r="B33" s="218" t="str">
        <f>VLOOKUP(Tabel10[[#This Row],[Code]],Ruimtegroepen[[Code]:[Ruimte omschrijving]],2,FALSE)</f>
        <v>Magazijnen/bergingen</v>
      </c>
      <c r="C33" s="219" t="s">
        <v>303</v>
      </c>
      <c r="D33" s="218" t="s">
        <v>14</v>
      </c>
      <c r="E33" s="219" t="s">
        <v>1313</v>
      </c>
      <c r="F33" s="219" t="s">
        <v>1318</v>
      </c>
      <c r="G33" s="224" t="s">
        <v>283</v>
      </c>
      <c r="H33" s="220" t="s">
        <v>283</v>
      </c>
      <c r="I33" s="220" t="s">
        <v>15</v>
      </c>
      <c r="J33" s="220" t="s">
        <v>15</v>
      </c>
      <c r="K33" s="220" t="s">
        <v>250</v>
      </c>
      <c r="L33" s="220" t="s">
        <v>283</v>
      </c>
      <c r="M33" s="220" t="s">
        <v>283</v>
      </c>
      <c r="N33" s="220" t="s">
        <v>283</v>
      </c>
      <c r="O33" s="221" t="s">
        <v>283</v>
      </c>
      <c r="P33" s="221" t="s">
        <v>283</v>
      </c>
      <c r="Q33" s="221" t="s">
        <v>283</v>
      </c>
      <c r="R33" s="221" t="s">
        <v>283</v>
      </c>
      <c r="S33" s="221" t="s">
        <v>17</v>
      </c>
      <c r="T33" s="221" t="s">
        <v>284</v>
      </c>
      <c r="U33" s="221" t="s">
        <v>284</v>
      </c>
      <c r="V33" s="221" t="s">
        <v>283</v>
      </c>
      <c r="W33" s="222" t="s">
        <v>283</v>
      </c>
      <c r="X33" s="222" t="s">
        <v>283</v>
      </c>
      <c r="Y33" s="223" t="s">
        <v>283</v>
      </c>
    </row>
    <row r="34" spans="1:25">
      <c r="A34" s="217">
        <v>1</v>
      </c>
      <c r="B34" s="218" t="str">
        <f>VLOOKUP(Tabel10[[#This Row],[Code]],Ruimtegroepen[[Code]:[Ruimte omschrijving]],2,FALSE)</f>
        <v>Magazijnen/bergingen</v>
      </c>
      <c r="C34" s="219" t="s">
        <v>308</v>
      </c>
      <c r="D34" s="218" t="s">
        <v>13</v>
      </c>
      <c r="E34" s="219" t="s">
        <v>100</v>
      </c>
      <c r="F34" s="219" t="s">
        <v>309</v>
      </c>
      <c r="G34" s="224" t="s">
        <v>283</v>
      </c>
      <c r="H34" s="220" t="s">
        <v>283</v>
      </c>
      <c r="I34" s="220" t="s">
        <v>15</v>
      </c>
      <c r="J34" s="220" t="s">
        <v>15</v>
      </c>
      <c r="K34" s="220" t="s">
        <v>283</v>
      </c>
      <c r="L34" s="220" t="s">
        <v>283</v>
      </c>
      <c r="M34" s="220" t="s">
        <v>283</v>
      </c>
      <c r="N34" s="220" t="s">
        <v>283</v>
      </c>
      <c r="O34" s="221" t="s">
        <v>283</v>
      </c>
      <c r="P34" s="221" t="s">
        <v>283</v>
      </c>
      <c r="Q34" s="221" t="s">
        <v>283</v>
      </c>
      <c r="R34" s="221" t="s">
        <v>283</v>
      </c>
      <c r="S34" s="221" t="s">
        <v>15</v>
      </c>
      <c r="T34" s="221" t="s">
        <v>284</v>
      </c>
      <c r="U34" s="221" t="s">
        <v>284</v>
      </c>
      <c r="V34" s="221" t="s">
        <v>283</v>
      </c>
      <c r="W34" s="222" t="s">
        <v>283</v>
      </c>
      <c r="X34" s="222" t="s">
        <v>283</v>
      </c>
      <c r="Y34" s="223" t="s">
        <v>283</v>
      </c>
    </row>
    <row r="35" spans="1:25">
      <c r="A35" s="217">
        <v>1</v>
      </c>
      <c r="B35" s="218" t="str">
        <f>VLOOKUP(Tabel10[[#This Row],[Code]],Ruimtegroepen[[Code]:[Ruimte omschrijving]],2,FALSE)</f>
        <v>Magazijnen/bergingen</v>
      </c>
      <c r="C35" s="219" t="s">
        <v>308</v>
      </c>
      <c r="D35" s="218" t="s">
        <v>13</v>
      </c>
      <c r="E35" s="219" t="s">
        <v>99</v>
      </c>
      <c r="F35" s="219" t="s">
        <v>310</v>
      </c>
      <c r="G35" s="224" t="s">
        <v>283</v>
      </c>
      <c r="H35" s="220" t="s">
        <v>15</v>
      </c>
      <c r="I35" s="220" t="s">
        <v>283</v>
      </c>
      <c r="J35" s="220" t="s">
        <v>283</v>
      </c>
      <c r="K35" s="220" t="s">
        <v>283</v>
      </c>
      <c r="L35" s="220" t="s">
        <v>283</v>
      </c>
      <c r="M35" s="220" t="s">
        <v>283</v>
      </c>
      <c r="N35" s="220" t="s">
        <v>283</v>
      </c>
      <c r="O35" s="221" t="s">
        <v>283</v>
      </c>
      <c r="P35" s="221" t="s">
        <v>283</v>
      </c>
      <c r="Q35" s="221" t="s">
        <v>283</v>
      </c>
      <c r="R35" s="221" t="s">
        <v>283</v>
      </c>
      <c r="S35" s="221" t="s">
        <v>15</v>
      </c>
      <c r="T35" s="221" t="s">
        <v>284</v>
      </c>
      <c r="U35" s="221" t="s">
        <v>284</v>
      </c>
      <c r="V35" s="221" t="s">
        <v>283</v>
      </c>
      <c r="W35" s="222" t="s">
        <v>283</v>
      </c>
      <c r="X35" s="222" t="s">
        <v>283</v>
      </c>
      <c r="Y35" s="223" t="s">
        <v>283</v>
      </c>
    </row>
    <row r="36" spans="1:25">
      <c r="A36" s="217">
        <v>1</v>
      </c>
      <c r="B36" s="218" t="str">
        <f>VLOOKUP(Tabel10[[#This Row],[Code]],Ruimtegroepen[[Code]:[Ruimte omschrijving]],2,FALSE)</f>
        <v>Magazijnen/bergingen</v>
      </c>
      <c r="C36" s="219" t="s">
        <v>308</v>
      </c>
      <c r="D36" s="218" t="s">
        <v>13</v>
      </c>
      <c r="E36" s="219" t="s">
        <v>101</v>
      </c>
      <c r="F36" s="219" t="s">
        <v>311</v>
      </c>
      <c r="G36" s="224" t="s">
        <v>283</v>
      </c>
      <c r="H36" s="220" t="s">
        <v>283</v>
      </c>
      <c r="I36" s="220" t="s">
        <v>283</v>
      </c>
      <c r="J36" s="220" t="s">
        <v>15</v>
      </c>
      <c r="K36" s="220" t="s">
        <v>250</v>
      </c>
      <c r="L36" s="220" t="s">
        <v>283</v>
      </c>
      <c r="M36" s="220" t="s">
        <v>283</v>
      </c>
      <c r="N36" s="220" t="s">
        <v>283</v>
      </c>
      <c r="O36" s="221" t="s">
        <v>283</v>
      </c>
      <c r="P36" s="221" t="s">
        <v>283</v>
      </c>
      <c r="Q36" s="221" t="s">
        <v>283</v>
      </c>
      <c r="R36" s="221" t="s">
        <v>283</v>
      </c>
      <c r="S36" s="221" t="s">
        <v>15</v>
      </c>
      <c r="T36" s="221" t="s">
        <v>284</v>
      </c>
      <c r="U36" s="221" t="s">
        <v>284</v>
      </c>
      <c r="V36" s="221" t="s">
        <v>283</v>
      </c>
      <c r="W36" s="222" t="s">
        <v>283</v>
      </c>
      <c r="X36" s="222" t="s">
        <v>283</v>
      </c>
      <c r="Y36" s="223" t="s">
        <v>283</v>
      </c>
    </row>
    <row r="37" spans="1:25">
      <c r="A37" s="217">
        <v>1</v>
      </c>
      <c r="B37" s="218" t="str">
        <f>VLOOKUP(Tabel10[[#This Row],[Code]],Ruimtegroepen[[Code]:[Ruimte omschrijving]],2,FALSE)</f>
        <v>Magazijnen/bergingen</v>
      </c>
      <c r="C37" s="219" t="s">
        <v>308</v>
      </c>
      <c r="D37" s="218" t="s">
        <v>13</v>
      </c>
      <c r="E37" s="219" t="s">
        <v>102</v>
      </c>
      <c r="F37" s="219" t="s">
        <v>312</v>
      </c>
      <c r="G37" s="224" t="s">
        <v>283</v>
      </c>
      <c r="H37" s="220" t="s">
        <v>283</v>
      </c>
      <c r="I37" s="220" t="s">
        <v>15</v>
      </c>
      <c r="J37" s="220" t="s">
        <v>15</v>
      </c>
      <c r="K37" s="220" t="s">
        <v>250</v>
      </c>
      <c r="L37" s="220" t="s">
        <v>283</v>
      </c>
      <c r="M37" s="220" t="s">
        <v>283</v>
      </c>
      <c r="N37" s="220" t="s">
        <v>283</v>
      </c>
      <c r="O37" s="221" t="s">
        <v>283</v>
      </c>
      <c r="P37" s="221" t="s">
        <v>283</v>
      </c>
      <c r="Q37" s="221" t="s">
        <v>283</v>
      </c>
      <c r="R37" s="221" t="s">
        <v>283</v>
      </c>
      <c r="S37" s="221" t="s">
        <v>15</v>
      </c>
      <c r="T37" s="221" t="s">
        <v>284</v>
      </c>
      <c r="U37" s="221" t="s">
        <v>284</v>
      </c>
      <c r="V37" s="221" t="s">
        <v>283</v>
      </c>
      <c r="W37" s="222" t="s">
        <v>283</v>
      </c>
      <c r="X37" s="222" t="s">
        <v>283</v>
      </c>
      <c r="Y37" s="223" t="s">
        <v>283</v>
      </c>
    </row>
    <row r="38" spans="1:25">
      <c r="A38" s="217">
        <v>1</v>
      </c>
      <c r="B38" s="218" t="str">
        <f>VLOOKUP(Tabel10[[#This Row],[Code]],Ruimtegroepen[[Code]:[Ruimte omschrijving]],2,FALSE)</f>
        <v>Magazijnen/bergingen</v>
      </c>
      <c r="C38" s="219" t="s">
        <v>308</v>
      </c>
      <c r="D38" s="218" t="s">
        <v>13</v>
      </c>
      <c r="E38" s="219" t="s">
        <v>99</v>
      </c>
      <c r="F38" s="219" t="s">
        <v>310</v>
      </c>
      <c r="G38" s="224" t="s">
        <v>283</v>
      </c>
      <c r="H38" s="220" t="s">
        <v>15</v>
      </c>
      <c r="I38" s="220" t="s">
        <v>283</v>
      </c>
      <c r="J38" s="220" t="s">
        <v>283</v>
      </c>
      <c r="K38" s="220" t="s">
        <v>283</v>
      </c>
      <c r="L38" s="220" t="s">
        <v>283</v>
      </c>
      <c r="M38" s="220" t="s">
        <v>283</v>
      </c>
      <c r="N38" s="220" t="s">
        <v>283</v>
      </c>
      <c r="O38" s="221" t="s">
        <v>283</v>
      </c>
      <c r="P38" s="221" t="s">
        <v>283</v>
      </c>
      <c r="Q38" s="221" t="s">
        <v>283</v>
      </c>
      <c r="R38" s="221" t="s">
        <v>283</v>
      </c>
      <c r="S38" s="221" t="s">
        <v>15</v>
      </c>
      <c r="T38" s="221" t="s">
        <v>284</v>
      </c>
      <c r="U38" s="221" t="s">
        <v>284</v>
      </c>
      <c r="V38" s="221" t="s">
        <v>283</v>
      </c>
      <c r="W38" s="222" t="s">
        <v>283</v>
      </c>
      <c r="X38" s="222" t="s">
        <v>283</v>
      </c>
      <c r="Y38" s="223" t="s">
        <v>283</v>
      </c>
    </row>
    <row r="39" spans="1:25">
      <c r="A39" s="217">
        <v>1</v>
      </c>
      <c r="B39" s="218" t="str">
        <f>VLOOKUP(Tabel10[[#This Row],[Code]],Ruimtegroepen[[Code]:[Ruimte omschrijving]],2,FALSE)</f>
        <v>Magazijnen/bergingen</v>
      </c>
      <c r="C39" s="219" t="s">
        <v>308</v>
      </c>
      <c r="D39" s="218" t="s">
        <v>13</v>
      </c>
      <c r="E39" s="219" t="s">
        <v>1313</v>
      </c>
      <c r="F39" s="219" t="s">
        <v>1319</v>
      </c>
      <c r="G39" s="224" t="s">
        <v>283</v>
      </c>
      <c r="H39" s="220" t="s">
        <v>283</v>
      </c>
      <c r="I39" s="220" t="s">
        <v>15</v>
      </c>
      <c r="J39" s="220" t="s">
        <v>15</v>
      </c>
      <c r="K39" s="220" t="s">
        <v>250</v>
      </c>
      <c r="L39" s="220" t="s">
        <v>283</v>
      </c>
      <c r="M39" s="220" t="s">
        <v>283</v>
      </c>
      <c r="N39" s="220" t="s">
        <v>283</v>
      </c>
      <c r="O39" s="221" t="s">
        <v>283</v>
      </c>
      <c r="P39" s="221" t="s">
        <v>283</v>
      </c>
      <c r="Q39" s="221" t="s">
        <v>283</v>
      </c>
      <c r="R39" s="221" t="s">
        <v>283</v>
      </c>
      <c r="S39" s="221" t="s">
        <v>15</v>
      </c>
      <c r="T39" s="221" t="s">
        <v>284</v>
      </c>
      <c r="U39" s="221" t="s">
        <v>284</v>
      </c>
      <c r="V39" s="221" t="s">
        <v>283</v>
      </c>
      <c r="W39" s="222" t="s">
        <v>283</v>
      </c>
      <c r="X39" s="222" t="s">
        <v>283</v>
      </c>
      <c r="Y39" s="223" t="s">
        <v>283</v>
      </c>
    </row>
    <row r="40" spans="1:25">
      <c r="A40" s="217">
        <v>1</v>
      </c>
      <c r="B40" s="218" t="str">
        <f>VLOOKUP(Tabel10[[#This Row],[Code]],Ruimtegroepen[[Code]:[Ruimte omschrijving]],2,FALSE)</f>
        <v>Magazijnen/bergingen</v>
      </c>
      <c r="C40" s="219" t="s">
        <v>313</v>
      </c>
      <c r="D40" s="218" t="s">
        <v>0</v>
      </c>
      <c r="E40" s="219" t="s">
        <v>100</v>
      </c>
      <c r="F40" s="219" t="s">
        <v>314</v>
      </c>
      <c r="G40" s="224" t="s">
        <v>283</v>
      </c>
      <c r="H40" s="220" t="s">
        <v>283</v>
      </c>
      <c r="I40" s="220" t="s">
        <v>16</v>
      </c>
      <c r="J40" s="220" t="s">
        <v>16</v>
      </c>
      <c r="K40" s="220" t="s">
        <v>283</v>
      </c>
      <c r="L40" s="220" t="s">
        <v>283</v>
      </c>
      <c r="M40" s="220" t="s">
        <v>283</v>
      </c>
      <c r="N40" s="220" t="s">
        <v>283</v>
      </c>
      <c r="O40" s="221" t="s">
        <v>283</v>
      </c>
      <c r="P40" s="221" t="s">
        <v>283</v>
      </c>
      <c r="Q40" s="221" t="s">
        <v>283</v>
      </c>
      <c r="R40" s="221" t="s">
        <v>283</v>
      </c>
      <c r="S40" s="221" t="s">
        <v>16</v>
      </c>
      <c r="T40" s="221" t="s">
        <v>284</v>
      </c>
      <c r="U40" s="221" t="s">
        <v>284</v>
      </c>
      <c r="V40" s="221" t="s">
        <v>283</v>
      </c>
      <c r="W40" s="222" t="s">
        <v>283</v>
      </c>
      <c r="X40" s="222" t="s">
        <v>283</v>
      </c>
      <c r="Y40" s="223" t="s">
        <v>283</v>
      </c>
    </row>
    <row r="41" spans="1:25">
      <c r="A41" s="217">
        <v>1</v>
      </c>
      <c r="B41" s="218" t="str">
        <f>VLOOKUP(Tabel10[[#This Row],[Code]],Ruimtegroepen[[Code]:[Ruimte omschrijving]],2,FALSE)</f>
        <v>Magazijnen/bergingen</v>
      </c>
      <c r="C41" s="219" t="s">
        <v>313</v>
      </c>
      <c r="D41" s="218" t="s">
        <v>0</v>
      </c>
      <c r="E41" s="219" t="s">
        <v>99</v>
      </c>
      <c r="F41" s="219" t="s">
        <v>315</v>
      </c>
      <c r="G41" s="224" t="s">
        <v>283</v>
      </c>
      <c r="H41" s="220" t="s">
        <v>16</v>
      </c>
      <c r="I41" s="220" t="s">
        <v>283</v>
      </c>
      <c r="J41" s="220" t="s">
        <v>283</v>
      </c>
      <c r="K41" s="220" t="s">
        <v>283</v>
      </c>
      <c r="L41" s="220" t="s">
        <v>283</v>
      </c>
      <c r="M41" s="220" t="s">
        <v>283</v>
      </c>
      <c r="N41" s="220" t="s">
        <v>283</v>
      </c>
      <c r="O41" s="221" t="s">
        <v>283</v>
      </c>
      <c r="P41" s="221" t="s">
        <v>283</v>
      </c>
      <c r="Q41" s="221" t="s">
        <v>283</v>
      </c>
      <c r="R41" s="221" t="s">
        <v>283</v>
      </c>
      <c r="S41" s="221" t="s">
        <v>16</v>
      </c>
      <c r="T41" s="221" t="s">
        <v>284</v>
      </c>
      <c r="U41" s="221" t="s">
        <v>284</v>
      </c>
      <c r="V41" s="221" t="s">
        <v>283</v>
      </c>
      <c r="W41" s="222" t="s">
        <v>283</v>
      </c>
      <c r="X41" s="222" t="s">
        <v>283</v>
      </c>
      <c r="Y41" s="223" t="s">
        <v>283</v>
      </c>
    </row>
    <row r="42" spans="1:25">
      <c r="A42" s="217">
        <v>1</v>
      </c>
      <c r="B42" s="218" t="str">
        <f>VLOOKUP(Tabel10[[#This Row],[Code]],Ruimtegroepen[[Code]:[Ruimte omschrijving]],2,FALSE)</f>
        <v>Magazijnen/bergingen</v>
      </c>
      <c r="C42" s="219" t="s">
        <v>313</v>
      </c>
      <c r="D42" s="218" t="s">
        <v>0</v>
      </c>
      <c r="E42" s="219" t="s">
        <v>101</v>
      </c>
      <c r="F42" s="219" t="s">
        <v>316</v>
      </c>
      <c r="G42" s="224" t="s">
        <v>283</v>
      </c>
      <c r="H42" s="220" t="s">
        <v>283</v>
      </c>
      <c r="I42" s="220" t="s">
        <v>283</v>
      </c>
      <c r="J42" s="220" t="s">
        <v>16</v>
      </c>
      <c r="K42" s="220" t="s">
        <v>250</v>
      </c>
      <c r="L42" s="220" t="s">
        <v>283</v>
      </c>
      <c r="M42" s="220" t="s">
        <v>283</v>
      </c>
      <c r="N42" s="220" t="s">
        <v>283</v>
      </c>
      <c r="O42" s="221" t="s">
        <v>283</v>
      </c>
      <c r="P42" s="221" t="s">
        <v>283</v>
      </c>
      <c r="Q42" s="221" t="s">
        <v>283</v>
      </c>
      <c r="R42" s="221" t="s">
        <v>283</v>
      </c>
      <c r="S42" s="221" t="s">
        <v>16</v>
      </c>
      <c r="T42" s="221" t="s">
        <v>284</v>
      </c>
      <c r="U42" s="221" t="s">
        <v>284</v>
      </c>
      <c r="V42" s="221" t="s">
        <v>283</v>
      </c>
      <c r="W42" s="222" t="s">
        <v>283</v>
      </c>
      <c r="X42" s="222" t="s">
        <v>283</v>
      </c>
      <c r="Y42" s="223" t="s">
        <v>283</v>
      </c>
    </row>
    <row r="43" spans="1:25">
      <c r="A43" s="217">
        <v>1</v>
      </c>
      <c r="B43" s="218" t="str">
        <f>VLOOKUP(Tabel10[[#This Row],[Code]],Ruimtegroepen[[Code]:[Ruimte omschrijving]],2,FALSE)</f>
        <v>Magazijnen/bergingen</v>
      </c>
      <c r="C43" s="219" t="s">
        <v>313</v>
      </c>
      <c r="D43" s="218" t="s">
        <v>0</v>
      </c>
      <c r="E43" s="219" t="s">
        <v>102</v>
      </c>
      <c r="F43" s="219" t="s">
        <v>317</v>
      </c>
      <c r="G43" s="224" t="s">
        <v>283</v>
      </c>
      <c r="H43" s="220" t="s">
        <v>283</v>
      </c>
      <c r="I43" s="220" t="s">
        <v>16</v>
      </c>
      <c r="J43" s="220" t="s">
        <v>16</v>
      </c>
      <c r="K43" s="220" t="s">
        <v>250</v>
      </c>
      <c r="L43" s="220" t="s">
        <v>283</v>
      </c>
      <c r="M43" s="220" t="s">
        <v>283</v>
      </c>
      <c r="N43" s="220" t="s">
        <v>283</v>
      </c>
      <c r="O43" s="221" t="s">
        <v>283</v>
      </c>
      <c r="P43" s="221" t="s">
        <v>283</v>
      </c>
      <c r="Q43" s="221" t="s">
        <v>283</v>
      </c>
      <c r="R43" s="221" t="s">
        <v>283</v>
      </c>
      <c r="S43" s="221" t="s">
        <v>16</v>
      </c>
      <c r="T43" s="221" t="s">
        <v>284</v>
      </c>
      <c r="U43" s="221" t="s">
        <v>284</v>
      </c>
      <c r="V43" s="221" t="s">
        <v>283</v>
      </c>
      <c r="W43" s="222" t="s">
        <v>283</v>
      </c>
      <c r="X43" s="222" t="s">
        <v>283</v>
      </c>
      <c r="Y43" s="223" t="s">
        <v>283</v>
      </c>
    </row>
    <row r="44" spans="1:25">
      <c r="A44" s="217">
        <v>1</v>
      </c>
      <c r="B44" s="218" t="str">
        <f>VLOOKUP(Tabel10[[#This Row],[Code]],Ruimtegroepen[[Code]:[Ruimte omschrijving]],2,FALSE)</f>
        <v>Magazijnen/bergingen</v>
      </c>
      <c r="C44" s="219" t="s">
        <v>313</v>
      </c>
      <c r="D44" s="218" t="s">
        <v>0</v>
      </c>
      <c r="E44" s="219" t="s">
        <v>99</v>
      </c>
      <c r="F44" s="219" t="s">
        <v>315</v>
      </c>
      <c r="G44" s="224" t="s">
        <v>283</v>
      </c>
      <c r="H44" s="220" t="s">
        <v>16</v>
      </c>
      <c r="I44" s="220" t="s">
        <v>283</v>
      </c>
      <c r="J44" s="220" t="s">
        <v>283</v>
      </c>
      <c r="K44" s="220" t="s">
        <v>283</v>
      </c>
      <c r="L44" s="220" t="s">
        <v>283</v>
      </c>
      <c r="M44" s="220" t="s">
        <v>283</v>
      </c>
      <c r="N44" s="220" t="s">
        <v>283</v>
      </c>
      <c r="O44" s="221" t="s">
        <v>283</v>
      </c>
      <c r="P44" s="221" t="s">
        <v>283</v>
      </c>
      <c r="Q44" s="221" t="s">
        <v>283</v>
      </c>
      <c r="R44" s="221" t="s">
        <v>283</v>
      </c>
      <c r="S44" s="221" t="s">
        <v>16</v>
      </c>
      <c r="T44" s="221" t="s">
        <v>284</v>
      </c>
      <c r="U44" s="221" t="s">
        <v>284</v>
      </c>
      <c r="V44" s="221" t="s">
        <v>283</v>
      </c>
      <c r="W44" s="222" t="s">
        <v>283</v>
      </c>
      <c r="X44" s="222" t="s">
        <v>283</v>
      </c>
      <c r="Y44" s="223" t="s">
        <v>283</v>
      </c>
    </row>
    <row r="45" spans="1:25">
      <c r="A45" s="217">
        <v>1</v>
      </c>
      <c r="B45" s="218" t="str">
        <f>VLOOKUP(Tabel10[[#This Row],[Code]],Ruimtegroepen[[Code]:[Ruimte omschrijving]],2,FALSE)</f>
        <v>Magazijnen/bergingen</v>
      </c>
      <c r="C45" s="219" t="s">
        <v>313</v>
      </c>
      <c r="D45" s="218" t="s">
        <v>0</v>
      </c>
      <c r="E45" s="219" t="s">
        <v>1313</v>
      </c>
      <c r="F45" s="219" t="s">
        <v>1320</v>
      </c>
      <c r="G45" s="224" t="s">
        <v>283</v>
      </c>
      <c r="H45" s="220" t="s">
        <v>283</v>
      </c>
      <c r="I45" s="220" t="s">
        <v>16</v>
      </c>
      <c r="J45" s="220" t="s">
        <v>16</v>
      </c>
      <c r="K45" s="220" t="s">
        <v>250</v>
      </c>
      <c r="L45" s="220" t="s">
        <v>283</v>
      </c>
      <c r="M45" s="220" t="s">
        <v>283</v>
      </c>
      <c r="N45" s="220" t="s">
        <v>283</v>
      </c>
      <c r="O45" s="221" t="s">
        <v>283</v>
      </c>
      <c r="P45" s="221" t="s">
        <v>283</v>
      </c>
      <c r="Q45" s="221" t="s">
        <v>283</v>
      </c>
      <c r="R45" s="221" t="s">
        <v>283</v>
      </c>
      <c r="S45" s="221" t="s">
        <v>16</v>
      </c>
      <c r="T45" s="221" t="s">
        <v>284</v>
      </c>
      <c r="U45" s="221" t="s">
        <v>284</v>
      </c>
      <c r="V45" s="221" t="s">
        <v>283</v>
      </c>
      <c r="W45" s="222" t="s">
        <v>283</v>
      </c>
      <c r="X45" s="222" t="s">
        <v>283</v>
      </c>
      <c r="Y45" s="223" t="s">
        <v>283</v>
      </c>
    </row>
    <row r="46" spans="1:25">
      <c r="A46" s="217">
        <v>1</v>
      </c>
      <c r="B46" s="218" t="str">
        <f>VLOOKUP(Tabel10[[#This Row],[Code]],Ruimtegroepen[[Code]:[Ruimte omschrijving]],2,FALSE)</f>
        <v>Magazijnen/bergingen</v>
      </c>
      <c r="C46" s="219" t="s">
        <v>318</v>
      </c>
      <c r="D46" s="218" t="s">
        <v>27</v>
      </c>
      <c r="E46" s="219" t="s">
        <v>100</v>
      </c>
      <c r="F46" s="219" t="s">
        <v>319</v>
      </c>
      <c r="G46" s="224" t="s">
        <v>283</v>
      </c>
      <c r="H46" s="220" t="s">
        <v>283</v>
      </c>
      <c r="I46" s="220" t="s">
        <v>15</v>
      </c>
      <c r="J46" s="220" t="s">
        <v>15</v>
      </c>
      <c r="K46" s="220" t="s">
        <v>283</v>
      </c>
      <c r="L46" s="220" t="s">
        <v>283</v>
      </c>
      <c r="M46" s="220" t="s">
        <v>283</v>
      </c>
      <c r="N46" s="220" t="s">
        <v>283</v>
      </c>
      <c r="O46" s="221" t="s">
        <v>283</v>
      </c>
      <c r="P46" s="221" t="s">
        <v>283</v>
      </c>
      <c r="Q46" s="221" t="s">
        <v>283</v>
      </c>
      <c r="R46" s="221" t="s">
        <v>283</v>
      </c>
      <c r="S46" s="221" t="s">
        <v>15</v>
      </c>
      <c r="T46" s="221" t="s">
        <v>283</v>
      </c>
      <c r="U46" s="221" t="s">
        <v>283</v>
      </c>
      <c r="V46" s="221" t="s">
        <v>283</v>
      </c>
      <c r="W46" s="222" t="s">
        <v>283</v>
      </c>
      <c r="X46" s="222" t="s">
        <v>283</v>
      </c>
      <c r="Y46" s="223" t="s">
        <v>283</v>
      </c>
    </row>
    <row r="47" spans="1:25">
      <c r="A47" s="217">
        <v>1</v>
      </c>
      <c r="B47" s="218" t="str">
        <f>VLOOKUP(Tabel10[[#This Row],[Code]],Ruimtegroepen[[Code]:[Ruimte omschrijving]],2,FALSE)</f>
        <v>Magazijnen/bergingen</v>
      </c>
      <c r="C47" s="219" t="s">
        <v>318</v>
      </c>
      <c r="D47" s="218" t="s">
        <v>27</v>
      </c>
      <c r="E47" s="219" t="s">
        <v>99</v>
      </c>
      <c r="F47" s="219" t="s">
        <v>320</v>
      </c>
      <c r="G47" s="224" t="s">
        <v>283</v>
      </c>
      <c r="H47" s="220" t="s">
        <v>15</v>
      </c>
      <c r="I47" s="220" t="s">
        <v>283</v>
      </c>
      <c r="J47" s="220" t="s">
        <v>283</v>
      </c>
      <c r="K47" s="220" t="s">
        <v>283</v>
      </c>
      <c r="L47" s="220" t="s">
        <v>283</v>
      </c>
      <c r="M47" s="220" t="s">
        <v>283</v>
      </c>
      <c r="N47" s="220" t="s">
        <v>283</v>
      </c>
      <c r="O47" s="221" t="s">
        <v>283</v>
      </c>
      <c r="P47" s="221" t="s">
        <v>283</v>
      </c>
      <c r="Q47" s="221" t="s">
        <v>283</v>
      </c>
      <c r="R47" s="221" t="s">
        <v>283</v>
      </c>
      <c r="S47" s="221" t="s">
        <v>15</v>
      </c>
      <c r="T47" s="221" t="s">
        <v>283</v>
      </c>
      <c r="U47" s="221" t="s">
        <v>283</v>
      </c>
      <c r="V47" s="221" t="s">
        <v>283</v>
      </c>
      <c r="W47" s="222" t="s">
        <v>283</v>
      </c>
      <c r="X47" s="222" t="s">
        <v>283</v>
      </c>
      <c r="Y47" s="223" t="s">
        <v>283</v>
      </c>
    </row>
    <row r="48" spans="1:25">
      <c r="A48" s="217">
        <v>1</v>
      </c>
      <c r="B48" s="218" t="str">
        <f>VLOOKUP(Tabel10[[#This Row],[Code]],Ruimtegroepen[[Code]:[Ruimte omschrijving]],2,FALSE)</f>
        <v>Magazijnen/bergingen</v>
      </c>
      <c r="C48" s="219" t="s">
        <v>318</v>
      </c>
      <c r="D48" s="218" t="s">
        <v>27</v>
      </c>
      <c r="E48" s="219" t="s">
        <v>101</v>
      </c>
      <c r="F48" s="219" t="s">
        <v>321</v>
      </c>
      <c r="G48" s="224" t="s">
        <v>283</v>
      </c>
      <c r="H48" s="220" t="s">
        <v>283</v>
      </c>
      <c r="I48" s="220" t="s">
        <v>15</v>
      </c>
      <c r="J48" s="220" t="s">
        <v>283</v>
      </c>
      <c r="K48" s="220" t="s">
        <v>283</v>
      </c>
      <c r="L48" s="220" t="s">
        <v>283</v>
      </c>
      <c r="M48" s="220" t="s">
        <v>283</v>
      </c>
      <c r="N48" s="220" t="s">
        <v>283</v>
      </c>
      <c r="O48" s="221" t="s">
        <v>283</v>
      </c>
      <c r="P48" s="221" t="s">
        <v>283</v>
      </c>
      <c r="Q48" s="221" t="s">
        <v>283</v>
      </c>
      <c r="R48" s="221" t="s">
        <v>283</v>
      </c>
      <c r="S48" s="221" t="s">
        <v>15</v>
      </c>
      <c r="T48" s="221" t="s">
        <v>283</v>
      </c>
      <c r="U48" s="221" t="s">
        <v>283</v>
      </c>
      <c r="V48" s="221" t="s">
        <v>283</v>
      </c>
      <c r="W48" s="222" t="s">
        <v>283</v>
      </c>
      <c r="X48" s="222" t="s">
        <v>283</v>
      </c>
      <c r="Y48" s="223" t="s">
        <v>283</v>
      </c>
    </row>
    <row r="49" spans="1:25">
      <c r="A49" s="217">
        <v>1</v>
      </c>
      <c r="B49" s="218" t="str">
        <f>VLOOKUP(Tabel10[[#This Row],[Code]],Ruimtegroepen[[Code]:[Ruimte omschrijving]],2,FALSE)</f>
        <v>Magazijnen/bergingen</v>
      </c>
      <c r="C49" s="219" t="s">
        <v>318</v>
      </c>
      <c r="D49" s="218" t="s">
        <v>27</v>
      </c>
      <c r="E49" s="219" t="s">
        <v>102</v>
      </c>
      <c r="F49" s="219" t="s">
        <v>322</v>
      </c>
      <c r="G49" s="224" t="s">
        <v>283</v>
      </c>
      <c r="H49" s="220" t="s">
        <v>283</v>
      </c>
      <c r="I49" s="220" t="s">
        <v>15</v>
      </c>
      <c r="J49" s="220" t="s">
        <v>283</v>
      </c>
      <c r="K49" s="220" t="s">
        <v>283</v>
      </c>
      <c r="L49" s="220" t="s">
        <v>283</v>
      </c>
      <c r="M49" s="220" t="s">
        <v>283</v>
      </c>
      <c r="N49" s="220" t="s">
        <v>283</v>
      </c>
      <c r="O49" s="221" t="s">
        <v>283</v>
      </c>
      <c r="P49" s="221" t="s">
        <v>283</v>
      </c>
      <c r="Q49" s="221" t="s">
        <v>283</v>
      </c>
      <c r="R49" s="221" t="s">
        <v>283</v>
      </c>
      <c r="S49" s="221" t="s">
        <v>15</v>
      </c>
      <c r="T49" s="221" t="s">
        <v>283</v>
      </c>
      <c r="U49" s="221" t="s">
        <v>283</v>
      </c>
      <c r="V49" s="221" t="s">
        <v>283</v>
      </c>
      <c r="W49" s="222" t="s">
        <v>283</v>
      </c>
      <c r="X49" s="222" t="s">
        <v>283</v>
      </c>
      <c r="Y49" s="223" t="s">
        <v>283</v>
      </c>
    </row>
    <row r="50" spans="1:25">
      <c r="A50" s="217">
        <v>1</v>
      </c>
      <c r="B50" s="218" t="str">
        <f>VLOOKUP(Tabel10[[#This Row],[Code]],Ruimtegroepen[[Code]:[Ruimte omschrijving]],2,FALSE)</f>
        <v>Magazijnen/bergingen</v>
      </c>
      <c r="C50" s="219" t="s">
        <v>318</v>
      </c>
      <c r="D50" s="218" t="s">
        <v>27</v>
      </c>
      <c r="E50" s="219" t="s">
        <v>99</v>
      </c>
      <c r="F50" s="219" t="s">
        <v>320</v>
      </c>
      <c r="G50" s="224" t="s">
        <v>283</v>
      </c>
      <c r="H50" s="220" t="s">
        <v>15</v>
      </c>
      <c r="I50" s="220" t="s">
        <v>283</v>
      </c>
      <c r="J50" s="220" t="s">
        <v>283</v>
      </c>
      <c r="K50" s="220" t="s">
        <v>283</v>
      </c>
      <c r="L50" s="220" t="s">
        <v>283</v>
      </c>
      <c r="M50" s="220" t="s">
        <v>283</v>
      </c>
      <c r="N50" s="220" t="s">
        <v>283</v>
      </c>
      <c r="O50" s="221" t="s">
        <v>283</v>
      </c>
      <c r="P50" s="221" t="s">
        <v>283</v>
      </c>
      <c r="Q50" s="221" t="s">
        <v>283</v>
      </c>
      <c r="R50" s="221" t="s">
        <v>283</v>
      </c>
      <c r="S50" s="221" t="s">
        <v>15</v>
      </c>
      <c r="T50" s="221" t="s">
        <v>283</v>
      </c>
      <c r="U50" s="221" t="s">
        <v>283</v>
      </c>
      <c r="V50" s="221" t="s">
        <v>283</v>
      </c>
      <c r="W50" s="222" t="s">
        <v>283</v>
      </c>
      <c r="X50" s="222" t="s">
        <v>283</v>
      </c>
      <c r="Y50" s="223" t="s">
        <v>283</v>
      </c>
    </row>
    <row r="51" spans="1:25">
      <c r="A51" s="217">
        <v>1</v>
      </c>
      <c r="B51" s="218" t="str">
        <f>VLOOKUP(Tabel10[[#This Row],[Code]],Ruimtegroepen[[Code]:[Ruimte omschrijving]],2,FALSE)</f>
        <v>Magazijnen/bergingen</v>
      </c>
      <c r="C51" s="219" t="s">
        <v>318</v>
      </c>
      <c r="D51" s="218" t="s">
        <v>27</v>
      </c>
      <c r="E51" s="219" t="s">
        <v>1313</v>
      </c>
      <c r="F51" s="219" t="s">
        <v>1321</v>
      </c>
      <c r="G51" s="224" t="s">
        <v>283</v>
      </c>
      <c r="H51" s="220" t="s">
        <v>283</v>
      </c>
      <c r="I51" s="220" t="s">
        <v>15</v>
      </c>
      <c r="J51" s="220" t="s">
        <v>283</v>
      </c>
      <c r="K51" s="220" t="s">
        <v>283</v>
      </c>
      <c r="L51" s="220" t="s">
        <v>283</v>
      </c>
      <c r="M51" s="220" t="s">
        <v>283</v>
      </c>
      <c r="N51" s="220" t="s">
        <v>283</v>
      </c>
      <c r="O51" s="221" t="s">
        <v>283</v>
      </c>
      <c r="P51" s="221" t="s">
        <v>283</v>
      </c>
      <c r="Q51" s="221" t="s">
        <v>283</v>
      </c>
      <c r="R51" s="221" t="s">
        <v>283</v>
      </c>
      <c r="S51" s="221" t="s">
        <v>15</v>
      </c>
      <c r="T51" s="221" t="s">
        <v>283</v>
      </c>
      <c r="U51" s="221" t="s">
        <v>283</v>
      </c>
      <c r="V51" s="221" t="s">
        <v>283</v>
      </c>
      <c r="W51" s="222" t="s">
        <v>283</v>
      </c>
      <c r="X51" s="222" t="s">
        <v>283</v>
      </c>
      <c r="Y51" s="223" t="s">
        <v>283</v>
      </c>
    </row>
    <row r="52" spans="1:25">
      <c r="A52" s="217">
        <v>1</v>
      </c>
      <c r="B52" s="218" t="str">
        <f>VLOOKUP(Tabel10[[#This Row],[Code]],Ruimtegroepen[[Code]:[Ruimte omschrijving]],2,FALSE)</f>
        <v>Magazijnen/bergingen</v>
      </c>
      <c r="C52" s="219" t="s">
        <v>323</v>
      </c>
      <c r="D52" s="218" t="s">
        <v>28</v>
      </c>
      <c r="E52" s="219" t="s">
        <v>100</v>
      </c>
      <c r="F52" s="219" t="s">
        <v>324</v>
      </c>
      <c r="G52" s="224" t="s">
        <v>283</v>
      </c>
      <c r="H52" s="220" t="s">
        <v>283</v>
      </c>
      <c r="I52" s="220" t="s">
        <v>17</v>
      </c>
      <c r="J52" s="220" t="s">
        <v>283</v>
      </c>
      <c r="K52" s="220" t="s">
        <v>283</v>
      </c>
      <c r="L52" s="220" t="s">
        <v>283</v>
      </c>
      <c r="M52" s="220" t="s">
        <v>283</v>
      </c>
      <c r="N52" s="220" t="s">
        <v>283</v>
      </c>
      <c r="O52" s="221" t="s">
        <v>283</v>
      </c>
      <c r="P52" s="221" t="s">
        <v>283</v>
      </c>
      <c r="Q52" s="221" t="s">
        <v>283</v>
      </c>
      <c r="R52" s="221" t="s">
        <v>283</v>
      </c>
      <c r="S52" s="221" t="s">
        <v>15</v>
      </c>
      <c r="T52" s="221" t="s">
        <v>283</v>
      </c>
      <c r="U52" s="221" t="s">
        <v>283</v>
      </c>
      <c r="V52" s="221" t="s">
        <v>283</v>
      </c>
      <c r="W52" s="222" t="s">
        <v>283</v>
      </c>
      <c r="X52" s="222" t="s">
        <v>283</v>
      </c>
      <c r="Y52" s="223" t="s">
        <v>283</v>
      </c>
    </row>
    <row r="53" spans="1:25">
      <c r="A53" s="217">
        <v>1</v>
      </c>
      <c r="B53" s="218" t="str">
        <f>VLOOKUP(Tabel10[[#This Row],[Code]],Ruimtegroepen[[Code]:[Ruimte omschrijving]],2,FALSE)</f>
        <v>Magazijnen/bergingen</v>
      </c>
      <c r="C53" s="219" t="s">
        <v>323</v>
      </c>
      <c r="D53" s="218" t="s">
        <v>28</v>
      </c>
      <c r="E53" s="219" t="s">
        <v>99</v>
      </c>
      <c r="F53" s="219" t="s">
        <v>325</v>
      </c>
      <c r="G53" s="224" t="s">
        <v>283</v>
      </c>
      <c r="H53" s="220" t="s">
        <v>17</v>
      </c>
      <c r="I53" s="220" t="s">
        <v>283</v>
      </c>
      <c r="J53" s="220" t="s">
        <v>283</v>
      </c>
      <c r="K53" s="220" t="s">
        <v>283</v>
      </c>
      <c r="L53" s="220" t="s">
        <v>283</v>
      </c>
      <c r="M53" s="220" t="s">
        <v>283</v>
      </c>
      <c r="N53" s="220" t="s">
        <v>283</v>
      </c>
      <c r="O53" s="221" t="s">
        <v>283</v>
      </c>
      <c r="P53" s="221" t="s">
        <v>283</v>
      </c>
      <c r="Q53" s="221" t="s">
        <v>283</v>
      </c>
      <c r="R53" s="221" t="s">
        <v>283</v>
      </c>
      <c r="S53" s="221" t="s">
        <v>15</v>
      </c>
      <c r="T53" s="221" t="s">
        <v>283</v>
      </c>
      <c r="U53" s="221" t="s">
        <v>283</v>
      </c>
      <c r="V53" s="221" t="s">
        <v>283</v>
      </c>
      <c r="W53" s="222" t="s">
        <v>283</v>
      </c>
      <c r="X53" s="222" t="s">
        <v>283</v>
      </c>
      <c r="Y53" s="223" t="s">
        <v>283</v>
      </c>
    </row>
    <row r="54" spans="1:25">
      <c r="A54" s="217">
        <v>1</v>
      </c>
      <c r="B54" s="218" t="str">
        <f>VLOOKUP(Tabel10[[#This Row],[Code]],Ruimtegroepen[[Code]:[Ruimte omschrijving]],2,FALSE)</f>
        <v>Magazijnen/bergingen</v>
      </c>
      <c r="C54" s="219" t="s">
        <v>323</v>
      </c>
      <c r="D54" s="218" t="s">
        <v>28</v>
      </c>
      <c r="E54" s="219" t="s">
        <v>101</v>
      </c>
      <c r="F54" s="219" t="s">
        <v>326</v>
      </c>
      <c r="G54" s="224" t="s">
        <v>283</v>
      </c>
      <c r="H54" s="220" t="s">
        <v>283</v>
      </c>
      <c r="I54" s="220" t="s">
        <v>17</v>
      </c>
      <c r="J54" s="220" t="s">
        <v>283</v>
      </c>
      <c r="K54" s="220" t="s">
        <v>283</v>
      </c>
      <c r="L54" s="220" t="s">
        <v>283</v>
      </c>
      <c r="M54" s="220" t="s">
        <v>283</v>
      </c>
      <c r="N54" s="220" t="s">
        <v>283</v>
      </c>
      <c r="O54" s="221" t="s">
        <v>283</v>
      </c>
      <c r="P54" s="221" t="s">
        <v>283</v>
      </c>
      <c r="Q54" s="221" t="s">
        <v>283</v>
      </c>
      <c r="R54" s="221" t="s">
        <v>283</v>
      </c>
      <c r="S54" s="221" t="s">
        <v>15</v>
      </c>
      <c r="T54" s="221" t="s">
        <v>283</v>
      </c>
      <c r="U54" s="221" t="s">
        <v>283</v>
      </c>
      <c r="V54" s="221" t="s">
        <v>283</v>
      </c>
      <c r="W54" s="222" t="s">
        <v>283</v>
      </c>
      <c r="X54" s="222" t="s">
        <v>283</v>
      </c>
      <c r="Y54" s="223" t="s">
        <v>283</v>
      </c>
    </row>
    <row r="55" spans="1:25">
      <c r="A55" s="217">
        <v>1</v>
      </c>
      <c r="B55" s="218" t="str">
        <f>VLOOKUP(Tabel10[[#This Row],[Code]],Ruimtegroepen[[Code]:[Ruimte omschrijving]],2,FALSE)</f>
        <v>Magazijnen/bergingen</v>
      </c>
      <c r="C55" s="219" t="s">
        <v>323</v>
      </c>
      <c r="D55" s="218" t="s">
        <v>28</v>
      </c>
      <c r="E55" s="219" t="s">
        <v>102</v>
      </c>
      <c r="F55" s="219" t="s">
        <v>327</v>
      </c>
      <c r="G55" s="224" t="s">
        <v>283</v>
      </c>
      <c r="H55" s="220" t="s">
        <v>283</v>
      </c>
      <c r="I55" s="220" t="s">
        <v>17</v>
      </c>
      <c r="J55" s="220" t="s">
        <v>283</v>
      </c>
      <c r="K55" s="220" t="s">
        <v>283</v>
      </c>
      <c r="L55" s="220" t="s">
        <v>283</v>
      </c>
      <c r="M55" s="220" t="s">
        <v>283</v>
      </c>
      <c r="N55" s="220" t="s">
        <v>283</v>
      </c>
      <c r="O55" s="221" t="s">
        <v>283</v>
      </c>
      <c r="P55" s="221" t="s">
        <v>283</v>
      </c>
      <c r="Q55" s="221" t="s">
        <v>283</v>
      </c>
      <c r="R55" s="221" t="s">
        <v>283</v>
      </c>
      <c r="S55" s="221" t="s">
        <v>15</v>
      </c>
      <c r="T55" s="221" t="s">
        <v>283</v>
      </c>
      <c r="U55" s="221" t="s">
        <v>283</v>
      </c>
      <c r="V55" s="221" t="s">
        <v>283</v>
      </c>
      <c r="W55" s="222" t="s">
        <v>283</v>
      </c>
      <c r="X55" s="222" t="s">
        <v>283</v>
      </c>
      <c r="Y55" s="223" t="s">
        <v>283</v>
      </c>
    </row>
    <row r="56" spans="1:25">
      <c r="A56" s="217">
        <v>1</v>
      </c>
      <c r="B56" s="218" t="str">
        <f>VLOOKUP(Tabel10[[#This Row],[Code]],Ruimtegroepen[[Code]:[Ruimte omschrijving]],2,FALSE)</f>
        <v>Magazijnen/bergingen</v>
      </c>
      <c r="C56" s="219" t="s">
        <v>323</v>
      </c>
      <c r="D56" s="218" t="s">
        <v>28</v>
      </c>
      <c r="E56" s="219" t="s">
        <v>99</v>
      </c>
      <c r="F56" s="219" t="s">
        <v>325</v>
      </c>
      <c r="G56" s="224" t="s">
        <v>283</v>
      </c>
      <c r="H56" s="220" t="s">
        <v>17</v>
      </c>
      <c r="I56" s="220" t="s">
        <v>283</v>
      </c>
      <c r="J56" s="220" t="s">
        <v>283</v>
      </c>
      <c r="K56" s="220" t="s">
        <v>283</v>
      </c>
      <c r="L56" s="220" t="s">
        <v>283</v>
      </c>
      <c r="M56" s="220" t="s">
        <v>283</v>
      </c>
      <c r="N56" s="220" t="s">
        <v>283</v>
      </c>
      <c r="O56" s="221" t="s">
        <v>283</v>
      </c>
      <c r="P56" s="221" t="s">
        <v>283</v>
      </c>
      <c r="Q56" s="221" t="s">
        <v>283</v>
      </c>
      <c r="R56" s="221" t="s">
        <v>283</v>
      </c>
      <c r="S56" s="221" t="s">
        <v>15</v>
      </c>
      <c r="T56" s="221" t="s">
        <v>283</v>
      </c>
      <c r="U56" s="221" t="s">
        <v>283</v>
      </c>
      <c r="V56" s="221" t="s">
        <v>283</v>
      </c>
      <c r="W56" s="222" t="s">
        <v>283</v>
      </c>
      <c r="X56" s="222" t="s">
        <v>283</v>
      </c>
      <c r="Y56" s="223" t="s">
        <v>283</v>
      </c>
    </row>
    <row r="57" spans="1:25">
      <c r="A57" s="217">
        <v>1</v>
      </c>
      <c r="B57" s="218" t="str">
        <f>VLOOKUP(Tabel10[[#This Row],[Code]],Ruimtegroepen[[Code]:[Ruimte omschrijving]],2,FALSE)</f>
        <v>Magazijnen/bergingen</v>
      </c>
      <c r="C57" s="219" t="s">
        <v>323</v>
      </c>
      <c r="D57" s="218" t="s">
        <v>28</v>
      </c>
      <c r="E57" s="219" t="s">
        <v>1313</v>
      </c>
      <c r="F57" s="219" t="s">
        <v>1322</v>
      </c>
      <c r="G57" s="224" t="s">
        <v>283</v>
      </c>
      <c r="H57" s="220" t="s">
        <v>283</v>
      </c>
      <c r="I57" s="220" t="s">
        <v>17</v>
      </c>
      <c r="J57" s="220" t="s">
        <v>283</v>
      </c>
      <c r="K57" s="220" t="s">
        <v>283</v>
      </c>
      <c r="L57" s="220" t="s">
        <v>283</v>
      </c>
      <c r="M57" s="220" t="s">
        <v>283</v>
      </c>
      <c r="N57" s="220" t="s">
        <v>283</v>
      </c>
      <c r="O57" s="221" t="s">
        <v>283</v>
      </c>
      <c r="P57" s="221" t="s">
        <v>283</v>
      </c>
      <c r="Q57" s="221" t="s">
        <v>283</v>
      </c>
      <c r="R57" s="221" t="s">
        <v>283</v>
      </c>
      <c r="S57" s="221" t="s">
        <v>15</v>
      </c>
      <c r="T57" s="221" t="s">
        <v>283</v>
      </c>
      <c r="U57" s="221" t="s">
        <v>283</v>
      </c>
      <c r="V57" s="221" t="s">
        <v>283</v>
      </c>
      <c r="W57" s="222" t="s">
        <v>283</v>
      </c>
      <c r="X57" s="222" t="s">
        <v>283</v>
      </c>
      <c r="Y57" s="223" t="s">
        <v>283</v>
      </c>
    </row>
    <row r="58" spans="1:25">
      <c r="A58" s="217">
        <v>2</v>
      </c>
      <c r="B58" s="218" t="str">
        <f>VLOOKUP(Tabel10[[#This Row],[Code]],Ruimtegroepen[[Code]:[Ruimte omschrijving]],2,FALSE)</f>
        <v>Kantoren</v>
      </c>
      <c r="C58" s="219" t="s">
        <v>328</v>
      </c>
      <c r="D58" s="218" t="s">
        <v>29</v>
      </c>
      <c r="E58" s="219" t="s">
        <v>100</v>
      </c>
      <c r="F58" s="219" t="s">
        <v>329</v>
      </c>
      <c r="G58" s="224" t="s">
        <v>283</v>
      </c>
      <c r="H58" s="220" t="s">
        <v>283</v>
      </c>
      <c r="I58" s="220" t="s">
        <v>20</v>
      </c>
      <c r="J58" s="220" t="s">
        <v>15</v>
      </c>
      <c r="K58" s="220" t="s">
        <v>283</v>
      </c>
      <c r="L58" s="220" t="s">
        <v>283</v>
      </c>
      <c r="M58" s="220" t="s">
        <v>283</v>
      </c>
      <c r="N58" s="220" t="s">
        <v>2</v>
      </c>
      <c r="O58" s="221" t="s">
        <v>2</v>
      </c>
      <c r="P58" s="221" t="s">
        <v>2</v>
      </c>
      <c r="Q58" s="221" t="s">
        <v>15</v>
      </c>
      <c r="R58" s="221" t="s">
        <v>15</v>
      </c>
      <c r="S58" s="221" t="s">
        <v>16</v>
      </c>
      <c r="T58" s="221" t="s">
        <v>330</v>
      </c>
      <c r="U58" s="221" t="s">
        <v>250</v>
      </c>
      <c r="V58" s="221" t="s">
        <v>2</v>
      </c>
      <c r="W58" s="222" t="s">
        <v>283</v>
      </c>
      <c r="X58" s="222" t="s">
        <v>283</v>
      </c>
      <c r="Y58" s="223" t="s">
        <v>283</v>
      </c>
    </row>
    <row r="59" spans="1:25">
      <c r="A59" s="217">
        <v>2</v>
      </c>
      <c r="B59" s="218" t="str">
        <f>VLOOKUP(Tabel10[[#This Row],[Code]],Ruimtegroepen[[Code]:[Ruimte omschrijving]],2,FALSE)</f>
        <v>Kantoren</v>
      </c>
      <c r="C59" s="219" t="s">
        <v>328</v>
      </c>
      <c r="D59" s="218" t="s">
        <v>29</v>
      </c>
      <c r="E59" s="219" t="s">
        <v>99</v>
      </c>
      <c r="F59" s="219" t="s">
        <v>331</v>
      </c>
      <c r="G59" s="220" t="s">
        <v>20</v>
      </c>
      <c r="H59" s="220" t="s">
        <v>15</v>
      </c>
      <c r="I59" s="220" t="s">
        <v>283</v>
      </c>
      <c r="J59" s="220" t="s">
        <v>283</v>
      </c>
      <c r="K59" s="220" t="s">
        <v>283</v>
      </c>
      <c r="L59" s="220" t="s">
        <v>283</v>
      </c>
      <c r="M59" s="220" t="s">
        <v>283</v>
      </c>
      <c r="N59" s="220" t="s">
        <v>2</v>
      </c>
      <c r="O59" s="221" t="s">
        <v>2</v>
      </c>
      <c r="P59" s="221" t="s">
        <v>2</v>
      </c>
      <c r="Q59" s="221" t="s">
        <v>15</v>
      </c>
      <c r="R59" s="221" t="s">
        <v>15</v>
      </c>
      <c r="S59" s="221" t="s">
        <v>16</v>
      </c>
      <c r="T59" s="221" t="s">
        <v>330</v>
      </c>
      <c r="U59" s="221" t="s">
        <v>250</v>
      </c>
      <c r="V59" s="221" t="s">
        <v>2</v>
      </c>
      <c r="W59" s="222" t="s">
        <v>283</v>
      </c>
      <c r="X59" s="222" t="s">
        <v>283</v>
      </c>
      <c r="Y59" s="223" t="s">
        <v>283</v>
      </c>
    </row>
    <row r="60" spans="1:25">
      <c r="A60" s="217">
        <v>2</v>
      </c>
      <c r="B60" s="218" t="str">
        <f>VLOOKUP(Tabel10[[#This Row],[Code]],Ruimtegroepen[[Code]:[Ruimte omschrijving]],2,FALSE)</f>
        <v>Kantoren</v>
      </c>
      <c r="C60" s="219" t="s">
        <v>328</v>
      </c>
      <c r="D60" s="218" t="s">
        <v>29</v>
      </c>
      <c r="E60" s="219" t="s">
        <v>101</v>
      </c>
      <c r="F60" s="219" t="s">
        <v>332</v>
      </c>
      <c r="G60" s="224" t="s">
        <v>283</v>
      </c>
      <c r="H60" s="220" t="s">
        <v>283</v>
      </c>
      <c r="I60" s="220" t="s">
        <v>20</v>
      </c>
      <c r="J60" s="220" t="s">
        <v>15</v>
      </c>
      <c r="K60" s="220" t="s">
        <v>250</v>
      </c>
      <c r="L60" s="220" t="s">
        <v>283</v>
      </c>
      <c r="M60" s="220" t="s">
        <v>283</v>
      </c>
      <c r="N60" s="220" t="s">
        <v>2</v>
      </c>
      <c r="O60" s="221" t="s">
        <v>2</v>
      </c>
      <c r="P60" s="221" t="s">
        <v>2</v>
      </c>
      <c r="Q60" s="221" t="s">
        <v>15</v>
      </c>
      <c r="R60" s="221" t="s">
        <v>15</v>
      </c>
      <c r="S60" s="221" t="s">
        <v>16</v>
      </c>
      <c r="T60" s="221" t="s">
        <v>330</v>
      </c>
      <c r="U60" s="221" t="s">
        <v>250</v>
      </c>
      <c r="V60" s="221" t="s">
        <v>2</v>
      </c>
      <c r="W60" s="222" t="s">
        <v>283</v>
      </c>
      <c r="X60" s="222" t="s">
        <v>283</v>
      </c>
      <c r="Y60" s="223" t="s">
        <v>283</v>
      </c>
    </row>
    <row r="61" spans="1:25">
      <c r="A61" s="217">
        <v>2</v>
      </c>
      <c r="B61" s="218" t="str">
        <f>VLOOKUP(Tabel10[[#This Row],[Code]],Ruimtegroepen[[Code]:[Ruimte omschrijving]],2,FALSE)</f>
        <v>Kantoren</v>
      </c>
      <c r="C61" s="219" t="s">
        <v>328</v>
      </c>
      <c r="D61" s="218" t="s">
        <v>29</v>
      </c>
      <c r="E61" s="219" t="s">
        <v>102</v>
      </c>
      <c r="F61" s="219" t="s">
        <v>333</v>
      </c>
      <c r="G61" s="224" t="s">
        <v>283</v>
      </c>
      <c r="H61" s="220" t="s">
        <v>283</v>
      </c>
      <c r="I61" s="220" t="s">
        <v>20</v>
      </c>
      <c r="J61" s="220" t="s">
        <v>15</v>
      </c>
      <c r="K61" s="220" t="s">
        <v>250</v>
      </c>
      <c r="L61" s="220" t="s">
        <v>283</v>
      </c>
      <c r="M61" s="220" t="s">
        <v>283</v>
      </c>
      <c r="N61" s="220" t="s">
        <v>2</v>
      </c>
      <c r="O61" s="221" t="s">
        <v>2</v>
      </c>
      <c r="P61" s="221" t="s">
        <v>2</v>
      </c>
      <c r="Q61" s="221" t="s">
        <v>15</v>
      </c>
      <c r="R61" s="221" t="s">
        <v>15</v>
      </c>
      <c r="S61" s="221" t="s">
        <v>16</v>
      </c>
      <c r="T61" s="221" t="s">
        <v>330</v>
      </c>
      <c r="U61" s="221" t="s">
        <v>250</v>
      </c>
      <c r="V61" s="221" t="s">
        <v>2</v>
      </c>
      <c r="W61" s="222" t="s">
        <v>283</v>
      </c>
      <c r="X61" s="222" t="s">
        <v>283</v>
      </c>
      <c r="Y61" s="223" t="s">
        <v>283</v>
      </c>
    </row>
    <row r="62" spans="1:25">
      <c r="A62" s="217">
        <v>2</v>
      </c>
      <c r="B62" s="218" t="str">
        <f>VLOOKUP(Tabel10[[#This Row],[Code]],Ruimtegroepen[[Code]:[Ruimte omschrijving]],2,FALSE)</f>
        <v>Kantoren</v>
      </c>
      <c r="C62" s="219" t="s">
        <v>328</v>
      </c>
      <c r="D62" s="218" t="s">
        <v>29</v>
      </c>
      <c r="E62" s="219" t="s">
        <v>99</v>
      </c>
      <c r="F62" s="219" t="s">
        <v>331</v>
      </c>
      <c r="G62" s="220" t="s">
        <v>20</v>
      </c>
      <c r="H62" s="220" t="s">
        <v>15</v>
      </c>
      <c r="I62" s="220" t="s">
        <v>283</v>
      </c>
      <c r="J62" s="220" t="s">
        <v>283</v>
      </c>
      <c r="K62" s="220" t="s">
        <v>283</v>
      </c>
      <c r="L62" s="220" t="s">
        <v>283</v>
      </c>
      <c r="M62" s="220" t="s">
        <v>283</v>
      </c>
      <c r="N62" s="220" t="s">
        <v>2</v>
      </c>
      <c r="O62" s="221" t="s">
        <v>2</v>
      </c>
      <c r="P62" s="221" t="s">
        <v>2</v>
      </c>
      <c r="Q62" s="221" t="s">
        <v>15</v>
      </c>
      <c r="R62" s="221" t="s">
        <v>15</v>
      </c>
      <c r="S62" s="221" t="s">
        <v>16</v>
      </c>
      <c r="T62" s="221" t="s">
        <v>330</v>
      </c>
      <c r="U62" s="221" t="s">
        <v>250</v>
      </c>
      <c r="V62" s="221" t="s">
        <v>2</v>
      </c>
      <c r="W62" s="222" t="s">
        <v>283</v>
      </c>
      <c r="X62" s="222" t="s">
        <v>283</v>
      </c>
      <c r="Y62" s="223" t="s">
        <v>283</v>
      </c>
    </row>
    <row r="63" spans="1:25">
      <c r="A63" s="217">
        <v>2</v>
      </c>
      <c r="B63" s="218" t="str">
        <f>VLOOKUP(Tabel10[[#This Row],[Code]],Ruimtegroepen[[Code]:[Ruimte omschrijving]],2,FALSE)</f>
        <v>Kantoren</v>
      </c>
      <c r="C63" s="219" t="s">
        <v>328</v>
      </c>
      <c r="D63" s="218" t="s">
        <v>29</v>
      </c>
      <c r="E63" s="219" t="s">
        <v>1313</v>
      </c>
      <c r="F63" s="219" t="s">
        <v>1332</v>
      </c>
      <c r="G63" s="224" t="s">
        <v>283</v>
      </c>
      <c r="H63" s="220" t="s">
        <v>283</v>
      </c>
      <c r="I63" s="220" t="s">
        <v>20</v>
      </c>
      <c r="J63" s="220" t="s">
        <v>15</v>
      </c>
      <c r="K63" s="220" t="s">
        <v>250</v>
      </c>
      <c r="L63" s="220" t="s">
        <v>283</v>
      </c>
      <c r="M63" s="220" t="s">
        <v>283</v>
      </c>
      <c r="N63" s="220" t="s">
        <v>2</v>
      </c>
      <c r="O63" s="221" t="s">
        <v>2</v>
      </c>
      <c r="P63" s="221" t="s">
        <v>2</v>
      </c>
      <c r="Q63" s="221" t="s">
        <v>15</v>
      </c>
      <c r="R63" s="221" t="s">
        <v>15</v>
      </c>
      <c r="S63" s="221" t="s">
        <v>16</v>
      </c>
      <c r="T63" s="221" t="s">
        <v>330</v>
      </c>
      <c r="U63" s="221" t="s">
        <v>250</v>
      </c>
      <c r="V63" s="221" t="s">
        <v>2</v>
      </c>
      <c r="W63" s="222" t="s">
        <v>283</v>
      </c>
      <c r="X63" s="222" t="s">
        <v>283</v>
      </c>
      <c r="Y63" s="223" t="s">
        <v>283</v>
      </c>
    </row>
    <row r="64" spans="1:25">
      <c r="A64" s="217">
        <v>2</v>
      </c>
      <c r="B64" s="218" t="str">
        <f>VLOOKUP(Tabel10[[#This Row],[Code]],Ruimtegroepen[[Code]:[Ruimte omschrijving]],2,FALSE)</f>
        <v>Kantoren</v>
      </c>
      <c r="C64" s="219" t="s">
        <v>334</v>
      </c>
      <c r="D64" s="218" t="s">
        <v>1</v>
      </c>
      <c r="E64" s="219" t="s">
        <v>100</v>
      </c>
      <c r="F64" s="219" t="s">
        <v>335</v>
      </c>
      <c r="G64" s="224" t="s">
        <v>283</v>
      </c>
      <c r="H64" s="220" t="s">
        <v>283</v>
      </c>
      <c r="I64" s="220" t="s">
        <v>20</v>
      </c>
      <c r="J64" s="220" t="s">
        <v>15</v>
      </c>
      <c r="K64" s="220" t="s">
        <v>283</v>
      </c>
      <c r="L64" s="220" t="s">
        <v>283</v>
      </c>
      <c r="M64" s="220" t="s">
        <v>283</v>
      </c>
      <c r="N64" s="220" t="s">
        <v>283</v>
      </c>
      <c r="O64" s="221" t="s">
        <v>2</v>
      </c>
      <c r="P64" s="221" t="s">
        <v>2</v>
      </c>
      <c r="Q64" s="221" t="s">
        <v>15</v>
      </c>
      <c r="R64" s="221" t="s">
        <v>15</v>
      </c>
      <c r="S64" s="221" t="s">
        <v>16</v>
      </c>
      <c r="T64" s="221" t="s">
        <v>330</v>
      </c>
      <c r="U64" s="221" t="s">
        <v>250</v>
      </c>
      <c r="V64" s="221" t="s">
        <v>283</v>
      </c>
      <c r="W64" s="222" t="s">
        <v>283</v>
      </c>
      <c r="X64" s="222" t="s">
        <v>283</v>
      </c>
      <c r="Y64" s="223" t="s">
        <v>283</v>
      </c>
    </row>
    <row r="65" spans="1:25">
      <c r="A65" s="217">
        <v>2</v>
      </c>
      <c r="B65" s="218" t="str">
        <f>VLOOKUP(Tabel10[[#This Row],[Code]],Ruimtegroepen[[Code]:[Ruimte omschrijving]],2,FALSE)</f>
        <v>Kantoren</v>
      </c>
      <c r="C65" s="219" t="s">
        <v>334</v>
      </c>
      <c r="D65" s="218" t="s">
        <v>1</v>
      </c>
      <c r="E65" s="219" t="s">
        <v>99</v>
      </c>
      <c r="F65" s="219" t="s">
        <v>336</v>
      </c>
      <c r="G65" s="220" t="s">
        <v>20</v>
      </c>
      <c r="H65" s="220" t="s">
        <v>15</v>
      </c>
      <c r="I65" s="220" t="s">
        <v>283</v>
      </c>
      <c r="J65" s="220" t="s">
        <v>283</v>
      </c>
      <c r="K65" s="220" t="s">
        <v>283</v>
      </c>
      <c r="L65" s="220" t="s">
        <v>283</v>
      </c>
      <c r="M65" s="220" t="s">
        <v>283</v>
      </c>
      <c r="N65" s="220" t="s">
        <v>283</v>
      </c>
      <c r="O65" s="221" t="s">
        <v>2</v>
      </c>
      <c r="P65" s="221" t="s">
        <v>2</v>
      </c>
      <c r="Q65" s="221" t="s">
        <v>15</v>
      </c>
      <c r="R65" s="221" t="s">
        <v>15</v>
      </c>
      <c r="S65" s="221" t="s">
        <v>16</v>
      </c>
      <c r="T65" s="221" t="s">
        <v>330</v>
      </c>
      <c r="U65" s="221" t="s">
        <v>250</v>
      </c>
      <c r="V65" s="221" t="s">
        <v>283</v>
      </c>
      <c r="W65" s="222" t="s">
        <v>283</v>
      </c>
      <c r="X65" s="222" t="s">
        <v>283</v>
      </c>
      <c r="Y65" s="223" t="s">
        <v>283</v>
      </c>
    </row>
    <row r="66" spans="1:25">
      <c r="A66" s="217">
        <v>2</v>
      </c>
      <c r="B66" s="218" t="str">
        <f>VLOOKUP(Tabel10[[#This Row],[Code]],Ruimtegroepen[[Code]:[Ruimte omschrijving]],2,FALSE)</f>
        <v>Kantoren</v>
      </c>
      <c r="C66" s="219" t="s">
        <v>334</v>
      </c>
      <c r="D66" s="218" t="s">
        <v>1</v>
      </c>
      <c r="E66" s="219" t="s">
        <v>101</v>
      </c>
      <c r="F66" s="219" t="s">
        <v>337</v>
      </c>
      <c r="G66" s="224" t="s">
        <v>283</v>
      </c>
      <c r="H66" s="220" t="s">
        <v>283</v>
      </c>
      <c r="I66" s="220" t="s">
        <v>20</v>
      </c>
      <c r="J66" s="220" t="s">
        <v>15</v>
      </c>
      <c r="K66" s="220" t="s">
        <v>250</v>
      </c>
      <c r="L66" s="220" t="s">
        <v>283</v>
      </c>
      <c r="M66" s="220" t="s">
        <v>283</v>
      </c>
      <c r="N66" s="220" t="s">
        <v>283</v>
      </c>
      <c r="O66" s="221" t="s">
        <v>2</v>
      </c>
      <c r="P66" s="221" t="s">
        <v>2</v>
      </c>
      <c r="Q66" s="221" t="s">
        <v>15</v>
      </c>
      <c r="R66" s="221" t="s">
        <v>15</v>
      </c>
      <c r="S66" s="221" t="s">
        <v>16</v>
      </c>
      <c r="T66" s="221" t="s">
        <v>330</v>
      </c>
      <c r="U66" s="221" t="s">
        <v>250</v>
      </c>
      <c r="V66" s="221" t="s">
        <v>283</v>
      </c>
      <c r="W66" s="222" t="s">
        <v>283</v>
      </c>
      <c r="X66" s="222" t="s">
        <v>283</v>
      </c>
      <c r="Y66" s="223" t="s">
        <v>283</v>
      </c>
    </row>
    <row r="67" spans="1:25">
      <c r="A67" s="217">
        <v>2</v>
      </c>
      <c r="B67" s="218" t="str">
        <f>VLOOKUP(Tabel10[[#This Row],[Code]],Ruimtegroepen[[Code]:[Ruimte omschrijving]],2,FALSE)</f>
        <v>Kantoren</v>
      </c>
      <c r="C67" s="219" t="s">
        <v>334</v>
      </c>
      <c r="D67" s="218" t="s">
        <v>1</v>
      </c>
      <c r="E67" s="219" t="s">
        <v>102</v>
      </c>
      <c r="F67" s="219" t="s">
        <v>338</v>
      </c>
      <c r="G67" s="224" t="s">
        <v>283</v>
      </c>
      <c r="H67" s="220" t="s">
        <v>283</v>
      </c>
      <c r="I67" s="220" t="s">
        <v>20</v>
      </c>
      <c r="J67" s="220" t="s">
        <v>15</v>
      </c>
      <c r="K67" s="220" t="s">
        <v>250</v>
      </c>
      <c r="L67" s="220" t="s">
        <v>283</v>
      </c>
      <c r="M67" s="220" t="s">
        <v>283</v>
      </c>
      <c r="N67" s="220" t="s">
        <v>283</v>
      </c>
      <c r="O67" s="221" t="s">
        <v>2</v>
      </c>
      <c r="P67" s="221" t="s">
        <v>2</v>
      </c>
      <c r="Q67" s="221" t="s">
        <v>15</v>
      </c>
      <c r="R67" s="221" t="s">
        <v>15</v>
      </c>
      <c r="S67" s="221" t="s">
        <v>16</v>
      </c>
      <c r="T67" s="221" t="s">
        <v>330</v>
      </c>
      <c r="U67" s="221" t="s">
        <v>250</v>
      </c>
      <c r="V67" s="221" t="s">
        <v>283</v>
      </c>
      <c r="W67" s="222" t="s">
        <v>283</v>
      </c>
      <c r="X67" s="222" t="s">
        <v>283</v>
      </c>
      <c r="Y67" s="223" t="s">
        <v>283</v>
      </c>
    </row>
    <row r="68" spans="1:25">
      <c r="A68" s="217">
        <v>2</v>
      </c>
      <c r="B68" s="218" t="str">
        <f>VLOOKUP(Tabel10[[#This Row],[Code]],Ruimtegroepen[[Code]:[Ruimte omschrijving]],2,FALSE)</f>
        <v>Kantoren</v>
      </c>
      <c r="C68" s="219" t="s">
        <v>334</v>
      </c>
      <c r="D68" s="218" t="s">
        <v>1</v>
      </c>
      <c r="E68" s="219" t="s">
        <v>99</v>
      </c>
      <c r="F68" s="219" t="s">
        <v>336</v>
      </c>
      <c r="G68" s="220" t="s">
        <v>20</v>
      </c>
      <c r="H68" s="220" t="s">
        <v>15</v>
      </c>
      <c r="I68" s="220" t="s">
        <v>283</v>
      </c>
      <c r="J68" s="220" t="s">
        <v>283</v>
      </c>
      <c r="K68" s="220" t="s">
        <v>283</v>
      </c>
      <c r="L68" s="220" t="s">
        <v>283</v>
      </c>
      <c r="M68" s="220" t="s">
        <v>283</v>
      </c>
      <c r="N68" s="220" t="s">
        <v>283</v>
      </c>
      <c r="O68" s="221" t="s">
        <v>2</v>
      </c>
      <c r="P68" s="221" t="s">
        <v>2</v>
      </c>
      <c r="Q68" s="221" t="s">
        <v>15</v>
      </c>
      <c r="R68" s="221" t="s">
        <v>15</v>
      </c>
      <c r="S68" s="221" t="s">
        <v>16</v>
      </c>
      <c r="T68" s="221" t="s">
        <v>330</v>
      </c>
      <c r="U68" s="221" t="s">
        <v>250</v>
      </c>
      <c r="V68" s="221" t="s">
        <v>283</v>
      </c>
      <c r="W68" s="222" t="s">
        <v>283</v>
      </c>
      <c r="X68" s="222" t="s">
        <v>283</v>
      </c>
      <c r="Y68" s="223" t="s">
        <v>283</v>
      </c>
    </row>
    <row r="69" spans="1:25">
      <c r="A69" s="217">
        <v>2</v>
      </c>
      <c r="B69" s="218" t="str">
        <f>VLOOKUP(Tabel10[[#This Row],[Code]],Ruimtegroepen[[Code]:[Ruimte omschrijving]],2,FALSE)</f>
        <v>Kantoren</v>
      </c>
      <c r="C69" s="219" t="s">
        <v>334</v>
      </c>
      <c r="D69" s="218" t="s">
        <v>1</v>
      </c>
      <c r="E69" s="219" t="s">
        <v>1313</v>
      </c>
      <c r="F69" s="219" t="s">
        <v>1333</v>
      </c>
      <c r="G69" s="224" t="s">
        <v>283</v>
      </c>
      <c r="H69" s="220" t="s">
        <v>283</v>
      </c>
      <c r="I69" s="220" t="s">
        <v>20</v>
      </c>
      <c r="J69" s="220" t="s">
        <v>15</v>
      </c>
      <c r="K69" s="220" t="s">
        <v>250</v>
      </c>
      <c r="L69" s="220" t="s">
        <v>283</v>
      </c>
      <c r="M69" s="220" t="s">
        <v>283</v>
      </c>
      <c r="N69" s="220" t="s">
        <v>283</v>
      </c>
      <c r="O69" s="221" t="s">
        <v>2</v>
      </c>
      <c r="P69" s="221" t="s">
        <v>2</v>
      </c>
      <c r="Q69" s="221" t="s">
        <v>15</v>
      </c>
      <c r="R69" s="221" t="s">
        <v>15</v>
      </c>
      <c r="S69" s="221" t="s">
        <v>16</v>
      </c>
      <c r="T69" s="221" t="s">
        <v>330</v>
      </c>
      <c r="U69" s="221" t="s">
        <v>250</v>
      </c>
      <c r="V69" s="221" t="s">
        <v>283</v>
      </c>
      <c r="W69" s="222" t="s">
        <v>283</v>
      </c>
      <c r="X69" s="222" t="s">
        <v>283</v>
      </c>
      <c r="Y69" s="223" t="s">
        <v>283</v>
      </c>
    </row>
    <row r="70" spans="1:25">
      <c r="A70" s="217">
        <v>2</v>
      </c>
      <c r="B70" s="218" t="str">
        <f>VLOOKUP(Tabel10[[#This Row],[Code]],Ruimtegroepen[[Code]:[Ruimte omschrijving]],2,FALSE)</f>
        <v>Kantoren</v>
      </c>
      <c r="C70" s="219" t="s">
        <v>339</v>
      </c>
      <c r="D70" s="218" t="s">
        <v>21</v>
      </c>
      <c r="E70" s="219" t="s">
        <v>100</v>
      </c>
      <c r="F70" s="219" t="s">
        <v>340</v>
      </c>
      <c r="G70" s="224" t="s">
        <v>283</v>
      </c>
      <c r="H70" s="220" t="s">
        <v>283</v>
      </c>
      <c r="I70" s="220" t="s">
        <v>18</v>
      </c>
      <c r="J70" s="220" t="s">
        <v>15</v>
      </c>
      <c r="K70" s="220" t="s">
        <v>283</v>
      </c>
      <c r="L70" s="220" t="s">
        <v>283</v>
      </c>
      <c r="M70" s="220" t="s">
        <v>283</v>
      </c>
      <c r="N70" s="220" t="s">
        <v>283</v>
      </c>
      <c r="O70" s="221" t="s">
        <v>20</v>
      </c>
      <c r="P70" s="221" t="s">
        <v>20</v>
      </c>
      <c r="Q70" s="221" t="s">
        <v>15</v>
      </c>
      <c r="R70" s="221" t="s">
        <v>15</v>
      </c>
      <c r="S70" s="221" t="s">
        <v>16</v>
      </c>
      <c r="T70" s="221" t="s">
        <v>330</v>
      </c>
      <c r="U70" s="221" t="s">
        <v>250</v>
      </c>
      <c r="V70" s="221" t="s">
        <v>283</v>
      </c>
      <c r="W70" s="222" t="s">
        <v>283</v>
      </c>
      <c r="X70" s="222" t="s">
        <v>283</v>
      </c>
      <c r="Y70" s="223" t="s">
        <v>283</v>
      </c>
    </row>
    <row r="71" spans="1:25">
      <c r="A71" s="217">
        <v>2</v>
      </c>
      <c r="B71" s="218" t="str">
        <f>VLOOKUP(Tabel10[[#This Row],[Code]],Ruimtegroepen[[Code]:[Ruimte omschrijving]],2,FALSE)</f>
        <v>Kantoren</v>
      </c>
      <c r="C71" s="219" t="s">
        <v>339</v>
      </c>
      <c r="D71" s="218" t="s">
        <v>21</v>
      </c>
      <c r="E71" s="219" t="s">
        <v>99</v>
      </c>
      <c r="F71" s="219" t="s">
        <v>341</v>
      </c>
      <c r="G71" s="220" t="s">
        <v>18</v>
      </c>
      <c r="H71" s="220" t="s">
        <v>15</v>
      </c>
      <c r="I71" s="220" t="s">
        <v>283</v>
      </c>
      <c r="J71" s="220" t="s">
        <v>283</v>
      </c>
      <c r="K71" s="220" t="s">
        <v>283</v>
      </c>
      <c r="L71" s="220" t="s">
        <v>283</v>
      </c>
      <c r="M71" s="220" t="s">
        <v>283</v>
      </c>
      <c r="N71" s="220" t="s">
        <v>283</v>
      </c>
      <c r="O71" s="221" t="s">
        <v>20</v>
      </c>
      <c r="P71" s="221" t="s">
        <v>20</v>
      </c>
      <c r="Q71" s="221" t="s">
        <v>15</v>
      </c>
      <c r="R71" s="221" t="s">
        <v>15</v>
      </c>
      <c r="S71" s="221" t="s">
        <v>16</v>
      </c>
      <c r="T71" s="221" t="s">
        <v>330</v>
      </c>
      <c r="U71" s="221" t="s">
        <v>250</v>
      </c>
      <c r="V71" s="221" t="s">
        <v>283</v>
      </c>
      <c r="W71" s="222" t="s">
        <v>283</v>
      </c>
      <c r="X71" s="222" t="s">
        <v>283</v>
      </c>
      <c r="Y71" s="223" t="s">
        <v>283</v>
      </c>
    </row>
    <row r="72" spans="1:25">
      <c r="A72" s="217">
        <v>2</v>
      </c>
      <c r="B72" s="218" t="str">
        <f>VLOOKUP(Tabel10[[#This Row],[Code]],Ruimtegroepen[[Code]:[Ruimte omschrijving]],2,FALSE)</f>
        <v>Kantoren</v>
      </c>
      <c r="C72" s="219" t="s">
        <v>339</v>
      </c>
      <c r="D72" s="218" t="s">
        <v>21</v>
      </c>
      <c r="E72" s="219" t="s">
        <v>101</v>
      </c>
      <c r="F72" s="219" t="s">
        <v>342</v>
      </c>
      <c r="G72" s="224" t="s">
        <v>283</v>
      </c>
      <c r="H72" s="220" t="s">
        <v>283</v>
      </c>
      <c r="I72" s="220" t="s">
        <v>18</v>
      </c>
      <c r="J72" s="220" t="s">
        <v>15</v>
      </c>
      <c r="K72" s="220" t="s">
        <v>250</v>
      </c>
      <c r="L72" s="220" t="s">
        <v>283</v>
      </c>
      <c r="M72" s="220" t="s">
        <v>283</v>
      </c>
      <c r="N72" s="220" t="s">
        <v>283</v>
      </c>
      <c r="O72" s="221" t="s">
        <v>20</v>
      </c>
      <c r="P72" s="221" t="s">
        <v>20</v>
      </c>
      <c r="Q72" s="221" t="s">
        <v>15</v>
      </c>
      <c r="R72" s="221" t="s">
        <v>15</v>
      </c>
      <c r="S72" s="221" t="s">
        <v>16</v>
      </c>
      <c r="T72" s="221" t="s">
        <v>330</v>
      </c>
      <c r="U72" s="221" t="s">
        <v>250</v>
      </c>
      <c r="V72" s="221" t="s">
        <v>283</v>
      </c>
      <c r="W72" s="222" t="s">
        <v>283</v>
      </c>
      <c r="X72" s="222" t="s">
        <v>283</v>
      </c>
      <c r="Y72" s="223" t="s">
        <v>283</v>
      </c>
    </row>
    <row r="73" spans="1:25">
      <c r="A73" s="217">
        <v>2</v>
      </c>
      <c r="B73" s="218" t="str">
        <f>VLOOKUP(Tabel10[[#This Row],[Code]],Ruimtegroepen[[Code]:[Ruimte omschrijving]],2,FALSE)</f>
        <v>Kantoren</v>
      </c>
      <c r="C73" s="219" t="s">
        <v>339</v>
      </c>
      <c r="D73" s="218" t="s">
        <v>21</v>
      </c>
      <c r="E73" s="219" t="s">
        <v>102</v>
      </c>
      <c r="F73" s="219" t="s">
        <v>343</v>
      </c>
      <c r="G73" s="224" t="s">
        <v>283</v>
      </c>
      <c r="H73" s="220" t="s">
        <v>283</v>
      </c>
      <c r="I73" s="220" t="s">
        <v>18</v>
      </c>
      <c r="J73" s="220" t="s">
        <v>15</v>
      </c>
      <c r="K73" s="220" t="s">
        <v>250</v>
      </c>
      <c r="L73" s="220" t="s">
        <v>283</v>
      </c>
      <c r="M73" s="220" t="s">
        <v>283</v>
      </c>
      <c r="N73" s="220" t="s">
        <v>283</v>
      </c>
      <c r="O73" s="221" t="s">
        <v>20</v>
      </c>
      <c r="P73" s="221" t="s">
        <v>20</v>
      </c>
      <c r="Q73" s="221" t="s">
        <v>15</v>
      </c>
      <c r="R73" s="221" t="s">
        <v>15</v>
      </c>
      <c r="S73" s="221" t="s">
        <v>16</v>
      </c>
      <c r="T73" s="221" t="s">
        <v>330</v>
      </c>
      <c r="U73" s="221" t="s">
        <v>250</v>
      </c>
      <c r="V73" s="221" t="s">
        <v>283</v>
      </c>
      <c r="W73" s="222" t="s">
        <v>283</v>
      </c>
      <c r="X73" s="222" t="s">
        <v>283</v>
      </c>
      <c r="Y73" s="223" t="s">
        <v>283</v>
      </c>
    </row>
    <row r="74" spans="1:25">
      <c r="A74" s="217">
        <v>2</v>
      </c>
      <c r="B74" s="218" t="str">
        <f>VLOOKUP(Tabel10[[#This Row],[Code]],Ruimtegroepen[[Code]:[Ruimte omschrijving]],2,FALSE)</f>
        <v>Kantoren</v>
      </c>
      <c r="C74" s="219" t="s">
        <v>339</v>
      </c>
      <c r="D74" s="218" t="s">
        <v>21</v>
      </c>
      <c r="E74" s="219" t="s">
        <v>99</v>
      </c>
      <c r="F74" s="219" t="s">
        <v>341</v>
      </c>
      <c r="G74" s="220" t="s">
        <v>18</v>
      </c>
      <c r="H74" s="220" t="s">
        <v>15</v>
      </c>
      <c r="I74" s="220" t="s">
        <v>283</v>
      </c>
      <c r="J74" s="220" t="s">
        <v>283</v>
      </c>
      <c r="K74" s="220" t="s">
        <v>283</v>
      </c>
      <c r="L74" s="220" t="s">
        <v>283</v>
      </c>
      <c r="M74" s="220" t="s">
        <v>283</v>
      </c>
      <c r="N74" s="220" t="s">
        <v>283</v>
      </c>
      <c r="O74" s="221" t="s">
        <v>20</v>
      </c>
      <c r="P74" s="221" t="s">
        <v>20</v>
      </c>
      <c r="Q74" s="221" t="s">
        <v>15</v>
      </c>
      <c r="R74" s="221" t="s">
        <v>15</v>
      </c>
      <c r="S74" s="221" t="s">
        <v>16</v>
      </c>
      <c r="T74" s="221" t="s">
        <v>330</v>
      </c>
      <c r="U74" s="221" t="s">
        <v>250</v>
      </c>
      <c r="V74" s="221" t="s">
        <v>283</v>
      </c>
      <c r="W74" s="222" t="s">
        <v>283</v>
      </c>
      <c r="X74" s="222" t="s">
        <v>283</v>
      </c>
      <c r="Y74" s="223" t="s">
        <v>283</v>
      </c>
    </row>
    <row r="75" spans="1:25">
      <c r="A75" s="217">
        <v>2</v>
      </c>
      <c r="B75" s="218" t="str">
        <f>VLOOKUP(Tabel10[[#This Row],[Code]],Ruimtegroepen[[Code]:[Ruimte omschrijving]],2,FALSE)</f>
        <v>Kantoren</v>
      </c>
      <c r="C75" s="219" t="s">
        <v>344</v>
      </c>
      <c r="D75" s="218" t="s">
        <v>12</v>
      </c>
      <c r="E75" s="219" t="s">
        <v>1313</v>
      </c>
      <c r="F75" s="219" t="s">
        <v>1335</v>
      </c>
      <c r="G75" s="224" t="s">
        <v>283</v>
      </c>
      <c r="H75" s="220" t="s">
        <v>283</v>
      </c>
      <c r="I75" s="220" t="s">
        <v>18</v>
      </c>
      <c r="J75" s="220" t="s">
        <v>15</v>
      </c>
      <c r="K75" s="220" t="s">
        <v>250</v>
      </c>
      <c r="L75" s="220" t="s">
        <v>283</v>
      </c>
      <c r="M75" s="220" t="s">
        <v>283</v>
      </c>
      <c r="N75" s="220" t="s">
        <v>283</v>
      </c>
      <c r="O75" s="221" t="s">
        <v>20</v>
      </c>
      <c r="P75" s="221" t="s">
        <v>20</v>
      </c>
      <c r="Q75" s="221" t="s">
        <v>15</v>
      </c>
      <c r="R75" s="221" t="s">
        <v>15</v>
      </c>
      <c r="S75" s="221" t="s">
        <v>16</v>
      </c>
      <c r="T75" s="221" t="s">
        <v>330</v>
      </c>
      <c r="U75" s="221" t="s">
        <v>250</v>
      </c>
      <c r="V75" s="221" t="s">
        <v>283</v>
      </c>
      <c r="W75" s="222" t="s">
        <v>283</v>
      </c>
      <c r="X75" s="222" t="s">
        <v>283</v>
      </c>
      <c r="Y75" s="223" t="s">
        <v>283</v>
      </c>
    </row>
    <row r="76" spans="1:25">
      <c r="A76" s="217">
        <v>2</v>
      </c>
      <c r="B76" s="218" t="str">
        <f>VLOOKUP(Tabel10[[#This Row],[Code]],Ruimtegroepen[[Code]:[Ruimte omschrijving]],2,FALSE)</f>
        <v>Kantoren</v>
      </c>
      <c r="C76" s="219" t="s">
        <v>344</v>
      </c>
      <c r="D76" s="218" t="s">
        <v>12</v>
      </c>
      <c r="E76" s="219" t="s">
        <v>100</v>
      </c>
      <c r="F76" s="219" t="s">
        <v>345</v>
      </c>
      <c r="G76" s="224" t="s">
        <v>283</v>
      </c>
      <c r="H76" s="220" t="s">
        <v>283</v>
      </c>
      <c r="I76" s="220" t="s">
        <v>17</v>
      </c>
      <c r="J76" s="220" t="s">
        <v>15</v>
      </c>
      <c r="K76" s="220" t="s">
        <v>283</v>
      </c>
      <c r="L76" s="220" t="s">
        <v>283</v>
      </c>
      <c r="M76" s="220" t="s">
        <v>283</v>
      </c>
      <c r="N76" s="220" t="s">
        <v>283</v>
      </c>
      <c r="O76" s="221" t="s">
        <v>18</v>
      </c>
      <c r="P76" s="221" t="s">
        <v>18</v>
      </c>
      <c r="Q76" s="221" t="s">
        <v>15</v>
      </c>
      <c r="R76" s="221" t="s">
        <v>15</v>
      </c>
      <c r="S76" s="221" t="s">
        <v>16</v>
      </c>
      <c r="T76" s="221" t="s">
        <v>330</v>
      </c>
      <c r="U76" s="221" t="s">
        <v>250</v>
      </c>
      <c r="V76" s="221" t="s">
        <v>283</v>
      </c>
      <c r="W76" s="222" t="s">
        <v>283</v>
      </c>
      <c r="X76" s="222" t="s">
        <v>283</v>
      </c>
      <c r="Y76" s="223" t="s">
        <v>283</v>
      </c>
    </row>
    <row r="77" spans="1:25">
      <c r="A77" s="217">
        <v>2</v>
      </c>
      <c r="B77" s="218" t="str">
        <f>VLOOKUP(Tabel10[[#This Row],[Code]],Ruimtegroepen[[Code]:[Ruimte omschrijving]],2,FALSE)</f>
        <v>Kantoren</v>
      </c>
      <c r="C77" s="219" t="s">
        <v>344</v>
      </c>
      <c r="D77" s="218" t="s">
        <v>12</v>
      </c>
      <c r="E77" s="219" t="s">
        <v>99</v>
      </c>
      <c r="F77" s="219" t="s">
        <v>346</v>
      </c>
      <c r="G77" s="220" t="s">
        <v>17</v>
      </c>
      <c r="H77" s="220" t="s">
        <v>15</v>
      </c>
      <c r="I77" s="220" t="s">
        <v>283</v>
      </c>
      <c r="J77" s="220" t="s">
        <v>283</v>
      </c>
      <c r="K77" s="220" t="s">
        <v>283</v>
      </c>
      <c r="L77" s="220" t="s">
        <v>283</v>
      </c>
      <c r="M77" s="220" t="s">
        <v>283</v>
      </c>
      <c r="N77" s="220" t="s">
        <v>283</v>
      </c>
      <c r="O77" s="221" t="s">
        <v>18</v>
      </c>
      <c r="P77" s="221" t="s">
        <v>18</v>
      </c>
      <c r="Q77" s="221" t="s">
        <v>15</v>
      </c>
      <c r="R77" s="221" t="s">
        <v>15</v>
      </c>
      <c r="S77" s="221" t="s">
        <v>16</v>
      </c>
      <c r="T77" s="221" t="s">
        <v>330</v>
      </c>
      <c r="U77" s="221" t="s">
        <v>250</v>
      </c>
      <c r="V77" s="221" t="s">
        <v>283</v>
      </c>
      <c r="W77" s="222" t="s">
        <v>283</v>
      </c>
      <c r="X77" s="222" t="s">
        <v>283</v>
      </c>
      <c r="Y77" s="223" t="s">
        <v>283</v>
      </c>
    </row>
    <row r="78" spans="1:25">
      <c r="A78" s="217">
        <v>2</v>
      </c>
      <c r="B78" s="218" t="str">
        <f>VLOOKUP(Tabel10[[#This Row],[Code]],Ruimtegroepen[[Code]:[Ruimte omschrijving]],2,FALSE)</f>
        <v>Kantoren</v>
      </c>
      <c r="C78" s="219" t="s">
        <v>344</v>
      </c>
      <c r="D78" s="218" t="s">
        <v>12</v>
      </c>
      <c r="E78" s="219" t="s">
        <v>101</v>
      </c>
      <c r="F78" s="219" t="s">
        <v>347</v>
      </c>
      <c r="G78" s="224" t="s">
        <v>283</v>
      </c>
      <c r="H78" s="220" t="s">
        <v>283</v>
      </c>
      <c r="I78" s="220" t="s">
        <v>17</v>
      </c>
      <c r="J78" s="220" t="s">
        <v>15</v>
      </c>
      <c r="K78" s="220" t="s">
        <v>250</v>
      </c>
      <c r="L78" s="220" t="s">
        <v>283</v>
      </c>
      <c r="M78" s="220" t="s">
        <v>283</v>
      </c>
      <c r="N78" s="220" t="s">
        <v>283</v>
      </c>
      <c r="O78" s="221" t="s">
        <v>18</v>
      </c>
      <c r="P78" s="221" t="s">
        <v>18</v>
      </c>
      <c r="Q78" s="221" t="s">
        <v>15</v>
      </c>
      <c r="R78" s="221" t="s">
        <v>15</v>
      </c>
      <c r="S78" s="221" t="s">
        <v>16</v>
      </c>
      <c r="T78" s="221" t="s">
        <v>330</v>
      </c>
      <c r="U78" s="221" t="s">
        <v>250</v>
      </c>
      <c r="V78" s="221" t="s">
        <v>283</v>
      </c>
      <c r="W78" s="222" t="s">
        <v>283</v>
      </c>
      <c r="X78" s="222" t="s">
        <v>283</v>
      </c>
      <c r="Y78" s="223" t="s">
        <v>283</v>
      </c>
    </row>
    <row r="79" spans="1:25">
      <c r="A79" s="217">
        <v>2</v>
      </c>
      <c r="B79" s="218" t="str">
        <f>VLOOKUP(Tabel10[[#This Row],[Code]],Ruimtegroepen[[Code]:[Ruimte omschrijving]],2,FALSE)</f>
        <v>Kantoren</v>
      </c>
      <c r="C79" s="219" t="s">
        <v>344</v>
      </c>
      <c r="D79" s="218" t="s">
        <v>12</v>
      </c>
      <c r="E79" s="219" t="s">
        <v>102</v>
      </c>
      <c r="F79" s="219" t="s">
        <v>348</v>
      </c>
      <c r="G79" s="224" t="s">
        <v>283</v>
      </c>
      <c r="H79" s="220" t="s">
        <v>283</v>
      </c>
      <c r="I79" s="220" t="s">
        <v>17</v>
      </c>
      <c r="J79" s="220" t="s">
        <v>15</v>
      </c>
      <c r="K79" s="220" t="s">
        <v>250</v>
      </c>
      <c r="L79" s="220" t="s">
        <v>283</v>
      </c>
      <c r="M79" s="220" t="s">
        <v>283</v>
      </c>
      <c r="N79" s="220" t="s">
        <v>283</v>
      </c>
      <c r="O79" s="221" t="s">
        <v>18</v>
      </c>
      <c r="P79" s="221" t="s">
        <v>18</v>
      </c>
      <c r="Q79" s="221" t="s">
        <v>15</v>
      </c>
      <c r="R79" s="221" t="s">
        <v>15</v>
      </c>
      <c r="S79" s="221" t="s">
        <v>16</v>
      </c>
      <c r="T79" s="221" t="s">
        <v>330</v>
      </c>
      <c r="U79" s="221" t="s">
        <v>250</v>
      </c>
      <c r="V79" s="221" t="s">
        <v>283</v>
      </c>
      <c r="W79" s="222" t="s">
        <v>283</v>
      </c>
      <c r="X79" s="222" t="s">
        <v>283</v>
      </c>
      <c r="Y79" s="223" t="s">
        <v>283</v>
      </c>
    </row>
    <row r="80" spans="1:25">
      <c r="A80" s="217">
        <v>2</v>
      </c>
      <c r="B80" s="218" t="str">
        <f>VLOOKUP(Tabel10[[#This Row],[Code]],Ruimtegroepen[[Code]:[Ruimte omschrijving]],2,FALSE)</f>
        <v>Kantoren</v>
      </c>
      <c r="C80" s="219" t="s">
        <v>344</v>
      </c>
      <c r="D80" s="218" t="s">
        <v>12</v>
      </c>
      <c r="E80" s="219" t="s">
        <v>99</v>
      </c>
      <c r="F80" s="219" t="s">
        <v>346</v>
      </c>
      <c r="G80" s="220" t="s">
        <v>17</v>
      </c>
      <c r="H80" s="220" t="s">
        <v>15</v>
      </c>
      <c r="I80" s="220" t="s">
        <v>283</v>
      </c>
      <c r="J80" s="220" t="s">
        <v>283</v>
      </c>
      <c r="K80" s="220" t="s">
        <v>283</v>
      </c>
      <c r="L80" s="220" t="s">
        <v>283</v>
      </c>
      <c r="M80" s="220" t="s">
        <v>283</v>
      </c>
      <c r="N80" s="220" t="s">
        <v>283</v>
      </c>
      <c r="O80" s="221" t="s">
        <v>18</v>
      </c>
      <c r="P80" s="221" t="s">
        <v>18</v>
      </c>
      <c r="Q80" s="221" t="s">
        <v>15</v>
      </c>
      <c r="R80" s="221" t="s">
        <v>15</v>
      </c>
      <c r="S80" s="221" t="s">
        <v>16</v>
      </c>
      <c r="T80" s="221" t="s">
        <v>330</v>
      </c>
      <c r="U80" s="221" t="s">
        <v>250</v>
      </c>
      <c r="V80" s="221" t="s">
        <v>283</v>
      </c>
      <c r="W80" s="222" t="s">
        <v>283</v>
      </c>
      <c r="X80" s="222" t="s">
        <v>283</v>
      </c>
      <c r="Y80" s="223" t="s">
        <v>283</v>
      </c>
    </row>
    <row r="81" spans="1:25">
      <c r="A81" s="217">
        <v>2</v>
      </c>
      <c r="B81" s="218" t="str">
        <f>VLOOKUP(Tabel10[[#This Row],[Code]],Ruimtegroepen[[Code]:[Ruimte omschrijving]],2,FALSE)</f>
        <v>Kantoren</v>
      </c>
      <c r="C81" s="219" t="s">
        <v>344</v>
      </c>
      <c r="D81" s="218" t="s">
        <v>12</v>
      </c>
      <c r="E81" s="219" t="s">
        <v>1313</v>
      </c>
      <c r="F81" s="219" t="s">
        <v>1334</v>
      </c>
      <c r="G81" s="224" t="s">
        <v>283</v>
      </c>
      <c r="H81" s="220" t="s">
        <v>283</v>
      </c>
      <c r="I81" s="220" t="s">
        <v>17</v>
      </c>
      <c r="J81" s="220" t="s">
        <v>15</v>
      </c>
      <c r="K81" s="220" t="s">
        <v>250</v>
      </c>
      <c r="L81" s="220" t="s">
        <v>283</v>
      </c>
      <c r="M81" s="220" t="s">
        <v>283</v>
      </c>
      <c r="N81" s="220" t="s">
        <v>283</v>
      </c>
      <c r="O81" s="221" t="s">
        <v>18</v>
      </c>
      <c r="P81" s="221" t="s">
        <v>18</v>
      </c>
      <c r="Q81" s="221" t="s">
        <v>15</v>
      </c>
      <c r="R81" s="221" t="s">
        <v>15</v>
      </c>
      <c r="S81" s="221" t="s">
        <v>16</v>
      </c>
      <c r="T81" s="221" t="s">
        <v>330</v>
      </c>
      <c r="U81" s="221" t="s">
        <v>250</v>
      </c>
      <c r="V81" s="221" t="s">
        <v>283</v>
      </c>
      <c r="W81" s="222" t="s">
        <v>283</v>
      </c>
      <c r="X81" s="222" t="s">
        <v>283</v>
      </c>
      <c r="Y81" s="223" t="s">
        <v>283</v>
      </c>
    </row>
    <row r="82" spans="1:25">
      <c r="A82" s="217">
        <v>2</v>
      </c>
      <c r="B82" s="218" t="str">
        <f>VLOOKUP(Tabel10[[#This Row],[Code]],Ruimtegroepen[[Code]:[Ruimte omschrijving]],2,FALSE)</f>
        <v>Kantoren</v>
      </c>
      <c r="C82" s="219" t="s">
        <v>349</v>
      </c>
      <c r="D82" s="218" t="s">
        <v>14</v>
      </c>
      <c r="E82" s="219" t="s">
        <v>100</v>
      </c>
      <c r="F82" s="219" t="s">
        <v>350</v>
      </c>
      <c r="G82" s="224" t="s">
        <v>283</v>
      </c>
      <c r="H82" s="220" t="s">
        <v>283</v>
      </c>
      <c r="I82" s="220" t="s">
        <v>15</v>
      </c>
      <c r="J82" s="220" t="s">
        <v>15</v>
      </c>
      <c r="K82" s="220" t="s">
        <v>283</v>
      </c>
      <c r="L82" s="220" t="s">
        <v>283</v>
      </c>
      <c r="M82" s="220" t="s">
        <v>283</v>
      </c>
      <c r="N82" s="220" t="s">
        <v>283</v>
      </c>
      <c r="O82" s="221" t="s">
        <v>17</v>
      </c>
      <c r="P82" s="221" t="s">
        <v>17</v>
      </c>
      <c r="Q82" s="221" t="s">
        <v>15</v>
      </c>
      <c r="R82" s="221" t="s">
        <v>15</v>
      </c>
      <c r="S82" s="221" t="s">
        <v>16</v>
      </c>
      <c r="T82" s="221" t="s">
        <v>330</v>
      </c>
      <c r="U82" s="221" t="s">
        <v>250</v>
      </c>
      <c r="V82" s="221" t="s">
        <v>283</v>
      </c>
      <c r="W82" s="222" t="s">
        <v>283</v>
      </c>
      <c r="X82" s="222" t="s">
        <v>283</v>
      </c>
      <c r="Y82" s="223" t="s">
        <v>283</v>
      </c>
    </row>
    <row r="83" spans="1:25">
      <c r="A83" s="217">
        <v>2</v>
      </c>
      <c r="B83" s="218" t="str">
        <f>VLOOKUP(Tabel10[[#This Row],[Code]],Ruimtegroepen[[Code]:[Ruimte omschrijving]],2,FALSE)</f>
        <v>Kantoren</v>
      </c>
      <c r="C83" s="219" t="s">
        <v>349</v>
      </c>
      <c r="D83" s="218" t="s">
        <v>14</v>
      </c>
      <c r="E83" s="219" t="s">
        <v>99</v>
      </c>
      <c r="F83" s="219" t="s">
        <v>351</v>
      </c>
      <c r="G83" s="220" t="s">
        <v>15</v>
      </c>
      <c r="H83" s="220" t="s">
        <v>15</v>
      </c>
      <c r="I83" s="220" t="s">
        <v>283</v>
      </c>
      <c r="J83" s="220" t="s">
        <v>283</v>
      </c>
      <c r="K83" s="220" t="s">
        <v>283</v>
      </c>
      <c r="L83" s="220" t="s">
        <v>283</v>
      </c>
      <c r="M83" s="220" t="s">
        <v>283</v>
      </c>
      <c r="N83" s="220" t="s">
        <v>283</v>
      </c>
      <c r="O83" s="221" t="s">
        <v>17</v>
      </c>
      <c r="P83" s="221" t="s">
        <v>17</v>
      </c>
      <c r="Q83" s="221" t="s">
        <v>15</v>
      </c>
      <c r="R83" s="221" t="s">
        <v>15</v>
      </c>
      <c r="S83" s="221" t="s">
        <v>16</v>
      </c>
      <c r="T83" s="221" t="s">
        <v>330</v>
      </c>
      <c r="U83" s="221" t="s">
        <v>250</v>
      </c>
      <c r="V83" s="221" t="s">
        <v>283</v>
      </c>
      <c r="W83" s="222" t="s">
        <v>283</v>
      </c>
      <c r="X83" s="222" t="s">
        <v>283</v>
      </c>
      <c r="Y83" s="223" t="s">
        <v>283</v>
      </c>
    </row>
    <row r="84" spans="1:25">
      <c r="A84" s="217">
        <v>2</v>
      </c>
      <c r="B84" s="218" t="str">
        <f>VLOOKUP(Tabel10[[#This Row],[Code]],Ruimtegroepen[[Code]:[Ruimte omschrijving]],2,FALSE)</f>
        <v>Kantoren</v>
      </c>
      <c r="C84" s="219" t="s">
        <v>349</v>
      </c>
      <c r="D84" s="218" t="s">
        <v>14</v>
      </c>
      <c r="E84" s="219" t="s">
        <v>101</v>
      </c>
      <c r="F84" s="219" t="s">
        <v>352</v>
      </c>
      <c r="G84" s="224" t="s">
        <v>283</v>
      </c>
      <c r="H84" s="220" t="s">
        <v>283</v>
      </c>
      <c r="I84" s="220" t="s">
        <v>15</v>
      </c>
      <c r="J84" s="220" t="s">
        <v>15</v>
      </c>
      <c r="K84" s="220" t="s">
        <v>250</v>
      </c>
      <c r="L84" s="220" t="s">
        <v>283</v>
      </c>
      <c r="M84" s="220" t="s">
        <v>283</v>
      </c>
      <c r="N84" s="220" t="s">
        <v>283</v>
      </c>
      <c r="O84" s="221" t="s">
        <v>17</v>
      </c>
      <c r="P84" s="221" t="s">
        <v>17</v>
      </c>
      <c r="Q84" s="221" t="s">
        <v>15</v>
      </c>
      <c r="R84" s="221" t="s">
        <v>15</v>
      </c>
      <c r="S84" s="221" t="s">
        <v>16</v>
      </c>
      <c r="T84" s="221" t="s">
        <v>330</v>
      </c>
      <c r="U84" s="221" t="s">
        <v>250</v>
      </c>
      <c r="V84" s="221" t="s">
        <v>283</v>
      </c>
      <c r="W84" s="222" t="s">
        <v>283</v>
      </c>
      <c r="X84" s="222" t="s">
        <v>283</v>
      </c>
      <c r="Y84" s="223" t="s">
        <v>283</v>
      </c>
    </row>
    <row r="85" spans="1:25">
      <c r="A85" s="217">
        <v>2</v>
      </c>
      <c r="B85" s="218" t="str">
        <f>VLOOKUP(Tabel10[[#This Row],[Code]],Ruimtegroepen[[Code]:[Ruimte omschrijving]],2,FALSE)</f>
        <v>Kantoren</v>
      </c>
      <c r="C85" s="219" t="s">
        <v>349</v>
      </c>
      <c r="D85" s="218" t="s">
        <v>14</v>
      </c>
      <c r="E85" s="219" t="s">
        <v>102</v>
      </c>
      <c r="F85" s="219" t="s">
        <v>353</v>
      </c>
      <c r="G85" s="224" t="s">
        <v>283</v>
      </c>
      <c r="H85" s="220" t="s">
        <v>283</v>
      </c>
      <c r="I85" s="220" t="s">
        <v>15</v>
      </c>
      <c r="J85" s="220" t="s">
        <v>15</v>
      </c>
      <c r="K85" s="220" t="s">
        <v>250</v>
      </c>
      <c r="L85" s="220" t="s">
        <v>283</v>
      </c>
      <c r="M85" s="220" t="s">
        <v>283</v>
      </c>
      <c r="N85" s="220" t="s">
        <v>283</v>
      </c>
      <c r="O85" s="221" t="s">
        <v>17</v>
      </c>
      <c r="P85" s="221" t="s">
        <v>17</v>
      </c>
      <c r="Q85" s="221" t="s">
        <v>15</v>
      </c>
      <c r="R85" s="221" t="s">
        <v>15</v>
      </c>
      <c r="S85" s="221" t="s">
        <v>16</v>
      </c>
      <c r="T85" s="221" t="s">
        <v>330</v>
      </c>
      <c r="U85" s="221" t="s">
        <v>250</v>
      </c>
      <c r="V85" s="221" t="s">
        <v>283</v>
      </c>
      <c r="W85" s="222" t="s">
        <v>283</v>
      </c>
      <c r="X85" s="222" t="s">
        <v>283</v>
      </c>
      <c r="Y85" s="223" t="s">
        <v>283</v>
      </c>
    </row>
    <row r="86" spans="1:25">
      <c r="A86" s="217">
        <v>2</v>
      </c>
      <c r="B86" s="218" t="str">
        <f>VLOOKUP(Tabel10[[#This Row],[Code]],Ruimtegroepen[[Code]:[Ruimte omschrijving]],2,FALSE)</f>
        <v>Kantoren</v>
      </c>
      <c r="C86" s="219" t="s">
        <v>349</v>
      </c>
      <c r="D86" s="218" t="s">
        <v>14</v>
      </c>
      <c r="E86" s="219" t="s">
        <v>99</v>
      </c>
      <c r="F86" s="219" t="s">
        <v>351</v>
      </c>
      <c r="G86" s="220" t="s">
        <v>15</v>
      </c>
      <c r="H86" s="220" t="s">
        <v>15</v>
      </c>
      <c r="I86" s="220" t="s">
        <v>283</v>
      </c>
      <c r="J86" s="220" t="s">
        <v>283</v>
      </c>
      <c r="K86" s="220" t="s">
        <v>283</v>
      </c>
      <c r="L86" s="220" t="s">
        <v>283</v>
      </c>
      <c r="M86" s="220" t="s">
        <v>283</v>
      </c>
      <c r="N86" s="220" t="s">
        <v>283</v>
      </c>
      <c r="O86" s="221" t="s">
        <v>17</v>
      </c>
      <c r="P86" s="221" t="s">
        <v>17</v>
      </c>
      <c r="Q86" s="221" t="s">
        <v>15</v>
      </c>
      <c r="R86" s="221" t="s">
        <v>15</v>
      </c>
      <c r="S86" s="221" t="s">
        <v>16</v>
      </c>
      <c r="T86" s="221" t="s">
        <v>330</v>
      </c>
      <c r="U86" s="221" t="s">
        <v>250</v>
      </c>
      <c r="V86" s="221" t="s">
        <v>283</v>
      </c>
      <c r="W86" s="222" t="s">
        <v>283</v>
      </c>
      <c r="X86" s="222" t="s">
        <v>283</v>
      </c>
      <c r="Y86" s="223" t="s">
        <v>283</v>
      </c>
    </row>
    <row r="87" spans="1:25">
      <c r="A87" s="217">
        <v>2</v>
      </c>
      <c r="B87" s="218" t="str">
        <f>VLOOKUP(Tabel10[[#This Row],[Code]],Ruimtegroepen[[Code]:[Ruimte omschrijving]],2,FALSE)</f>
        <v>Kantoren</v>
      </c>
      <c r="C87" s="219" t="s">
        <v>349</v>
      </c>
      <c r="D87" s="218" t="s">
        <v>14</v>
      </c>
      <c r="E87" s="219" t="s">
        <v>1313</v>
      </c>
      <c r="F87" s="219" t="s">
        <v>1336</v>
      </c>
      <c r="G87" s="224" t="s">
        <v>283</v>
      </c>
      <c r="H87" s="220" t="s">
        <v>283</v>
      </c>
      <c r="I87" s="220" t="s">
        <v>15</v>
      </c>
      <c r="J87" s="220" t="s">
        <v>15</v>
      </c>
      <c r="K87" s="220" t="s">
        <v>250</v>
      </c>
      <c r="L87" s="220" t="s">
        <v>283</v>
      </c>
      <c r="M87" s="220" t="s">
        <v>283</v>
      </c>
      <c r="N87" s="220" t="s">
        <v>283</v>
      </c>
      <c r="O87" s="221" t="s">
        <v>17</v>
      </c>
      <c r="P87" s="221" t="s">
        <v>17</v>
      </c>
      <c r="Q87" s="221" t="s">
        <v>15</v>
      </c>
      <c r="R87" s="221" t="s">
        <v>15</v>
      </c>
      <c r="S87" s="221" t="s">
        <v>16</v>
      </c>
      <c r="T87" s="221" t="s">
        <v>330</v>
      </c>
      <c r="U87" s="221" t="s">
        <v>250</v>
      </c>
      <c r="V87" s="221" t="s">
        <v>283</v>
      </c>
      <c r="W87" s="222" t="s">
        <v>283</v>
      </c>
      <c r="X87" s="222" t="s">
        <v>283</v>
      </c>
      <c r="Y87" s="223" t="s">
        <v>283</v>
      </c>
    </row>
    <row r="88" spans="1:25">
      <c r="A88" s="217">
        <v>2</v>
      </c>
      <c r="B88" s="218" t="str">
        <f>VLOOKUP(Tabel10[[#This Row],[Code]],Ruimtegroepen[[Code]:[Ruimte omschrijving]],2,FALSE)</f>
        <v>Kantoren</v>
      </c>
      <c r="C88" s="219" t="s">
        <v>354</v>
      </c>
      <c r="D88" s="218" t="s">
        <v>13</v>
      </c>
      <c r="E88" s="219" t="s">
        <v>100</v>
      </c>
      <c r="F88" s="219" t="s">
        <v>355</v>
      </c>
      <c r="G88" s="224" t="s">
        <v>283</v>
      </c>
      <c r="H88" s="220" t="s">
        <v>283</v>
      </c>
      <c r="I88" s="220" t="s">
        <v>283</v>
      </c>
      <c r="J88" s="220" t="s">
        <v>15</v>
      </c>
      <c r="K88" s="220" t="s">
        <v>283</v>
      </c>
      <c r="L88" s="220" t="s">
        <v>283</v>
      </c>
      <c r="M88" s="220" t="s">
        <v>283</v>
      </c>
      <c r="N88" s="220" t="s">
        <v>283</v>
      </c>
      <c r="O88" s="221" t="s">
        <v>15</v>
      </c>
      <c r="P88" s="221" t="s">
        <v>15</v>
      </c>
      <c r="Q88" s="221" t="s">
        <v>15</v>
      </c>
      <c r="R88" s="221" t="s">
        <v>15</v>
      </c>
      <c r="S88" s="221" t="s">
        <v>16</v>
      </c>
      <c r="T88" s="221" t="s">
        <v>330</v>
      </c>
      <c r="U88" s="221" t="s">
        <v>250</v>
      </c>
      <c r="V88" s="221" t="s">
        <v>283</v>
      </c>
      <c r="W88" s="222" t="s">
        <v>283</v>
      </c>
      <c r="X88" s="222" t="s">
        <v>283</v>
      </c>
      <c r="Y88" s="223" t="s">
        <v>283</v>
      </c>
    </row>
    <row r="89" spans="1:25">
      <c r="A89" s="217">
        <v>2</v>
      </c>
      <c r="B89" s="218" t="str">
        <f>VLOOKUP(Tabel10[[#This Row],[Code]],Ruimtegroepen[[Code]:[Ruimte omschrijving]],2,FALSE)</f>
        <v>Kantoren</v>
      </c>
      <c r="C89" s="219" t="s">
        <v>354</v>
      </c>
      <c r="D89" s="218" t="s">
        <v>13</v>
      </c>
      <c r="E89" s="219" t="s">
        <v>99</v>
      </c>
      <c r="F89" s="219" t="s">
        <v>356</v>
      </c>
      <c r="G89" s="224" t="s">
        <v>283</v>
      </c>
      <c r="H89" s="220" t="s">
        <v>15</v>
      </c>
      <c r="I89" s="220" t="s">
        <v>283</v>
      </c>
      <c r="J89" s="220" t="s">
        <v>283</v>
      </c>
      <c r="K89" s="220" t="s">
        <v>283</v>
      </c>
      <c r="L89" s="220" t="s">
        <v>283</v>
      </c>
      <c r="M89" s="220" t="s">
        <v>283</v>
      </c>
      <c r="N89" s="220" t="s">
        <v>283</v>
      </c>
      <c r="O89" s="221" t="s">
        <v>15</v>
      </c>
      <c r="P89" s="221" t="s">
        <v>15</v>
      </c>
      <c r="Q89" s="221" t="s">
        <v>15</v>
      </c>
      <c r="R89" s="221" t="s">
        <v>15</v>
      </c>
      <c r="S89" s="221" t="s">
        <v>16</v>
      </c>
      <c r="T89" s="221" t="s">
        <v>330</v>
      </c>
      <c r="U89" s="221" t="s">
        <v>250</v>
      </c>
      <c r="V89" s="221" t="s">
        <v>283</v>
      </c>
      <c r="W89" s="222" t="s">
        <v>283</v>
      </c>
      <c r="X89" s="222" t="s">
        <v>283</v>
      </c>
      <c r="Y89" s="223" t="s">
        <v>283</v>
      </c>
    </row>
    <row r="90" spans="1:25">
      <c r="A90" s="217">
        <v>2</v>
      </c>
      <c r="B90" s="218" t="str">
        <f>VLOOKUP(Tabel10[[#This Row],[Code]],Ruimtegroepen[[Code]:[Ruimte omschrijving]],2,FALSE)</f>
        <v>Kantoren</v>
      </c>
      <c r="C90" s="219" t="s">
        <v>354</v>
      </c>
      <c r="D90" s="218" t="s">
        <v>13</v>
      </c>
      <c r="E90" s="219" t="s">
        <v>101</v>
      </c>
      <c r="F90" s="219" t="s">
        <v>357</v>
      </c>
      <c r="G90" s="224" t="s">
        <v>283</v>
      </c>
      <c r="H90" s="220" t="s">
        <v>283</v>
      </c>
      <c r="I90" s="220" t="s">
        <v>283</v>
      </c>
      <c r="J90" s="220" t="s">
        <v>15</v>
      </c>
      <c r="K90" s="220" t="s">
        <v>250</v>
      </c>
      <c r="L90" s="220" t="s">
        <v>283</v>
      </c>
      <c r="M90" s="220" t="s">
        <v>283</v>
      </c>
      <c r="N90" s="220" t="s">
        <v>283</v>
      </c>
      <c r="O90" s="221" t="s">
        <v>15</v>
      </c>
      <c r="P90" s="221" t="s">
        <v>15</v>
      </c>
      <c r="Q90" s="221" t="s">
        <v>15</v>
      </c>
      <c r="R90" s="221" t="s">
        <v>15</v>
      </c>
      <c r="S90" s="221" t="s">
        <v>16</v>
      </c>
      <c r="T90" s="221" t="s">
        <v>330</v>
      </c>
      <c r="U90" s="221" t="s">
        <v>250</v>
      </c>
      <c r="V90" s="221" t="s">
        <v>283</v>
      </c>
      <c r="W90" s="222" t="s">
        <v>283</v>
      </c>
      <c r="X90" s="222" t="s">
        <v>283</v>
      </c>
      <c r="Y90" s="223" t="s">
        <v>283</v>
      </c>
    </row>
    <row r="91" spans="1:25">
      <c r="A91" s="217">
        <v>2</v>
      </c>
      <c r="B91" s="218" t="str">
        <f>VLOOKUP(Tabel10[[#This Row],[Code]],Ruimtegroepen[[Code]:[Ruimte omschrijving]],2,FALSE)</f>
        <v>Kantoren</v>
      </c>
      <c r="C91" s="219" t="s">
        <v>354</v>
      </c>
      <c r="D91" s="218" t="s">
        <v>13</v>
      </c>
      <c r="E91" s="219" t="s">
        <v>102</v>
      </c>
      <c r="F91" s="219" t="s">
        <v>358</v>
      </c>
      <c r="G91" s="224" t="s">
        <v>283</v>
      </c>
      <c r="H91" s="220" t="s">
        <v>283</v>
      </c>
      <c r="I91" s="220" t="s">
        <v>283</v>
      </c>
      <c r="J91" s="220" t="s">
        <v>15</v>
      </c>
      <c r="K91" s="220" t="s">
        <v>250</v>
      </c>
      <c r="L91" s="220" t="s">
        <v>283</v>
      </c>
      <c r="M91" s="220" t="s">
        <v>283</v>
      </c>
      <c r="N91" s="220" t="s">
        <v>283</v>
      </c>
      <c r="O91" s="221" t="s">
        <v>15</v>
      </c>
      <c r="P91" s="221" t="s">
        <v>15</v>
      </c>
      <c r="Q91" s="221" t="s">
        <v>15</v>
      </c>
      <c r="R91" s="221" t="s">
        <v>15</v>
      </c>
      <c r="S91" s="221" t="s">
        <v>16</v>
      </c>
      <c r="T91" s="221" t="s">
        <v>330</v>
      </c>
      <c r="U91" s="221" t="s">
        <v>250</v>
      </c>
      <c r="V91" s="221" t="s">
        <v>283</v>
      </c>
      <c r="W91" s="222" t="s">
        <v>283</v>
      </c>
      <c r="X91" s="222" t="s">
        <v>283</v>
      </c>
      <c r="Y91" s="223" t="s">
        <v>283</v>
      </c>
    </row>
    <row r="92" spans="1:25">
      <c r="A92" s="217">
        <v>2</v>
      </c>
      <c r="B92" s="218" t="str">
        <f>VLOOKUP(Tabel10[[#This Row],[Code]],Ruimtegroepen[[Code]:[Ruimte omschrijving]],2,FALSE)</f>
        <v>Kantoren</v>
      </c>
      <c r="C92" s="219" t="s">
        <v>354</v>
      </c>
      <c r="D92" s="218" t="s">
        <v>13</v>
      </c>
      <c r="E92" s="219" t="s">
        <v>99</v>
      </c>
      <c r="F92" s="219" t="s">
        <v>356</v>
      </c>
      <c r="G92" s="224" t="s">
        <v>283</v>
      </c>
      <c r="H92" s="220" t="s">
        <v>15</v>
      </c>
      <c r="I92" s="220" t="s">
        <v>283</v>
      </c>
      <c r="J92" s="220" t="s">
        <v>283</v>
      </c>
      <c r="K92" s="220" t="s">
        <v>283</v>
      </c>
      <c r="L92" s="220" t="s">
        <v>283</v>
      </c>
      <c r="M92" s="220" t="s">
        <v>283</v>
      </c>
      <c r="N92" s="220" t="s">
        <v>283</v>
      </c>
      <c r="O92" s="221" t="s">
        <v>15</v>
      </c>
      <c r="P92" s="221" t="s">
        <v>15</v>
      </c>
      <c r="Q92" s="221" t="s">
        <v>15</v>
      </c>
      <c r="R92" s="221" t="s">
        <v>15</v>
      </c>
      <c r="S92" s="221" t="s">
        <v>16</v>
      </c>
      <c r="T92" s="221" t="s">
        <v>330</v>
      </c>
      <c r="U92" s="221" t="s">
        <v>250</v>
      </c>
      <c r="V92" s="221" t="s">
        <v>283</v>
      </c>
      <c r="W92" s="222" t="s">
        <v>283</v>
      </c>
      <c r="X92" s="222" t="s">
        <v>283</v>
      </c>
      <c r="Y92" s="223" t="s">
        <v>283</v>
      </c>
    </row>
    <row r="93" spans="1:25">
      <c r="A93" s="217">
        <v>2</v>
      </c>
      <c r="B93" s="218" t="str">
        <f>VLOOKUP(Tabel10[[#This Row],[Code]],Ruimtegroepen[[Code]:[Ruimte omschrijving]],2,FALSE)</f>
        <v>Kantoren</v>
      </c>
      <c r="C93" s="219" t="s">
        <v>354</v>
      </c>
      <c r="D93" s="218" t="s">
        <v>13</v>
      </c>
      <c r="E93" s="219" t="s">
        <v>1313</v>
      </c>
      <c r="F93" s="219" t="s">
        <v>1337</v>
      </c>
      <c r="G93" s="224" t="s">
        <v>283</v>
      </c>
      <c r="H93" s="220" t="s">
        <v>283</v>
      </c>
      <c r="I93" s="220" t="s">
        <v>283</v>
      </c>
      <c r="J93" s="220" t="s">
        <v>15</v>
      </c>
      <c r="K93" s="220" t="s">
        <v>250</v>
      </c>
      <c r="L93" s="220" t="s">
        <v>283</v>
      </c>
      <c r="M93" s="220" t="s">
        <v>283</v>
      </c>
      <c r="N93" s="220" t="s">
        <v>283</v>
      </c>
      <c r="O93" s="221" t="s">
        <v>15</v>
      </c>
      <c r="P93" s="221" t="s">
        <v>15</v>
      </c>
      <c r="Q93" s="221" t="s">
        <v>15</v>
      </c>
      <c r="R93" s="221" t="s">
        <v>15</v>
      </c>
      <c r="S93" s="221" t="s">
        <v>16</v>
      </c>
      <c r="T93" s="221" t="s">
        <v>330</v>
      </c>
      <c r="U93" s="221" t="s">
        <v>250</v>
      </c>
      <c r="V93" s="221" t="s">
        <v>283</v>
      </c>
      <c r="W93" s="222" t="s">
        <v>283</v>
      </c>
      <c r="X93" s="222" t="s">
        <v>283</v>
      </c>
      <c r="Y93" s="223" t="s">
        <v>283</v>
      </c>
    </row>
    <row r="94" spans="1:25">
      <c r="A94" s="217">
        <v>2</v>
      </c>
      <c r="B94" s="218" t="str">
        <f>VLOOKUP(Tabel10[[#This Row],[Code]],Ruimtegroepen[[Code]:[Ruimte omschrijving]],2,FALSE)</f>
        <v>Kantoren</v>
      </c>
      <c r="C94" s="219" t="s">
        <v>359</v>
      </c>
      <c r="D94" s="218" t="s">
        <v>0</v>
      </c>
      <c r="E94" s="219" t="s">
        <v>100</v>
      </c>
      <c r="F94" s="219" t="s">
        <v>360</v>
      </c>
      <c r="G94" s="224" t="s">
        <v>283</v>
      </c>
      <c r="H94" s="220" t="s">
        <v>283</v>
      </c>
      <c r="I94" s="220" t="s">
        <v>16</v>
      </c>
      <c r="J94" s="220" t="s">
        <v>283</v>
      </c>
      <c r="K94" s="220" t="s">
        <v>283</v>
      </c>
      <c r="L94" s="220" t="s">
        <v>283</v>
      </c>
      <c r="M94" s="220" t="s">
        <v>283</v>
      </c>
      <c r="N94" s="220" t="s">
        <v>283</v>
      </c>
      <c r="O94" s="221" t="s">
        <v>16</v>
      </c>
      <c r="P94" s="221" t="s">
        <v>16</v>
      </c>
      <c r="Q94" s="221" t="s">
        <v>16</v>
      </c>
      <c r="R94" s="221" t="s">
        <v>16</v>
      </c>
      <c r="S94" s="221" t="s">
        <v>16</v>
      </c>
      <c r="T94" s="221" t="s">
        <v>330</v>
      </c>
      <c r="U94" s="221" t="s">
        <v>250</v>
      </c>
      <c r="V94" s="221" t="s">
        <v>283</v>
      </c>
      <c r="W94" s="222" t="s">
        <v>283</v>
      </c>
      <c r="X94" s="222" t="s">
        <v>283</v>
      </c>
      <c r="Y94" s="223" t="s">
        <v>283</v>
      </c>
    </row>
    <row r="95" spans="1:25">
      <c r="A95" s="217">
        <v>2</v>
      </c>
      <c r="B95" s="218" t="str">
        <f>VLOOKUP(Tabel10[[#This Row],[Code]],Ruimtegroepen[[Code]:[Ruimte omschrijving]],2,FALSE)</f>
        <v>Kantoren</v>
      </c>
      <c r="C95" s="219" t="s">
        <v>359</v>
      </c>
      <c r="D95" s="218" t="s">
        <v>0</v>
      </c>
      <c r="E95" s="219" t="s">
        <v>99</v>
      </c>
      <c r="F95" s="219" t="s">
        <v>361</v>
      </c>
      <c r="G95" s="224" t="s">
        <v>283</v>
      </c>
      <c r="H95" s="220" t="s">
        <v>16</v>
      </c>
      <c r="I95" s="220" t="s">
        <v>283</v>
      </c>
      <c r="J95" s="220" t="s">
        <v>283</v>
      </c>
      <c r="K95" s="220" t="s">
        <v>283</v>
      </c>
      <c r="L95" s="220" t="s">
        <v>283</v>
      </c>
      <c r="M95" s="220" t="s">
        <v>283</v>
      </c>
      <c r="N95" s="220" t="s">
        <v>283</v>
      </c>
      <c r="O95" s="221" t="s">
        <v>16</v>
      </c>
      <c r="P95" s="221" t="s">
        <v>16</v>
      </c>
      <c r="Q95" s="221" t="s">
        <v>16</v>
      </c>
      <c r="R95" s="221" t="s">
        <v>16</v>
      </c>
      <c r="S95" s="221" t="s">
        <v>16</v>
      </c>
      <c r="T95" s="221" t="s">
        <v>330</v>
      </c>
      <c r="U95" s="221" t="s">
        <v>250</v>
      </c>
      <c r="V95" s="221" t="s">
        <v>283</v>
      </c>
      <c r="W95" s="222" t="s">
        <v>283</v>
      </c>
      <c r="X95" s="222" t="s">
        <v>283</v>
      </c>
      <c r="Y95" s="223" t="s">
        <v>283</v>
      </c>
    </row>
    <row r="96" spans="1:25">
      <c r="A96" s="217">
        <v>2</v>
      </c>
      <c r="B96" s="218" t="str">
        <f>VLOOKUP(Tabel10[[#This Row],[Code]],Ruimtegroepen[[Code]:[Ruimte omschrijving]],2,FALSE)</f>
        <v>Kantoren</v>
      </c>
      <c r="C96" s="219" t="s">
        <v>359</v>
      </c>
      <c r="D96" s="218" t="s">
        <v>0</v>
      </c>
      <c r="E96" s="219" t="s">
        <v>101</v>
      </c>
      <c r="F96" s="219" t="s">
        <v>363</v>
      </c>
      <c r="G96" s="224" t="s">
        <v>283</v>
      </c>
      <c r="H96" s="220" t="s">
        <v>283</v>
      </c>
      <c r="I96" s="220" t="s">
        <v>283</v>
      </c>
      <c r="J96" s="220" t="s">
        <v>16</v>
      </c>
      <c r="K96" s="220" t="s">
        <v>250</v>
      </c>
      <c r="L96" s="220" t="s">
        <v>283</v>
      </c>
      <c r="M96" s="220" t="s">
        <v>283</v>
      </c>
      <c r="N96" s="220" t="s">
        <v>283</v>
      </c>
      <c r="O96" s="221" t="s">
        <v>16</v>
      </c>
      <c r="P96" s="221" t="s">
        <v>16</v>
      </c>
      <c r="Q96" s="221" t="s">
        <v>16</v>
      </c>
      <c r="R96" s="221" t="s">
        <v>16</v>
      </c>
      <c r="S96" s="221" t="s">
        <v>16</v>
      </c>
      <c r="T96" s="221" t="s">
        <v>330</v>
      </c>
      <c r="U96" s="221" t="s">
        <v>250</v>
      </c>
      <c r="V96" s="221" t="s">
        <v>283</v>
      </c>
      <c r="W96" s="222" t="s">
        <v>283</v>
      </c>
      <c r="X96" s="222" t="s">
        <v>283</v>
      </c>
      <c r="Y96" s="223" t="s">
        <v>283</v>
      </c>
    </row>
    <row r="97" spans="1:25">
      <c r="A97" s="217">
        <v>2</v>
      </c>
      <c r="B97" s="218" t="str">
        <f>VLOOKUP(Tabel10[[#This Row],[Code]],Ruimtegroepen[[Code]:[Ruimte omschrijving]],2,FALSE)</f>
        <v>Kantoren</v>
      </c>
      <c r="C97" s="219" t="s">
        <v>359</v>
      </c>
      <c r="D97" s="218" t="s">
        <v>0</v>
      </c>
      <c r="E97" s="219" t="s">
        <v>102</v>
      </c>
      <c r="F97" s="219" t="s">
        <v>364</v>
      </c>
      <c r="G97" s="224" t="s">
        <v>283</v>
      </c>
      <c r="H97" s="220" t="s">
        <v>283</v>
      </c>
      <c r="I97" s="220" t="s">
        <v>16</v>
      </c>
      <c r="J97" s="220" t="s">
        <v>283</v>
      </c>
      <c r="K97" s="220" t="s">
        <v>250</v>
      </c>
      <c r="L97" s="220" t="s">
        <v>283</v>
      </c>
      <c r="M97" s="220" t="s">
        <v>283</v>
      </c>
      <c r="N97" s="220" t="s">
        <v>283</v>
      </c>
      <c r="O97" s="221" t="s">
        <v>16</v>
      </c>
      <c r="P97" s="221" t="s">
        <v>16</v>
      </c>
      <c r="Q97" s="221" t="s">
        <v>16</v>
      </c>
      <c r="R97" s="221" t="s">
        <v>16</v>
      </c>
      <c r="S97" s="221" t="s">
        <v>16</v>
      </c>
      <c r="T97" s="221" t="s">
        <v>330</v>
      </c>
      <c r="U97" s="221" t="s">
        <v>250</v>
      </c>
      <c r="V97" s="221" t="s">
        <v>283</v>
      </c>
      <c r="W97" s="222" t="s">
        <v>283</v>
      </c>
      <c r="X97" s="222" t="s">
        <v>283</v>
      </c>
      <c r="Y97" s="223" t="s">
        <v>283</v>
      </c>
    </row>
    <row r="98" spans="1:25">
      <c r="A98" s="217">
        <v>2</v>
      </c>
      <c r="B98" s="218" t="str">
        <f>VLOOKUP(Tabel10[[#This Row],[Code]],Ruimtegroepen[[Code]:[Ruimte omschrijving]],2,FALSE)</f>
        <v>Kantoren</v>
      </c>
      <c r="C98" s="219" t="s">
        <v>359</v>
      </c>
      <c r="D98" s="218" t="s">
        <v>0</v>
      </c>
      <c r="E98" s="219" t="s">
        <v>99</v>
      </c>
      <c r="F98" s="219" t="s">
        <v>361</v>
      </c>
      <c r="G98" s="224" t="s">
        <v>283</v>
      </c>
      <c r="H98" s="220" t="s">
        <v>16</v>
      </c>
      <c r="I98" s="220" t="s">
        <v>283</v>
      </c>
      <c r="J98" s="220" t="s">
        <v>283</v>
      </c>
      <c r="K98" s="220" t="s">
        <v>283</v>
      </c>
      <c r="L98" s="220" t="s">
        <v>283</v>
      </c>
      <c r="M98" s="220" t="s">
        <v>283</v>
      </c>
      <c r="N98" s="220" t="s">
        <v>283</v>
      </c>
      <c r="O98" s="221" t="s">
        <v>16</v>
      </c>
      <c r="P98" s="221" t="s">
        <v>16</v>
      </c>
      <c r="Q98" s="221" t="s">
        <v>16</v>
      </c>
      <c r="R98" s="221" t="s">
        <v>16</v>
      </c>
      <c r="S98" s="221" t="s">
        <v>16</v>
      </c>
      <c r="T98" s="221" t="s">
        <v>330</v>
      </c>
      <c r="U98" s="221" t="s">
        <v>250</v>
      </c>
      <c r="V98" s="221" t="s">
        <v>283</v>
      </c>
      <c r="W98" s="222" t="s">
        <v>283</v>
      </c>
      <c r="X98" s="222" t="s">
        <v>283</v>
      </c>
      <c r="Y98" s="223" t="s">
        <v>283</v>
      </c>
    </row>
    <row r="99" spans="1:25">
      <c r="A99" s="217">
        <v>2</v>
      </c>
      <c r="B99" s="218" t="str">
        <f>VLOOKUP(Tabel10[[#This Row],[Code]],Ruimtegroepen[[Code]:[Ruimte omschrijving]],2,FALSE)</f>
        <v>Kantoren</v>
      </c>
      <c r="C99" s="219" t="s">
        <v>359</v>
      </c>
      <c r="D99" s="218" t="s">
        <v>0</v>
      </c>
      <c r="E99" s="219" t="s">
        <v>1313</v>
      </c>
      <c r="F99" s="219" t="s">
        <v>1338</v>
      </c>
      <c r="G99" s="224" t="s">
        <v>283</v>
      </c>
      <c r="H99" s="220" t="s">
        <v>283</v>
      </c>
      <c r="I99" s="220" t="s">
        <v>16</v>
      </c>
      <c r="J99" s="220" t="s">
        <v>283</v>
      </c>
      <c r="K99" s="220" t="s">
        <v>250</v>
      </c>
      <c r="L99" s="220" t="s">
        <v>283</v>
      </c>
      <c r="M99" s="220" t="s">
        <v>283</v>
      </c>
      <c r="N99" s="220" t="s">
        <v>283</v>
      </c>
      <c r="O99" s="221" t="s">
        <v>16</v>
      </c>
      <c r="P99" s="221" t="s">
        <v>16</v>
      </c>
      <c r="Q99" s="221" t="s">
        <v>16</v>
      </c>
      <c r="R99" s="221" t="s">
        <v>16</v>
      </c>
      <c r="S99" s="221" t="s">
        <v>16</v>
      </c>
      <c r="T99" s="221" t="s">
        <v>330</v>
      </c>
      <c r="U99" s="221" t="s">
        <v>250</v>
      </c>
      <c r="V99" s="221" t="s">
        <v>283</v>
      </c>
      <c r="W99" s="222" t="s">
        <v>283</v>
      </c>
      <c r="X99" s="222" t="s">
        <v>283</v>
      </c>
      <c r="Y99" s="223" t="s">
        <v>283</v>
      </c>
    </row>
    <row r="100" spans="1:25">
      <c r="A100" s="217">
        <v>2</v>
      </c>
      <c r="B100" s="218" t="str">
        <f>VLOOKUP(Tabel10[[#This Row],[Code]],Ruimtegroepen[[Code]:[Ruimte omschrijving]],2,FALSE)</f>
        <v>Kantoren</v>
      </c>
      <c r="C100" s="219" t="s">
        <v>365</v>
      </c>
      <c r="D100" s="218" t="s">
        <v>27</v>
      </c>
      <c r="E100" s="219" t="s">
        <v>100</v>
      </c>
      <c r="F100" s="219" t="s">
        <v>366</v>
      </c>
      <c r="G100" s="224" t="s">
        <v>283</v>
      </c>
      <c r="H100" s="220" t="s">
        <v>283</v>
      </c>
      <c r="I100" s="220" t="s">
        <v>15</v>
      </c>
      <c r="J100" s="220" t="s">
        <v>283</v>
      </c>
      <c r="K100" s="220" t="s">
        <v>283</v>
      </c>
      <c r="L100" s="220" t="s">
        <v>283</v>
      </c>
      <c r="M100" s="220" t="s">
        <v>283</v>
      </c>
      <c r="N100" s="220" t="s">
        <v>283</v>
      </c>
      <c r="O100" s="221" t="s">
        <v>15</v>
      </c>
      <c r="P100" s="221" t="s">
        <v>15</v>
      </c>
      <c r="Q100" s="221" t="s">
        <v>15</v>
      </c>
      <c r="R100" s="221" t="s">
        <v>283</v>
      </c>
      <c r="S100" s="221" t="s">
        <v>283</v>
      </c>
      <c r="T100" s="221" t="s">
        <v>283</v>
      </c>
      <c r="U100" s="221" t="s">
        <v>283</v>
      </c>
      <c r="V100" s="221" t="s">
        <v>283</v>
      </c>
      <c r="W100" s="222" t="s">
        <v>283</v>
      </c>
      <c r="X100" s="222" t="s">
        <v>283</v>
      </c>
      <c r="Y100" s="223" t="s">
        <v>283</v>
      </c>
    </row>
    <row r="101" spans="1:25">
      <c r="A101" s="217">
        <v>2</v>
      </c>
      <c r="B101" s="218" t="str">
        <f>VLOOKUP(Tabel10[[#This Row],[Code]],Ruimtegroepen[[Code]:[Ruimte omschrijving]],2,FALSE)</f>
        <v>Kantoren</v>
      </c>
      <c r="C101" s="219" t="s">
        <v>365</v>
      </c>
      <c r="D101" s="218" t="s">
        <v>27</v>
      </c>
      <c r="E101" s="219" t="s">
        <v>99</v>
      </c>
      <c r="F101" s="219" t="s">
        <v>367</v>
      </c>
      <c r="G101" s="224" t="s">
        <v>283</v>
      </c>
      <c r="H101" s="220" t="s">
        <v>15</v>
      </c>
      <c r="I101" s="220" t="s">
        <v>283</v>
      </c>
      <c r="J101" s="220" t="s">
        <v>283</v>
      </c>
      <c r="K101" s="220" t="s">
        <v>283</v>
      </c>
      <c r="L101" s="220" t="s">
        <v>283</v>
      </c>
      <c r="M101" s="220" t="s">
        <v>283</v>
      </c>
      <c r="N101" s="220" t="s">
        <v>283</v>
      </c>
      <c r="O101" s="221" t="s">
        <v>15</v>
      </c>
      <c r="P101" s="221" t="s">
        <v>15</v>
      </c>
      <c r="Q101" s="221" t="s">
        <v>15</v>
      </c>
      <c r="R101" s="221" t="s">
        <v>283</v>
      </c>
      <c r="S101" s="221" t="s">
        <v>283</v>
      </c>
      <c r="T101" s="221" t="s">
        <v>283</v>
      </c>
      <c r="U101" s="221" t="s">
        <v>283</v>
      </c>
      <c r="V101" s="221" t="s">
        <v>283</v>
      </c>
      <c r="W101" s="222" t="s">
        <v>283</v>
      </c>
      <c r="X101" s="222" t="s">
        <v>283</v>
      </c>
      <c r="Y101" s="223" t="s">
        <v>283</v>
      </c>
    </row>
    <row r="102" spans="1:25">
      <c r="A102" s="217">
        <v>2</v>
      </c>
      <c r="B102" s="218" t="str">
        <f>VLOOKUP(Tabel10[[#This Row],[Code]],Ruimtegroepen[[Code]:[Ruimte omschrijving]],2,FALSE)</f>
        <v>Kantoren</v>
      </c>
      <c r="C102" s="219" t="s">
        <v>365</v>
      </c>
      <c r="D102" s="218" t="s">
        <v>27</v>
      </c>
      <c r="E102" s="219" t="s">
        <v>101</v>
      </c>
      <c r="F102" s="219" t="s">
        <v>368</v>
      </c>
      <c r="G102" s="224" t="s">
        <v>283</v>
      </c>
      <c r="H102" s="220" t="s">
        <v>283</v>
      </c>
      <c r="I102" s="220" t="s">
        <v>15</v>
      </c>
      <c r="J102" s="220" t="s">
        <v>283</v>
      </c>
      <c r="K102" s="220" t="s">
        <v>283</v>
      </c>
      <c r="L102" s="220" t="s">
        <v>283</v>
      </c>
      <c r="M102" s="220" t="s">
        <v>283</v>
      </c>
      <c r="N102" s="220" t="s">
        <v>283</v>
      </c>
      <c r="O102" s="221" t="s">
        <v>15</v>
      </c>
      <c r="P102" s="221" t="s">
        <v>15</v>
      </c>
      <c r="Q102" s="221" t="s">
        <v>15</v>
      </c>
      <c r="R102" s="221" t="s">
        <v>283</v>
      </c>
      <c r="S102" s="221" t="s">
        <v>283</v>
      </c>
      <c r="T102" s="221" t="s">
        <v>283</v>
      </c>
      <c r="U102" s="221" t="s">
        <v>283</v>
      </c>
      <c r="V102" s="221" t="s">
        <v>283</v>
      </c>
      <c r="W102" s="222" t="s">
        <v>283</v>
      </c>
      <c r="X102" s="222" t="s">
        <v>283</v>
      </c>
      <c r="Y102" s="223" t="s">
        <v>283</v>
      </c>
    </row>
    <row r="103" spans="1:25">
      <c r="A103" s="217">
        <v>2</v>
      </c>
      <c r="B103" s="218" t="str">
        <f>VLOOKUP(Tabel10[[#This Row],[Code]],Ruimtegroepen[[Code]:[Ruimte omschrijving]],2,FALSE)</f>
        <v>Kantoren</v>
      </c>
      <c r="C103" s="219" t="s">
        <v>365</v>
      </c>
      <c r="D103" s="218" t="s">
        <v>27</v>
      </c>
      <c r="E103" s="219" t="s">
        <v>102</v>
      </c>
      <c r="F103" s="219" t="s">
        <v>369</v>
      </c>
      <c r="G103" s="224" t="s">
        <v>283</v>
      </c>
      <c r="H103" s="220" t="s">
        <v>283</v>
      </c>
      <c r="I103" s="220" t="s">
        <v>15</v>
      </c>
      <c r="J103" s="220" t="s">
        <v>283</v>
      </c>
      <c r="K103" s="220" t="s">
        <v>283</v>
      </c>
      <c r="L103" s="220" t="s">
        <v>283</v>
      </c>
      <c r="M103" s="220" t="s">
        <v>283</v>
      </c>
      <c r="N103" s="220" t="s">
        <v>283</v>
      </c>
      <c r="O103" s="221" t="s">
        <v>15</v>
      </c>
      <c r="P103" s="221" t="s">
        <v>15</v>
      </c>
      <c r="Q103" s="221" t="s">
        <v>15</v>
      </c>
      <c r="R103" s="221" t="s">
        <v>283</v>
      </c>
      <c r="S103" s="221" t="s">
        <v>283</v>
      </c>
      <c r="T103" s="221" t="s">
        <v>283</v>
      </c>
      <c r="U103" s="221" t="s">
        <v>283</v>
      </c>
      <c r="V103" s="221" t="s">
        <v>283</v>
      </c>
      <c r="W103" s="222" t="s">
        <v>283</v>
      </c>
      <c r="X103" s="222" t="s">
        <v>283</v>
      </c>
      <c r="Y103" s="223" t="s">
        <v>283</v>
      </c>
    </row>
    <row r="104" spans="1:25">
      <c r="A104" s="217">
        <v>2</v>
      </c>
      <c r="B104" s="218" t="str">
        <f>VLOOKUP(Tabel10[[#This Row],[Code]],Ruimtegroepen[[Code]:[Ruimte omschrijving]],2,FALSE)</f>
        <v>Kantoren</v>
      </c>
      <c r="C104" s="219" t="s">
        <v>365</v>
      </c>
      <c r="D104" s="218" t="s">
        <v>27</v>
      </c>
      <c r="E104" s="219" t="s">
        <v>99</v>
      </c>
      <c r="F104" s="219" t="s">
        <v>367</v>
      </c>
      <c r="G104" s="224" t="s">
        <v>283</v>
      </c>
      <c r="H104" s="220" t="s">
        <v>15</v>
      </c>
      <c r="I104" s="220" t="s">
        <v>283</v>
      </c>
      <c r="J104" s="220" t="s">
        <v>283</v>
      </c>
      <c r="K104" s="220" t="s">
        <v>283</v>
      </c>
      <c r="L104" s="220" t="s">
        <v>283</v>
      </c>
      <c r="M104" s="220" t="s">
        <v>283</v>
      </c>
      <c r="N104" s="220" t="s">
        <v>283</v>
      </c>
      <c r="O104" s="221" t="s">
        <v>15</v>
      </c>
      <c r="P104" s="221" t="s">
        <v>15</v>
      </c>
      <c r="Q104" s="221" t="s">
        <v>15</v>
      </c>
      <c r="R104" s="221" t="s">
        <v>283</v>
      </c>
      <c r="S104" s="221" t="s">
        <v>283</v>
      </c>
      <c r="T104" s="221" t="s">
        <v>283</v>
      </c>
      <c r="U104" s="221" t="s">
        <v>283</v>
      </c>
      <c r="V104" s="221" t="s">
        <v>283</v>
      </c>
      <c r="W104" s="222" t="s">
        <v>283</v>
      </c>
      <c r="X104" s="222" t="s">
        <v>283</v>
      </c>
      <c r="Y104" s="223" t="s">
        <v>283</v>
      </c>
    </row>
    <row r="105" spans="1:25">
      <c r="A105" s="217">
        <v>2</v>
      </c>
      <c r="B105" s="218" t="str">
        <f>VLOOKUP(Tabel10[[#This Row],[Code]],Ruimtegroepen[[Code]:[Ruimte omschrijving]],2,FALSE)</f>
        <v>Kantoren</v>
      </c>
      <c r="C105" s="219" t="s">
        <v>365</v>
      </c>
      <c r="D105" s="218" t="s">
        <v>27</v>
      </c>
      <c r="E105" s="219" t="s">
        <v>1313</v>
      </c>
      <c r="F105" s="219" t="s">
        <v>1339</v>
      </c>
      <c r="G105" s="224" t="s">
        <v>283</v>
      </c>
      <c r="H105" s="220" t="s">
        <v>283</v>
      </c>
      <c r="I105" s="220" t="s">
        <v>15</v>
      </c>
      <c r="J105" s="220" t="s">
        <v>283</v>
      </c>
      <c r="K105" s="220" t="s">
        <v>283</v>
      </c>
      <c r="L105" s="220" t="s">
        <v>283</v>
      </c>
      <c r="M105" s="220" t="s">
        <v>283</v>
      </c>
      <c r="N105" s="220" t="s">
        <v>283</v>
      </c>
      <c r="O105" s="221" t="s">
        <v>15</v>
      </c>
      <c r="P105" s="221" t="s">
        <v>15</v>
      </c>
      <c r="Q105" s="221" t="s">
        <v>15</v>
      </c>
      <c r="R105" s="221" t="s">
        <v>283</v>
      </c>
      <c r="S105" s="221" t="s">
        <v>283</v>
      </c>
      <c r="T105" s="221" t="s">
        <v>283</v>
      </c>
      <c r="U105" s="221" t="s">
        <v>283</v>
      </c>
      <c r="V105" s="221" t="s">
        <v>283</v>
      </c>
      <c r="W105" s="222" t="s">
        <v>283</v>
      </c>
      <c r="X105" s="222" t="s">
        <v>283</v>
      </c>
      <c r="Y105" s="223" t="s">
        <v>283</v>
      </c>
    </row>
    <row r="106" spans="1:25">
      <c r="A106" s="217">
        <v>2</v>
      </c>
      <c r="B106" s="218" t="str">
        <f>VLOOKUP(Tabel10[[#This Row],[Code]],Ruimtegroepen[[Code]:[Ruimte omschrijving]],2,FALSE)</f>
        <v>Kantoren</v>
      </c>
      <c r="C106" s="219" t="s">
        <v>370</v>
      </c>
      <c r="D106" s="218" t="s">
        <v>28</v>
      </c>
      <c r="E106" s="219" t="s">
        <v>100</v>
      </c>
      <c r="F106" s="219" t="s">
        <v>371</v>
      </c>
      <c r="G106" s="224" t="s">
        <v>283</v>
      </c>
      <c r="H106" s="220" t="s">
        <v>283</v>
      </c>
      <c r="I106" s="220" t="s">
        <v>17</v>
      </c>
      <c r="J106" s="220" t="s">
        <v>283</v>
      </c>
      <c r="K106" s="220" t="s">
        <v>283</v>
      </c>
      <c r="L106" s="220" t="s">
        <v>283</v>
      </c>
      <c r="M106" s="220" t="s">
        <v>283</v>
      </c>
      <c r="N106" s="220" t="s">
        <v>283</v>
      </c>
      <c r="O106" s="221" t="s">
        <v>17</v>
      </c>
      <c r="P106" s="221" t="s">
        <v>17</v>
      </c>
      <c r="Q106" s="221" t="s">
        <v>15</v>
      </c>
      <c r="R106" s="221" t="s">
        <v>283</v>
      </c>
      <c r="S106" s="221" t="s">
        <v>283</v>
      </c>
      <c r="T106" s="221" t="s">
        <v>283</v>
      </c>
      <c r="U106" s="221" t="s">
        <v>283</v>
      </c>
      <c r="V106" s="221" t="s">
        <v>283</v>
      </c>
      <c r="W106" s="222" t="s">
        <v>283</v>
      </c>
      <c r="X106" s="222" t="s">
        <v>283</v>
      </c>
      <c r="Y106" s="223" t="s">
        <v>283</v>
      </c>
    </row>
    <row r="107" spans="1:25">
      <c r="A107" s="217">
        <v>2</v>
      </c>
      <c r="B107" s="218" t="str">
        <f>VLOOKUP(Tabel10[[#This Row],[Code]],Ruimtegroepen[[Code]:[Ruimte omschrijving]],2,FALSE)</f>
        <v>Kantoren</v>
      </c>
      <c r="C107" s="219" t="s">
        <v>370</v>
      </c>
      <c r="D107" s="218" t="s">
        <v>28</v>
      </c>
      <c r="E107" s="219" t="s">
        <v>99</v>
      </c>
      <c r="F107" s="219" t="s">
        <v>372</v>
      </c>
      <c r="G107" s="224" t="s">
        <v>283</v>
      </c>
      <c r="H107" s="220" t="s">
        <v>17</v>
      </c>
      <c r="I107" s="220" t="s">
        <v>283</v>
      </c>
      <c r="J107" s="220" t="s">
        <v>283</v>
      </c>
      <c r="K107" s="220" t="s">
        <v>283</v>
      </c>
      <c r="L107" s="220" t="s">
        <v>283</v>
      </c>
      <c r="M107" s="220" t="s">
        <v>283</v>
      </c>
      <c r="N107" s="220" t="s">
        <v>283</v>
      </c>
      <c r="O107" s="221" t="s">
        <v>17</v>
      </c>
      <c r="P107" s="221" t="s">
        <v>17</v>
      </c>
      <c r="Q107" s="221" t="s">
        <v>15</v>
      </c>
      <c r="R107" s="221" t="s">
        <v>283</v>
      </c>
      <c r="S107" s="221" t="s">
        <v>283</v>
      </c>
      <c r="T107" s="221" t="s">
        <v>283</v>
      </c>
      <c r="U107" s="221" t="s">
        <v>283</v>
      </c>
      <c r="V107" s="221" t="s">
        <v>283</v>
      </c>
      <c r="W107" s="222" t="s">
        <v>283</v>
      </c>
      <c r="X107" s="222" t="s">
        <v>283</v>
      </c>
      <c r="Y107" s="223" t="s">
        <v>283</v>
      </c>
    </row>
    <row r="108" spans="1:25">
      <c r="A108" s="217">
        <v>2</v>
      </c>
      <c r="B108" s="218" t="str">
        <f>VLOOKUP(Tabel10[[#This Row],[Code]],Ruimtegroepen[[Code]:[Ruimte omschrijving]],2,FALSE)</f>
        <v>Kantoren</v>
      </c>
      <c r="C108" s="219" t="s">
        <v>370</v>
      </c>
      <c r="D108" s="218" t="s">
        <v>28</v>
      </c>
      <c r="E108" s="219" t="s">
        <v>101</v>
      </c>
      <c r="F108" s="219" t="s">
        <v>373</v>
      </c>
      <c r="G108" s="224" t="s">
        <v>283</v>
      </c>
      <c r="H108" s="220" t="s">
        <v>283</v>
      </c>
      <c r="I108" s="220" t="s">
        <v>17</v>
      </c>
      <c r="J108" s="220" t="s">
        <v>283</v>
      </c>
      <c r="K108" s="220" t="s">
        <v>283</v>
      </c>
      <c r="L108" s="220" t="s">
        <v>283</v>
      </c>
      <c r="M108" s="220" t="s">
        <v>283</v>
      </c>
      <c r="N108" s="220" t="s">
        <v>283</v>
      </c>
      <c r="O108" s="221" t="s">
        <v>17</v>
      </c>
      <c r="P108" s="221" t="s">
        <v>17</v>
      </c>
      <c r="Q108" s="221" t="s">
        <v>15</v>
      </c>
      <c r="R108" s="221" t="s">
        <v>283</v>
      </c>
      <c r="S108" s="221" t="s">
        <v>283</v>
      </c>
      <c r="T108" s="221" t="s">
        <v>283</v>
      </c>
      <c r="U108" s="221" t="s">
        <v>283</v>
      </c>
      <c r="V108" s="221" t="s">
        <v>283</v>
      </c>
      <c r="W108" s="222" t="s">
        <v>283</v>
      </c>
      <c r="X108" s="222" t="s">
        <v>283</v>
      </c>
      <c r="Y108" s="223" t="s">
        <v>283</v>
      </c>
    </row>
    <row r="109" spans="1:25">
      <c r="A109" s="217">
        <v>2</v>
      </c>
      <c r="B109" s="218" t="str">
        <f>VLOOKUP(Tabel10[[#This Row],[Code]],Ruimtegroepen[[Code]:[Ruimte omschrijving]],2,FALSE)</f>
        <v>Kantoren</v>
      </c>
      <c r="C109" s="219" t="s">
        <v>370</v>
      </c>
      <c r="D109" s="218" t="s">
        <v>28</v>
      </c>
      <c r="E109" s="219" t="s">
        <v>102</v>
      </c>
      <c r="F109" s="219" t="s">
        <v>374</v>
      </c>
      <c r="G109" s="224" t="s">
        <v>283</v>
      </c>
      <c r="H109" s="220" t="s">
        <v>283</v>
      </c>
      <c r="I109" s="220" t="s">
        <v>17</v>
      </c>
      <c r="J109" s="220" t="s">
        <v>283</v>
      </c>
      <c r="K109" s="220" t="s">
        <v>283</v>
      </c>
      <c r="L109" s="220" t="s">
        <v>283</v>
      </c>
      <c r="M109" s="220" t="s">
        <v>283</v>
      </c>
      <c r="N109" s="220" t="s">
        <v>283</v>
      </c>
      <c r="O109" s="221" t="s">
        <v>17</v>
      </c>
      <c r="P109" s="221" t="s">
        <v>17</v>
      </c>
      <c r="Q109" s="221" t="s">
        <v>15</v>
      </c>
      <c r="R109" s="221" t="s">
        <v>283</v>
      </c>
      <c r="S109" s="221" t="s">
        <v>283</v>
      </c>
      <c r="T109" s="221" t="s">
        <v>283</v>
      </c>
      <c r="U109" s="221" t="s">
        <v>283</v>
      </c>
      <c r="V109" s="221" t="s">
        <v>283</v>
      </c>
      <c r="W109" s="222" t="s">
        <v>283</v>
      </c>
      <c r="X109" s="222" t="s">
        <v>283</v>
      </c>
      <c r="Y109" s="223" t="s">
        <v>283</v>
      </c>
    </row>
    <row r="110" spans="1:25">
      <c r="A110" s="217">
        <v>2</v>
      </c>
      <c r="B110" s="218" t="str">
        <f>VLOOKUP(Tabel10[[#This Row],[Code]],Ruimtegroepen[[Code]:[Ruimte omschrijving]],2,FALSE)</f>
        <v>Kantoren</v>
      </c>
      <c r="C110" s="219" t="s">
        <v>370</v>
      </c>
      <c r="D110" s="218" t="s">
        <v>28</v>
      </c>
      <c r="E110" s="219" t="s">
        <v>99</v>
      </c>
      <c r="F110" s="219" t="s">
        <v>372</v>
      </c>
      <c r="G110" s="224" t="s">
        <v>283</v>
      </c>
      <c r="H110" s="220" t="s">
        <v>17</v>
      </c>
      <c r="I110" s="220" t="s">
        <v>283</v>
      </c>
      <c r="J110" s="220" t="s">
        <v>283</v>
      </c>
      <c r="K110" s="220" t="s">
        <v>283</v>
      </c>
      <c r="L110" s="220" t="s">
        <v>283</v>
      </c>
      <c r="M110" s="220" t="s">
        <v>283</v>
      </c>
      <c r="N110" s="220" t="s">
        <v>283</v>
      </c>
      <c r="O110" s="221" t="s">
        <v>17</v>
      </c>
      <c r="P110" s="221" t="s">
        <v>17</v>
      </c>
      <c r="Q110" s="221" t="s">
        <v>15</v>
      </c>
      <c r="R110" s="221" t="s">
        <v>283</v>
      </c>
      <c r="S110" s="221" t="s">
        <v>283</v>
      </c>
      <c r="T110" s="221" t="s">
        <v>283</v>
      </c>
      <c r="U110" s="221" t="s">
        <v>283</v>
      </c>
      <c r="V110" s="221" t="s">
        <v>283</v>
      </c>
      <c r="W110" s="222" t="s">
        <v>283</v>
      </c>
      <c r="X110" s="222" t="s">
        <v>283</v>
      </c>
      <c r="Y110" s="223" t="s">
        <v>283</v>
      </c>
    </row>
    <row r="111" spans="1:25">
      <c r="A111" s="217">
        <v>2</v>
      </c>
      <c r="B111" s="218" t="str">
        <f>VLOOKUP(Tabel10[[#This Row],[Code]],Ruimtegroepen[[Code]:[Ruimte omschrijving]],2,FALSE)</f>
        <v>Kantoren</v>
      </c>
      <c r="C111" s="219" t="s">
        <v>370</v>
      </c>
      <c r="D111" s="218" t="s">
        <v>28</v>
      </c>
      <c r="E111" s="219" t="s">
        <v>1313</v>
      </c>
      <c r="F111" s="219" t="s">
        <v>1340</v>
      </c>
      <c r="G111" s="224" t="s">
        <v>283</v>
      </c>
      <c r="H111" s="220" t="s">
        <v>283</v>
      </c>
      <c r="I111" s="220" t="s">
        <v>17</v>
      </c>
      <c r="J111" s="220" t="s">
        <v>283</v>
      </c>
      <c r="K111" s="220" t="s">
        <v>283</v>
      </c>
      <c r="L111" s="220" t="s">
        <v>283</v>
      </c>
      <c r="M111" s="220" t="s">
        <v>283</v>
      </c>
      <c r="N111" s="220" t="s">
        <v>283</v>
      </c>
      <c r="O111" s="221" t="s">
        <v>17</v>
      </c>
      <c r="P111" s="221" t="s">
        <v>17</v>
      </c>
      <c r="Q111" s="221" t="s">
        <v>15</v>
      </c>
      <c r="R111" s="221" t="s">
        <v>283</v>
      </c>
      <c r="S111" s="221" t="s">
        <v>283</v>
      </c>
      <c r="T111" s="221" t="s">
        <v>283</v>
      </c>
      <c r="U111" s="221" t="s">
        <v>283</v>
      </c>
      <c r="V111" s="221" t="s">
        <v>283</v>
      </c>
      <c r="W111" s="222" t="s">
        <v>283</v>
      </c>
      <c r="X111" s="222" t="s">
        <v>283</v>
      </c>
      <c r="Y111" s="223" t="s">
        <v>283</v>
      </c>
    </row>
    <row r="112" spans="1:25">
      <c r="A112" s="217">
        <v>3</v>
      </c>
      <c r="B112" s="218" t="str">
        <f>VLOOKUP(Tabel10[[#This Row],[Code]],Ruimtegroepen[[Code]:[Ruimte omschrijving]],2,FALSE)</f>
        <v>Reproruimte</v>
      </c>
      <c r="C112" s="219" t="s">
        <v>375</v>
      </c>
      <c r="D112" s="218" t="s">
        <v>29</v>
      </c>
      <c r="E112" s="219" t="s">
        <v>100</v>
      </c>
      <c r="F112" s="219" t="s">
        <v>376</v>
      </c>
      <c r="G112" s="224" t="s">
        <v>283</v>
      </c>
      <c r="H112" s="220" t="s">
        <v>283</v>
      </c>
      <c r="I112" s="220" t="s">
        <v>20</v>
      </c>
      <c r="J112" s="220" t="s">
        <v>15</v>
      </c>
      <c r="K112" s="220" t="s">
        <v>283</v>
      </c>
      <c r="L112" s="220" t="s">
        <v>283</v>
      </c>
      <c r="M112" s="220" t="s">
        <v>283</v>
      </c>
      <c r="N112" s="220" t="s">
        <v>2</v>
      </c>
      <c r="O112" s="221" t="s">
        <v>2</v>
      </c>
      <c r="P112" s="221" t="s">
        <v>2</v>
      </c>
      <c r="Q112" s="221" t="s">
        <v>15</v>
      </c>
      <c r="R112" s="221" t="s">
        <v>15</v>
      </c>
      <c r="S112" s="221" t="s">
        <v>16</v>
      </c>
      <c r="T112" s="221" t="s">
        <v>284</v>
      </c>
      <c r="U112" s="221" t="s">
        <v>250</v>
      </c>
      <c r="V112" s="221" t="s">
        <v>2</v>
      </c>
      <c r="W112" s="222" t="s">
        <v>283</v>
      </c>
      <c r="X112" s="222" t="s">
        <v>283</v>
      </c>
      <c r="Y112" s="223" t="s">
        <v>283</v>
      </c>
    </row>
    <row r="113" spans="1:25">
      <c r="A113" s="217">
        <v>3</v>
      </c>
      <c r="B113" s="218" t="str">
        <f>VLOOKUP(Tabel10[[#This Row],[Code]],Ruimtegroepen[[Code]:[Ruimte omschrijving]],2,FALSE)</f>
        <v>Reproruimte</v>
      </c>
      <c r="C113" s="219" t="s">
        <v>375</v>
      </c>
      <c r="D113" s="218" t="s">
        <v>29</v>
      </c>
      <c r="E113" s="219" t="s">
        <v>99</v>
      </c>
      <c r="F113" s="219" t="s">
        <v>377</v>
      </c>
      <c r="G113" s="220" t="s">
        <v>20</v>
      </c>
      <c r="H113" s="220" t="s">
        <v>15</v>
      </c>
      <c r="I113" s="220" t="s">
        <v>283</v>
      </c>
      <c r="J113" s="220" t="s">
        <v>283</v>
      </c>
      <c r="K113" s="220" t="s">
        <v>283</v>
      </c>
      <c r="L113" s="220" t="s">
        <v>283</v>
      </c>
      <c r="M113" s="220" t="s">
        <v>283</v>
      </c>
      <c r="N113" s="220" t="s">
        <v>2</v>
      </c>
      <c r="O113" s="221" t="s">
        <v>2</v>
      </c>
      <c r="P113" s="221" t="s">
        <v>2</v>
      </c>
      <c r="Q113" s="221" t="s">
        <v>15</v>
      </c>
      <c r="R113" s="221" t="s">
        <v>15</v>
      </c>
      <c r="S113" s="221" t="s">
        <v>16</v>
      </c>
      <c r="T113" s="221" t="s">
        <v>284</v>
      </c>
      <c r="U113" s="221" t="s">
        <v>250</v>
      </c>
      <c r="V113" s="221" t="s">
        <v>2</v>
      </c>
      <c r="W113" s="222" t="s">
        <v>283</v>
      </c>
      <c r="X113" s="222" t="s">
        <v>283</v>
      </c>
      <c r="Y113" s="223" t="s">
        <v>283</v>
      </c>
    </row>
    <row r="114" spans="1:25">
      <c r="A114" s="217">
        <v>3</v>
      </c>
      <c r="B114" s="218" t="str">
        <f>VLOOKUP(Tabel10[[#This Row],[Code]],Ruimtegroepen[[Code]:[Ruimte omschrijving]],2,FALSE)</f>
        <v>Reproruimte</v>
      </c>
      <c r="C114" s="219" t="s">
        <v>375</v>
      </c>
      <c r="D114" s="218" t="s">
        <v>29</v>
      </c>
      <c r="E114" s="219" t="s">
        <v>101</v>
      </c>
      <c r="F114" s="219" t="s">
        <v>378</v>
      </c>
      <c r="G114" s="224" t="s">
        <v>283</v>
      </c>
      <c r="H114" s="220" t="s">
        <v>283</v>
      </c>
      <c r="I114" s="220" t="s">
        <v>20</v>
      </c>
      <c r="J114" s="220" t="s">
        <v>15</v>
      </c>
      <c r="K114" s="220" t="s">
        <v>330</v>
      </c>
      <c r="L114" s="220" t="s">
        <v>283</v>
      </c>
      <c r="M114" s="220" t="s">
        <v>283</v>
      </c>
      <c r="N114" s="220" t="s">
        <v>2</v>
      </c>
      <c r="O114" s="221" t="s">
        <v>2</v>
      </c>
      <c r="P114" s="221" t="s">
        <v>2</v>
      </c>
      <c r="Q114" s="221" t="s">
        <v>15</v>
      </c>
      <c r="R114" s="221" t="s">
        <v>15</v>
      </c>
      <c r="S114" s="221" t="s">
        <v>16</v>
      </c>
      <c r="T114" s="221" t="s">
        <v>284</v>
      </c>
      <c r="U114" s="221" t="s">
        <v>250</v>
      </c>
      <c r="V114" s="221" t="s">
        <v>2</v>
      </c>
      <c r="W114" s="222" t="s">
        <v>283</v>
      </c>
      <c r="X114" s="222" t="s">
        <v>283</v>
      </c>
      <c r="Y114" s="223" t="s">
        <v>283</v>
      </c>
    </row>
    <row r="115" spans="1:25">
      <c r="A115" s="217">
        <v>3</v>
      </c>
      <c r="B115" s="218" t="str">
        <f>VLOOKUP(Tabel10[[#This Row],[Code]],Ruimtegroepen[[Code]:[Ruimte omschrijving]],2,FALSE)</f>
        <v>Reproruimte</v>
      </c>
      <c r="C115" s="219" t="s">
        <v>375</v>
      </c>
      <c r="D115" s="218" t="s">
        <v>29</v>
      </c>
      <c r="E115" s="219" t="s">
        <v>102</v>
      </c>
      <c r="F115" s="219" t="s">
        <v>379</v>
      </c>
      <c r="G115" s="224" t="s">
        <v>283</v>
      </c>
      <c r="H115" s="220" t="s">
        <v>283</v>
      </c>
      <c r="I115" s="220" t="s">
        <v>20</v>
      </c>
      <c r="J115" s="220" t="s">
        <v>15</v>
      </c>
      <c r="K115" s="220" t="s">
        <v>330</v>
      </c>
      <c r="L115" s="220" t="s">
        <v>283</v>
      </c>
      <c r="M115" s="220" t="s">
        <v>283</v>
      </c>
      <c r="N115" s="220" t="s">
        <v>2</v>
      </c>
      <c r="O115" s="221" t="s">
        <v>2</v>
      </c>
      <c r="P115" s="221" t="s">
        <v>2</v>
      </c>
      <c r="Q115" s="221" t="s">
        <v>15</v>
      </c>
      <c r="R115" s="221" t="s">
        <v>15</v>
      </c>
      <c r="S115" s="221" t="s">
        <v>16</v>
      </c>
      <c r="T115" s="221" t="s">
        <v>284</v>
      </c>
      <c r="U115" s="221" t="s">
        <v>250</v>
      </c>
      <c r="V115" s="221" t="s">
        <v>2</v>
      </c>
      <c r="W115" s="222" t="s">
        <v>283</v>
      </c>
      <c r="X115" s="222" t="s">
        <v>283</v>
      </c>
      <c r="Y115" s="223" t="s">
        <v>283</v>
      </c>
    </row>
    <row r="116" spans="1:25">
      <c r="A116" s="217">
        <v>3</v>
      </c>
      <c r="B116" s="218" t="str">
        <f>VLOOKUP(Tabel10[[#This Row],[Code]],Ruimtegroepen[[Code]:[Ruimte omschrijving]],2,FALSE)</f>
        <v>Reproruimte</v>
      </c>
      <c r="C116" s="219" t="s">
        <v>375</v>
      </c>
      <c r="D116" s="218" t="s">
        <v>29</v>
      </c>
      <c r="E116" s="219" t="s">
        <v>99</v>
      </c>
      <c r="F116" s="219" t="s">
        <v>377</v>
      </c>
      <c r="G116" s="220" t="s">
        <v>20</v>
      </c>
      <c r="H116" s="220" t="s">
        <v>15</v>
      </c>
      <c r="I116" s="220" t="s">
        <v>283</v>
      </c>
      <c r="J116" s="220" t="s">
        <v>283</v>
      </c>
      <c r="K116" s="220" t="s">
        <v>283</v>
      </c>
      <c r="L116" s="220" t="s">
        <v>283</v>
      </c>
      <c r="M116" s="220" t="s">
        <v>283</v>
      </c>
      <c r="N116" s="220" t="s">
        <v>283</v>
      </c>
      <c r="O116" s="221" t="s">
        <v>283</v>
      </c>
      <c r="P116" s="221" t="s">
        <v>283</v>
      </c>
      <c r="Q116" s="221" t="s">
        <v>283</v>
      </c>
      <c r="R116" s="221" t="s">
        <v>283</v>
      </c>
      <c r="S116" s="221" t="s">
        <v>283</v>
      </c>
      <c r="T116" s="221" t="s">
        <v>283</v>
      </c>
      <c r="U116" s="221" t="s">
        <v>283</v>
      </c>
      <c r="V116" s="221" t="s">
        <v>283</v>
      </c>
      <c r="W116" s="222" t="s">
        <v>283</v>
      </c>
      <c r="X116" s="222" t="s">
        <v>283</v>
      </c>
      <c r="Y116" s="223" t="s">
        <v>283</v>
      </c>
    </row>
    <row r="117" spans="1:25">
      <c r="A117" s="217">
        <v>3</v>
      </c>
      <c r="B117" s="218" t="str">
        <f>VLOOKUP(Tabel10[[#This Row],[Code]],Ruimtegroepen[[Code]:[Ruimte omschrijving]],2,FALSE)</f>
        <v>Reproruimte</v>
      </c>
      <c r="C117" s="219" t="s">
        <v>375</v>
      </c>
      <c r="D117" s="218" t="s">
        <v>29</v>
      </c>
      <c r="E117" s="219" t="s">
        <v>1313</v>
      </c>
      <c r="F117" s="219" t="s">
        <v>1341</v>
      </c>
      <c r="G117" s="224" t="s">
        <v>283</v>
      </c>
      <c r="H117" s="220" t="s">
        <v>283</v>
      </c>
      <c r="I117" s="220" t="s">
        <v>20</v>
      </c>
      <c r="J117" s="220" t="s">
        <v>15</v>
      </c>
      <c r="K117" s="220" t="s">
        <v>330</v>
      </c>
      <c r="L117" s="220" t="s">
        <v>283</v>
      </c>
      <c r="M117" s="220" t="s">
        <v>283</v>
      </c>
      <c r="N117" s="220" t="s">
        <v>2</v>
      </c>
      <c r="O117" s="221" t="s">
        <v>2</v>
      </c>
      <c r="P117" s="221" t="s">
        <v>2</v>
      </c>
      <c r="Q117" s="221" t="s">
        <v>15</v>
      </c>
      <c r="R117" s="221" t="s">
        <v>15</v>
      </c>
      <c r="S117" s="221" t="s">
        <v>16</v>
      </c>
      <c r="T117" s="221" t="s">
        <v>284</v>
      </c>
      <c r="U117" s="221" t="s">
        <v>250</v>
      </c>
      <c r="V117" s="221" t="s">
        <v>2</v>
      </c>
      <c r="W117" s="222" t="s">
        <v>283</v>
      </c>
      <c r="X117" s="222" t="s">
        <v>283</v>
      </c>
      <c r="Y117" s="223" t="s">
        <v>283</v>
      </c>
    </row>
    <row r="118" spans="1:25">
      <c r="A118" s="217">
        <v>3</v>
      </c>
      <c r="B118" s="218" t="str">
        <f>VLOOKUP(Tabel10[[#This Row],[Code]],Ruimtegroepen[[Code]:[Ruimte omschrijving]],2,FALSE)</f>
        <v>Reproruimte</v>
      </c>
      <c r="C118" s="219" t="s">
        <v>380</v>
      </c>
      <c r="D118" s="218" t="s">
        <v>1</v>
      </c>
      <c r="E118" s="219" t="s">
        <v>100</v>
      </c>
      <c r="F118" s="219" t="s">
        <v>381</v>
      </c>
      <c r="G118" s="224" t="s">
        <v>283</v>
      </c>
      <c r="H118" s="220" t="s">
        <v>283</v>
      </c>
      <c r="I118" s="220" t="s">
        <v>20</v>
      </c>
      <c r="J118" s="220" t="s">
        <v>15</v>
      </c>
      <c r="K118" s="220" t="s">
        <v>283</v>
      </c>
      <c r="L118" s="220" t="s">
        <v>283</v>
      </c>
      <c r="M118" s="220" t="s">
        <v>283</v>
      </c>
      <c r="N118" s="220" t="s">
        <v>283</v>
      </c>
      <c r="O118" s="221" t="s">
        <v>2</v>
      </c>
      <c r="P118" s="221" t="s">
        <v>2</v>
      </c>
      <c r="Q118" s="221" t="s">
        <v>15</v>
      </c>
      <c r="R118" s="221" t="s">
        <v>15</v>
      </c>
      <c r="S118" s="221" t="s">
        <v>16</v>
      </c>
      <c r="T118" s="221" t="s">
        <v>284</v>
      </c>
      <c r="U118" s="221" t="s">
        <v>250</v>
      </c>
      <c r="V118" s="221" t="s">
        <v>283</v>
      </c>
      <c r="W118" s="222" t="s">
        <v>283</v>
      </c>
      <c r="X118" s="222" t="s">
        <v>283</v>
      </c>
      <c r="Y118" s="223" t="s">
        <v>283</v>
      </c>
    </row>
    <row r="119" spans="1:25">
      <c r="A119" s="217">
        <v>3</v>
      </c>
      <c r="B119" s="218" t="str">
        <f>VLOOKUP(Tabel10[[#This Row],[Code]],Ruimtegroepen[[Code]:[Ruimte omschrijving]],2,FALSE)</f>
        <v>Reproruimte</v>
      </c>
      <c r="C119" s="219" t="s">
        <v>380</v>
      </c>
      <c r="D119" s="218" t="s">
        <v>1</v>
      </c>
      <c r="E119" s="219" t="s">
        <v>99</v>
      </c>
      <c r="F119" s="219" t="s">
        <v>382</v>
      </c>
      <c r="G119" s="220" t="s">
        <v>20</v>
      </c>
      <c r="H119" s="220" t="s">
        <v>15</v>
      </c>
      <c r="I119" s="220" t="s">
        <v>283</v>
      </c>
      <c r="J119" s="220" t="s">
        <v>283</v>
      </c>
      <c r="K119" s="220" t="s">
        <v>283</v>
      </c>
      <c r="L119" s="220" t="s">
        <v>283</v>
      </c>
      <c r="M119" s="220" t="s">
        <v>283</v>
      </c>
      <c r="N119" s="220" t="s">
        <v>283</v>
      </c>
      <c r="O119" s="221" t="s">
        <v>2</v>
      </c>
      <c r="P119" s="221" t="s">
        <v>2</v>
      </c>
      <c r="Q119" s="221" t="s">
        <v>15</v>
      </c>
      <c r="R119" s="221" t="s">
        <v>15</v>
      </c>
      <c r="S119" s="221" t="s">
        <v>16</v>
      </c>
      <c r="T119" s="221" t="s">
        <v>284</v>
      </c>
      <c r="U119" s="221" t="s">
        <v>250</v>
      </c>
      <c r="V119" s="221" t="s">
        <v>283</v>
      </c>
      <c r="W119" s="222" t="s">
        <v>283</v>
      </c>
      <c r="X119" s="222" t="s">
        <v>283</v>
      </c>
      <c r="Y119" s="223" t="s">
        <v>283</v>
      </c>
    </row>
    <row r="120" spans="1:25">
      <c r="A120" s="217">
        <v>3</v>
      </c>
      <c r="B120" s="218" t="str">
        <f>VLOOKUP(Tabel10[[#This Row],[Code]],Ruimtegroepen[[Code]:[Ruimte omschrijving]],2,FALSE)</f>
        <v>Reproruimte</v>
      </c>
      <c r="C120" s="219" t="s">
        <v>380</v>
      </c>
      <c r="D120" s="218" t="s">
        <v>1</v>
      </c>
      <c r="E120" s="219" t="s">
        <v>101</v>
      </c>
      <c r="F120" s="219" t="s">
        <v>383</v>
      </c>
      <c r="G120" s="224" t="s">
        <v>283</v>
      </c>
      <c r="H120" s="220" t="s">
        <v>283</v>
      </c>
      <c r="I120" s="220" t="s">
        <v>20</v>
      </c>
      <c r="J120" s="220" t="s">
        <v>15</v>
      </c>
      <c r="K120" s="220" t="s">
        <v>330</v>
      </c>
      <c r="L120" s="220" t="s">
        <v>283</v>
      </c>
      <c r="M120" s="220" t="s">
        <v>283</v>
      </c>
      <c r="N120" s="220" t="s">
        <v>283</v>
      </c>
      <c r="O120" s="221" t="s">
        <v>2</v>
      </c>
      <c r="P120" s="221" t="s">
        <v>2</v>
      </c>
      <c r="Q120" s="221" t="s">
        <v>15</v>
      </c>
      <c r="R120" s="221" t="s">
        <v>15</v>
      </c>
      <c r="S120" s="221" t="s">
        <v>16</v>
      </c>
      <c r="T120" s="221" t="s">
        <v>284</v>
      </c>
      <c r="U120" s="221" t="s">
        <v>250</v>
      </c>
      <c r="V120" s="221" t="s">
        <v>283</v>
      </c>
      <c r="W120" s="222" t="s">
        <v>283</v>
      </c>
      <c r="X120" s="222" t="s">
        <v>283</v>
      </c>
      <c r="Y120" s="223" t="s">
        <v>283</v>
      </c>
    </row>
    <row r="121" spans="1:25">
      <c r="A121" s="217">
        <v>3</v>
      </c>
      <c r="B121" s="218" t="str">
        <f>VLOOKUP(Tabel10[[#This Row],[Code]],Ruimtegroepen[[Code]:[Ruimte omschrijving]],2,FALSE)</f>
        <v>Reproruimte</v>
      </c>
      <c r="C121" s="219" t="s">
        <v>380</v>
      </c>
      <c r="D121" s="218" t="s">
        <v>1</v>
      </c>
      <c r="E121" s="219" t="s">
        <v>102</v>
      </c>
      <c r="F121" s="219" t="s">
        <v>384</v>
      </c>
      <c r="G121" s="224" t="s">
        <v>283</v>
      </c>
      <c r="H121" s="220" t="s">
        <v>283</v>
      </c>
      <c r="I121" s="220" t="s">
        <v>20</v>
      </c>
      <c r="J121" s="220" t="s">
        <v>15</v>
      </c>
      <c r="K121" s="220" t="s">
        <v>330</v>
      </c>
      <c r="L121" s="220" t="s">
        <v>283</v>
      </c>
      <c r="M121" s="220" t="s">
        <v>283</v>
      </c>
      <c r="N121" s="220" t="s">
        <v>283</v>
      </c>
      <c r="O121" s="221" t="s">
        <v>2</v>
      </c>
      <c r="P121" s="221" t="s">
        <v>2</v>
      </c>
      <c r="Q121" s="221" t="s">
        <v>15</v>
      </c>
      <c r="R121" s="221" t="s">
        <v>15</v>
      </c>
      <c r="S121" s="221" t="s">
        <v>16</v>
      </c>
      <c r="T121" s="221" t="s">
        <v>284</v>
      </c>
      <c r="U121" s="221" t="s">
        <v>250</v>
      </c>
      <c r="V121" s="221" t="s">
        <v>283</v>
      </c>
      <c r="W121" s="222" t="s">
        <v>283</v>
      </c>
      <c r="X121" s="222" t="s">
        <v>283</v>
      </c>
      <c r="Y121" s="223" t="s">
        <v>283</v>
      </c>
    </row>
    <row r="122" spans="1:25">
      <c r="A122" s="217">
        <v>3</v>
      </c>
      <c r="B122" s="218" t="str">
        <f>VLOOKUP(Tabel10[[#This Row],[Code]],Ruimtegroepen[[Code]:[Ruimte omschrijving]],2,FALSE)</f>
        <v>Reproruimte</v>
      </c>
      <c r="C122" s="219" t="s">
        <v>380</v>
      </c>
      <c r="D122" s="218" t="s">
        <v>1</v>
      </c>
      <c r="E122" s="219" t="s">
        <v>99</v>
      </c>
      <c r="F122" s="219" t="s">
        <v>382</v>
      </c>
      <c r="G122" s="220" t="s">
        <v>20</v>
      </c>
      <c r="H122" s="220" t="s">
        <v>15</v>
      </c>
      <c r="I122" s="220" t="s">
        <v>283</v>
      </c>
      <c r="J122" s="220" t="s">
        <v>283</v>
      </c>
      <c r="K122" s="220" t="s">
        <v>283</v>
      </c>
      <c r="L122" s="220" t="s">
        <v>283</v>
      </c>
      <c r="M122" s="220" t="s">
        <v>283</v>
      </c>
      <c r="N122" s="220" t="s">
        <v>283</v>
      </c>
      <c r="O122" s="221" t="s">
        <v>283</v>
      </c>
      <c r="P122" s="221" t="s">
        <v>283</v>
      </c>
      <c r="Q122" s="221" t="s">
        <v>283</v>
      </c>
      <c r="R122" s="221" t="s">
        <v>283</v>
      </c>
      <c r="S122" s="221" t="s">
        <v>283</v>
      </c>
      <c r="T122" s="221" t="s">
        <v>283</v>
      </c>
      <c r="U122" s="221" t="s">
        <v>283</v>
      </c>
      <c r="V122" s="221" t="s">
        <v>283</v>
      </c>
      <c r="W122" s="222" t="s">
        <v>283</v>
      </c>
      <c r="X122" s="222" t="s">
        <v>283</v>
      </c>
      <c r="Y122" s="223" t="s">
        <v>283</v>
      </c>
    </row>
    <row r="123" spans="1:25">
      <c r="A123" s="217">
        <v>3</v>
      </c>
      <c r="B123" s="218" t="str">
        <f>VLOOKUP(Tabel10[[#This Row],[Code]],Ruimtegroepen[[Code]:[Ruimte omschrijving]],2,FALSE)</f>
        <v>Reproruimte</v>
      </c>
      <c r="C123" s="219" t="s">
        <v>380</v>
      </c>
      <c r="D123" s="218" t="s">
        <v>1</v>
      </c>
      <c r="E123" s="219" t="s">
        <v>1313</v>
      </c>
      <c r="F123" s="219" t="s">
        <v>1342</v>
      </c>
      <c r="G123" s="224" t="s">
        <v>283</v>
      </c>
      <c r="H123" s="220" t="s">
        <v>283</v>
      </c>
      <c r="I123" s="220" t="s">
        <v>20</v>
      </c>
      <c r="J123" s="220" t="s">
        <v>15</v>
      </c>
      <c r="K123" s="220" t="s">
        <v>330</v>
      </c>
      <c r="L123" s="220" t="s">
        <v>283</v>
      </c>
      <c r="M123" s="220" t="s">
        <v>283</v>
      </c>
      <c r="N123" s="220" t="s">
        <v>283</v>
      </c>
      <c r="O123" s="221" t="s">
        <v>2</v>
      </c>
      <c r="P123" s="221" t="s">
        <v>2</v>
      </c>
      <c r="Q123" s="221" t="s">
        <v>15</v>
      </c>
      <c r="R123" s="221" t="s">
        <v>15</v>
      </c>
      <c r="S123" s="221" t="s">
        <v>16</v>
      </c>
      <c r="T123" s="221" t="s">
        <v>284</v>
      </c>
      <c r="U123" s="221" t="s">
        <v>250</v>
      </c>
      <c r="V123" s="221" t="s">
        <v>283</v>
      </c>
      <c r="W123" s="222" t="s">
        <v>283</v>
      </c>
      <c r="X123" s="222" t="s">
        <v>283</v>
      </c>
      <c r="Y123" s="223" t="s">
        <v>283</v>
      </c>
    </row>
    <row r="124" spans="1:25">
      <c r="A124" s="217">
        <v>3</v>
      </c>
      <c r="B124" s="218" t="str">
        <f>VLOOKUP(Tabel10[[#This Row],[Code]],Ruimtegroepen[[Code]:[Ruimte omschrijving]],2,FALSE)</f>
        <v>Reproruimte</v>
      </c>
      <c r="C124" s="219" t="s">
        <v>385</v>
      </c>
      <c r="D124" s="218" t="s">
        <v>21</v>
      </c>
      <c r="E124" s="219" t="s">
        <v>100</v>
      </c>
      <c r="F124" s="219" t="s">
        <v>386</v>
      </c>
      <c r="G124" s="224" t="s">
        <v>283</v>
      </c>
      <c r="H124" s="220" t="s">
        <v>283</v>
      </c>
      <c r="I124" s="220" t="s">
        <v>18</v>
      </c>
      <c r="J124" s="220" t="s">
        <v>15</v>
      </c>
      <c r="K124" s="220" t="s">
        <v>283</v>
      </c>
      <c r="L124" s="220" t="s">
        <v>283</v>
      </c>
      <c r="M124" s="220" t="s">
        <v>283</v>
      </c>
      <c r="N124" s="220" t="s">
        <v>283</v>
      </c>
      <c r="O124" s="221" t="s">
        <v>20</v>
      </c>
      <c r="P124" s="221" t="s">
        <v>20</v>
      </c>
      <c r="Q124" s="221" t="s">
        <v>15</v>
      </c>
      <c r="R124" s="221" t="s">
        <v>15</v>
      </c>
      <c r="S124" s="221" t="s">
        <v>16</v>
      </c>
      <c r="T124" s="221" t="s">
        <v>284</v>
      </c>
      <c r="U124" s="221" t="s">
        <v>250</v>
      </c>
      <c r="V124" s="221" t="s">
        <v>283</v>
      </c>
      <c r="W124" s="222" t="s">
        <v>283</v>
      </c>
      <c r="X124" s="222" t="s">
        <v>283</v>
      </c>
      <c r="Y124" s="223" t="s">
        <v>283</v>
      </c>
    </row>
    <row r="125" spans="1:25">
      <c r="A125" s="217">
        <v>3</v>
      </c>
      <c r="B125" s="218" t="str">
        <f>VLOOKUP(Tabel10[[#This Row],[Code]],Ruimtegroepen[[Code]:[Ruimte omschrijving]],2,FALSE)</f>
        <v>Reproruimte</v>
      </c>
      <c r="C125" s="219" t="s">
        <v>385</v>
      </c>
      <c r="D125" s="218" t="s">
        <v>21</v>
      </c>
      <c r="E125" s="219" t="s">
        <v>99</v>
      </c>
      <c r="F125" s="219" t="s">
        <v>387</v>
      </c>
      <c r="G125" s="220" t="s">
        <v>18</v>
      </c>
      <c r="H125" s="220" t="s">
        <v>15</v>
      </c>
      <c r="I125" s="220" t="s">
        <v>283</v>
      </c>
      <c r="J125" s="220" t="s">
        <v>283</v>
      </c>
      <c r="K125" s="220" t="s">
        <v>283</v>
      </c>
      <c r="L125" s="220" t="s">
        <v>283</v>
      </c>
      <c r="M125" s="220" t="s">
        <v>283</v>
      </c>
      <c r="N125" s="220" t="s">
        <v>283</v>
      </c>
      <c r="O125" s="221" t="s">
        <v>20</v>
      </c>
      <c r="P125" s="221" t="s">
        <v>20</v>
      </c>
      <c r="Q125" s="221" t="s">
        <v>15</v>
      </c>
      <c r="R125" s="221" t="s">
        <v>15</v>
      </c>
      <c r="S125" s="221" t="s">
        <v>16</v>
      </c>
      <c r="T125" s="221" t="s">
        <v>284</v>
      </c>
      <c r="U125" s="221" t="s">
        <v>250</v>
      </c>
      <c r="V125" s="221" t="s">
        <v>283</v>
      </c>
      <c r="W125" s="222" t="s">
        <v>283</v>
      </c>
      <c r="X125" s="222" t="s">
        <v>283</v>
      </c>
      <c r="Y125" s="223" t="s">
        <v>283</v>
      </c>
    </row>
    <row r="126" spans="1:25">
      <c r="A126" s="217">
        <v>3</v>
      </c>
      <c r="B126" s="218" t="str">
        <f>VLOOKUP(Tabel10[[#This Row],[Code]],Ruimtegroepen[[Code]:[Ruimte omschrijving]],2,FALSE)</f>
        <v>Reproruimte</v>
      </c>
      <c r="C126" s="219" t="s">
        <v>385</v>
      </c>
      <c r="D126" s="218" t="s">
        <v>21</v>
      </c>
      <c r="E126" s="219" t="s">
        <v>101</v>
      </c>
      <c r="F126" s="219" t="s">
        <v>388</v>
      </c>
      <c r="G126" s="224" t="s">
        <v>283</v>
      </c>
      <c r="H126" s="220" t="s">
        <v>283</v>
      </c>
      <c r="I126" s="220" t="s">
        <v>18</v>
      </c>
      <c r="J126" s="220" t="s">
        <v>15</v>
      </c>
      <c r="K126" s="220" t="s">
        <v>330</v>
      </c>
      <c r="L126" s="220" t="s">
        <v>283</v>
      </c>
      <c r="M126" s="220" t="s">
        <v>283</v>
      </c>
      <c r="N126" s="220" t="s">
        <v>283</v>
      </c>
      <c r="O126" s="221" t="s">
        <v>20</v>
      </c>
      <c r="P126" s="221" t="s">
        <v>20</v>
      </c>
      <c r="Q126" s="221" t="s">
        <v>15</v>
      </c>
      <c r="R126" s="221" t="s">
        <v>15</v>
      </c>
      <c r="S126" s="221" t="s">
        <v>16</v>
      </c>
      <c r="T126" s="221" t="s">
        <v>284</v>
      </c>
      <c r="U126" s="221" t="s">
        <v>250</v>
      </c>
      <c r="V126" s="221" t="s">
        <v>283</v>
      </c>
      <c r="W126" s="222" t="s">
        <v>283</v>
      </c>
      <c r="X126" s="222" t="s">
        <v>283</v>
      </c>
      <c r="Y126" s="223" t="s">
        <v>283</v>
      </c>
    </row>
    <row r="127" spans="1:25">
      <c r="A127" s="217">
        <v>3</v>
      </c>
      <c r="B127" s="218" t="str">
        <f>VLOOKUP(Tabel10[[#This Row],[Code]],Ruimtegroepen[[Code]:[Ruimte omschrijving]],2,FALSE)</f>
        <v>Reproruimte</v>
      </c>
      <c r="C127" s="219" t="s">
        <v>385</v>
      </c>
      <c r="D127" s="218" t="s">
        <v>21</v>
      </c>
      <c r="E127" s="219" t="s">
        <v>102</v>
      </c>
      <c r="F127" s="219" t="s">
        <v>389</v>
      </c>
      <c r="G127" s="224" t="s">
        <v>283</v>
      </c>
      <c r="H127" s="220" t="s">
        <v>283</v>
      </c>
      <c r="I127" s="220" t="s">
        <v>18</v>
      </c>
      <c r="J127" s="220" t="s">
        <v>15</v>
      </c>
      <c r="K127" s="220" t="s">
        <v>330</v>
      </c>
      <c r="L127" s="220" t="s">
        <v>283</v>
      </c>
      <c r="M127" s="220" t="s">
        <v>283</v>
      </c>
      <c r="N127" s="220" t="s">
        <v>283</v>
      </c>
      <c r="O127" s="221" t="s">
        <v>20</v>
      </c>
      <c r="P127" s="221" t="s">
        <v>20</v>
      </c>
      <c r="Q127" s="221" t="s">
        <v>15</v>
      </c>
      <c r="R127" s="221" t="s">
        <v>15</v>
      </c>
      <c r="S127" s="221" t="s">
        <v>16</v>
      </c>
      <c r="T127" s="221" t="s">
        <v>284</v>
      </c>
      <c r="U127" s="221" t="s">
        <v>250</v>
      </c>
      <c r="V127" s="221" t="s">
        <v>283</v>
      </c>
      <c r="W127" s="222" t="s">
        <v>283</v>
      </c>
      <c r="X127" s="222" t="s">
        <v>283</v>
      </c>
      <c r="Y127" s="223" t="s">
        <v>283</v>
      </c>
    </row>
    <row r="128" spans="1:25">
      <c r="A128" s="217">
        <v>3</v>
      </c>
      <c r="B128" s="218" t="str">
        <f>VLOOKUP(Tabel10[[#This Row],[Code]],Ruimtegroepen[[Code]:[Ruimte omschrijving]],2,FALSE)</f>
        <v>Reproruimte</v>
      </c>
      <c r="C128" s="219" t="s">
        <v>385</v>
      </c>
      <c r="D128" s="218" t="s">
        <v>21</v>
      </c>
      <c r="E128" s="219" t="s">
        <v>99</v>
      </c>
      <c r="F128" s="219" t="s">
        <v>387</v>
      </c>
      <c r="G128" s="220" t="s">
        <v>18</v>
      </c>
      <c r="H128" s="220" t="s">
        <v>15</v>
      </c>
      <c r="I128" s="220" t="s">
        <v>283</v>
      </c>
      <c r="J128" s="220" t="s">
        <v>283</v>
      </c>
      <c r="K128" s="220" t="s">
        <v>283</v>
      </c>
      <c r="L128" s="220" t="s">
        <v>283</v>
      </c>
      <c r="M128" s="220" t="s">
        <v>283</v>
      </c>
      <c r="N128" s="220" t="s">
        <v>283</v>
      </c>
      <c r="O128" s="221" t="s">
        <v>283</v>
      </c>
      <c r="P128" s="221" t="s">
        <v>283</v>
      </c>
      <c r="Q128" s="221" t="s">
        <v>283</v>
      </c>
      <c r="R128" s="221" t="s">
        <v>283</v>
      </c>
      <c r="S128" s="221" t="s">
        <v>283</v>
      </c>
      <c r="T128" s="221" t="s">
        <v>283</v>
      </c>
      <c r="U128" s="221" t="s">
        <v>283</v>
      </c>
      <c r="V128" s="221" t="s">
        <v>283</v>
      </c>
      <c r="W128" s="222" t="s">
        <v>283</v>
      </c>
      <c r="X128" s="222" t="s">
        <v>283</v>
      </c>
      <c r="Y128" s="223" t="s">
        <v>283</v>
      </c>
    </row>
    <row r="129" spans="1:25">
      <c r="A129" s="217">
        <v>3</v>
      </c>
      <c r="B129" s="218" t="str">
        <f>VLOOKUP(Tabel10[[#This Row],[Code]],Ruimtegroepen[[Code]:[Ruimte omschrijving]],2,FALSE)</f>
        <v>Reproruimte</v>
      </c>
      <c r="C129" s="219" t="s">
        <v>385</v>
      </c>
      <c r="D129" s="218" t="s">
        <v>21</v>
      </c>
      <c r="E129" s="219" t="s">
        <v>1313</v>
      </c>
      <c r="F129" s="219" t="s">
        <v>1343</v>
      </c>
      <c r="G129" s="224" t="s">
        <v>283</v>
      </c>
      <c r="H129" s="220" t="s">
        <v>283</v>
      </c>
      <c r="I129" s="220" t="s">
        <v>18</v>
      </c>
      <c r="J129" s="220" t="s">
        <v>15</v>
      </c>
      <c r="K129" s="220" t="s">
        <v>330</v>
      </c>
      <c r="L129" s="220" t="s">
        <v>283</v>
      </c>
      <c r="M129" s="220" t="s">
        <v>283</v>
      </c>
      <c r="N129" s="220" t="s">
        <v>283</v>
      </c>
      <c r="O129" s="221" t="s">
        <v>20</v>
      </c>
      <c r="P129" s="221" t="s">
        <v>20</v>
      </c>
      <c r="Q129" s="221" t="s">
        <v>15</v>
      </c>
      <c r="R129" s="221" t="s">
        <v>15</v>
      </c>
      <c r="S129" s="221" t="s">
        <v>16</v>
      </c>
      <c r="T129" s="221" t="s">
        <v>284</v>
      </c>
      <c r="U129" s="221" t="s">
        <v>250</v>
      </c>
      <c r="V129" s="221" t="s">
        <v>283</v>
      </c>
      <c r="W129" s="222" t="s">
        <v>283</v>
      </c>
      <c r="X129" s="222" t="s">
        <v>283</v>
      </c>
      <c r="Y129" s="223" t="s">
        <v>283</v>
      </c>
    </row>
    <row r="130" spans="1:25">
      <c r="A130" s="217">
        <v>3</v>
      </c>
      <c r="B130" s="218" t="str">
        <f>VLOOKUP(Tabel10[[#This Row],[Code]],Ruimtegroepen[[Code]:[Ruimte omschrijving]],2,FALSE)</f>
        <v>Reproruimte</v>
      </c>
      <c r="C130" s="219" t="s">
        <v>390</v>
      </c>
      <c r="D130" s="218" t="s">
        <v>12</v>
      </c>
      <c r="E130" s="219" t="s">
        <v>100</v>
      </c>
      <c r="F130" s="219" t="s">
        <v>391</v>
      </c>
      <c r="G130" s="224" t="s">
        <v>283</v>
      </c>
      <c r="H130" s="220" t="s">
        <v>283</v>
      </c>
      <c r="I130" s="220" t="s">
        <v>17</v>
      </c>
      <c r="J130" s="220" t="s">
        <v>15</v>
      </c>
      <c r="K130" s="220" t="s">
        <v>283</v>
      </c>
      <c r="L130" s="220" t="s">
        <v>283</v>
      </c>
      <c r="M130" s="220" t="s">
        <v>283</v>
      </c>
      <c r="N130" s="220" t="s">
        <v>283</v>
      </c>
      <c r="O130" s="221" t="s">
        <v>18</v>
      </c>
      <c r="P130" s="221" t="s">
        <v>18</v>
      </c>
      <c r="Q130" s="221" t="s">
        <v>15</v>
      </c>
      <c r="R130" s="221" t="s">
        <v>15</v>
      </c>
      <c r="S130" s="221" t="s">
        <v>16</v>
      </c>
      <c r="T130" s="221" t="s">
        <v>284</v>
      </c>
      <c r="U130" s="221" t="s">
        <v>250</v>
      </c>
      <c r="V130" s="221" t="s">
        <v>283</v>
      </c>
      <c r="W130" s="222" t="s">
        <v>283</v>
      </c>
      <c r="X130" s="222" t="s">
        <v>283</v>
      </c>
      <c r="Y130" s="223" t="s">
        <v>283</v>
      </c>
    </row>
    <row r="131" spans="1:25">
      <c r="A131" s="217">
        <v>3</v>
      </c>
      <c r="B131" s="218" t="str">
        <f>VLOOKUP(Tabel10[[#This Row],[Code]],Ruimtegroepen[[Code]:[Ruimte omschrijving]],2,FALSE)</f>
        <v>Reproruimte</v>
      </c>
      <c r="C131" s="219" t="s">
        <v>390</v>
      </c>
      <c r="D131" s="218" t="s">
        <v>12</v>
      </c>
      <c r="E131" s="219" t="s">
        <v>99</v>
      </c>
      <c r="F131" s="219" t="s">
        <v>392</v>
      </c>
      <c r="G131" s="220" t="s">
        <v>17</v>
      </c>
      <c r="H131" s="220" t="s">
        <v>15</v>
      </c>
      <c r="I131" s="220" t="s">
        <v>283</v>
      </c>
      <c r="J131" s="220" t="s">
        <v>283</v>
      </c>
      <c r="K131" s="220" t="s">
        <v>283</v>
      </c>
      <c r="L131" s="220" t="s">
        <v>283</v>
      </c>
      <c r="M131" s="220" t="s">
        <v>283</v>
      </c>
      <c r="N131" s="220" t="s">
        <v>283</v>
      </c>
      <c r="O131" s="221" t="s">
        <v>18</v>
      </c>
      <c r="P131" s="221" t="s">
        <v>18</v>
      </c>
      <c r="Q131" s="221" t="s">
        <v>15</v>
      </c>
      <c r="R131" s="221" t="s">
        <v>15</v>
      </c>
      <c r="S131" s="221" t="s">
        <v>16</v>
      </c>
      <c r="T131" s="221" t="s">
        <v>284</v>
      </c>
      <c r="U131" s="221" t="s">
        <v>250</v>
      </c>
      <c r="V131" s="221" t="s">
        <v>283</v>
      </c>
      <c r="W131" s="222" t="s">
        <v>283</v>
      </c>
      <c r="X131" s="222" t="s">
        <v>283</v>
      </c>
      <c r="Y131" s="223" t="s">
        <v>283</v>
      </c>
    </row>
    <row r="132" spans="1:25">
      <c r="A132" s="217">
        <v>3</v>
      </c>
      <c r="B132" s="218" t="str">
        <f>VLOOKUP(Tabel10[[#This Row],[Code]],Ruimtegroepen[[Code]:[Ruimte omschrijving]],2,FALSE)</f>
        <v>Reproruimte</v>
      </c>
      <c r="C132" s="219" t="s">
        <v>390</v>
      </c>
      <c r="D132" s="218" t="s">
        <v>12</v>
      </c>
      <c r="E132" s="219" t="s">
        <v>101</v>
      </c>
      <c r="F132" s="219" t="s">
        <v>393</v>
      </c>
      <c r="G132" s="224" t="s">
        <v>283</v>
      </c>
      <c r="H132" s="220" t="s">
        <v>283</v>
      </c>
      <c r="I132" s="220" t="s">
        <v>17</v>
      </c>
      <c r="J132" s="220" t="s">
        <v>15</v>
      </c>
      <c r="K132" s="220" t="s">
        <v>330</v>
      </c>
      <c r="L132" s="220" t="s">
        <v>283</v>
      </c>
      <c r="M132" s="220" t="s">
        <v>283</v>
      </c>
      <c r="N132" s="220" t="s">
        <v>283</v>
      </c>
      <c r="O132" s="221" t="s">
        <v>18</v>
      </c>
      <c r="P132" s="221" t="s">
        <v>18</v>
      </c>
      <c r="Q132" s="221" t="s">
        <v>15</v>
      </c>
      <c r="R132" s="221" t="s">
        <v>15</v>
      </c>
      <c r="S132" s="221" t="s">
        <v>16</v>
      </c>
      <c r="T132" s="221" t="s">
        <v>284</v>
      </c>
      <c r="U132" s="221" t="s">
        <v>250</v>
      </c>
      <c r="V132" s="221" t="s">
        <v>283</v>
      </c>
      <c r="W132" s="222" t="s">
        <v>283</v>
      </c>
      <c r="X132" s="222" t="s">
        <v>283</v>
      </c>
      <c r="Y132" s="223" t="s">
        <v>283</v>
      </c>
    </row>
    <row r="133" spans="1:25">
      <c r="A133" s="217">
        <v>3</v>
      </c>
      <c r="B133" s="218" t="str">
        <f>VLOOKUP(Tabel10[[#This Row],[Code]],Ruimtegroepen[[Code]:[Ruimte omschrijving]],2,FALSE)</f>
        <v>Reproruimte</v>
      </c>
      <c r="C133" s="219" t="s">
        <v>390</v>
      </c>
      <c r="D133" s="218" t="s">
        <v>12</v>
      </c>
      <c r="E133" s="219" t="s">
        <v>102</v>
      </c>
      <c r="F133" s="219" t="s">
        <v>394</v>
      </c>
      <c r="G133" s="224" t="s">
        <v>283</v>
      </c>
      <c r="H133" s="220" t="s">
        <v>283</v>
      </c>
      <c r="I133" s="220" t="s">
        <v>17</v>
      </c>
      <c r="J133" s="220" t="s">
        <v>15</v>
      </c>
      <c r="K133" s="220" t="s">
        <v>330</v>
      </c>
      <c r="L133" s="220" t="s">
        <v>283</v>
      </c>
      <c r="M133" s="220" t="s">
        <v>283</v>
      </c>
      <c r="N133" s="220" t="s">
        <v>283</v>
      </c>
      <c r="O133" s="221" t="s">
        <v>18</v>
      </c>
      <c r="P133" s="221" t="s">
        <v>18</v>
      </c>
      <c r="Q133" s="221" t="s">
        <v>15</v>
      </c>
      <c r="R133" s="221" t="s">
        <v>15</v>
      </c>
      <c r="S133" s="221" t="s">
        <v>16</v>
      </c>
      <c r="T133" s="221" t="s">
        <v>284</v>
      </c>
      <c r="U133" s="221" t="s">
        <v>250</v>
      </c>
      <c r="V133" s="221" t="s">
        <v>283</v>
      </c>
      <c r="W133" s="222" t="s">
        <v>283</v>
      </c>
      <c r="X133" s="222" t="s">
        <v>283</v>
      </c>
      <c r="Y133" s="223" t="s">
        <v>283</v>
      </c>
    </row>
    <row r="134" spans="1:25">
      <c r="A134" s="217">
        <v>3</v>
      </c>
      <c r="B134" s="218" t="str">
        <f>VLOOKUP(Tabel10[[#This Row],[Code]],Ruimtegroepen[[Code]:[Ruimte omschrijving]],2,FALSE)</f>
        <v>Reproruimte</v>
      </c>
      <c r="C134" s="219" t="s">
        <v>390</v>
      </c>
      <c r="D134" s="218" t="s">
        <v>12</v>
      </c>
      <c r="E134" s="219" t="s">
        <v>99</v>
      </c>
      <c r="F134" s="219" t="s">
        <v>392</v>
      </c>
      <c r="G134" s="220" t="s">
        <v>17</v>
      </c>
      <c r="H134" s="220" t="s">
        <v>15</v>
      </c>
      <c r="I134" s="220" t="s">
        <v>283</v>
      </c>
      <c r="J134" s="220" t="s">
        <v>283</v>
      </c>
      <c r="K134" s="220" t="s">
        <v>283</v>
      </c>
      <c r="L134" s="220" t="s">
        <v>283</v>
      </c>
      <c r="M134" s="220" t="s">
        <v>283</v>
      </c>
      <c r="N134" s="220" t="s">
        <v>283</v>
      </c>
      <c r="O134" s="221" t="s">
        <v>283</v>
      </c>
      <c r="P134" s="221" t="s">
        <v>283</v>
      </c>
      <c r="Q134" s="221" t="s">
        <v>283</v>
      </c>
      <c r="R134" s="221" t="s">
        <v>283</v>
      </c>
      <c r="S134" s="221" t="s">
        <v>283</v>
      </c>
      <c r="T134" s="221" t="s">
        <v>283</v>
      </c>
      <c r="U134" s="221" t="s">
        <v>283</v>
      </c>
      <c r="V134" s="221" t="s">
        <v>283</v>
      </c>
      <c r="W134" s="222" t="s">
        <v>283</v>
      </c>
      <c r="X134" s="222" t="s">
        <v>283</v>
      </c>
      <c r="Y134" s="223" t="s">
        <v>283</v>
      </c>
    </row>
    <row r="135" spans="1:25">
      <c r="A135" s="217">
        <v>3</v>
      </c>
      <c r="B135" s="218" t="str">
        <f>VLOOKUP(Tabel10[[#This Row],[Code]],Ruimtegroepen[[Code]:[Ruimte omschrijving]],2,FALSE)</f>
        <v>Reproruimte</v>
      </c>
      <c r="C135" s="219" t="s">
        <v>390</v>
      </c>
      <c r="D135" s="218" t="s">
        <v>12</v>
      </c>
      <c r="E135" s="219" t="s">
        <v>1313</v>
      </c>
      <c r="F135" s="219" t="s">
        <v>1344</v>
      </c>
      <c r="G135" s="224" t="s">
        <v>283</v>
      </c>
      <c r="H135" s="220" t="s">
        <v>283</v>
      </c>
      <c r="I135" s="220" t="s">
        <v>17</v>
      </c>
      <c r="J135" s="220" t="s">
        <v>15</v>
      </c>
      <c r="K135" s="220" t="s">
        <v>330</v>
      </c>
      <c r="L135" s="220" t="s">
        <v>283</v>
      </c>
      <c r="M135" s="220" t="s">
        <v>283</v>
      </c>
      <c r="N135" s="220" t="s">
        <v>283</v>
      </c>
      <c r="O135" s="221" t="s">
        <v>18</v>
      </c>
      <c r="P135" s="221" t="s">
        <v>18</v>
      </c>
      <c r="Q135" s="221" t="s">
        <v>15</v>
      </c>
      <c r="R135" s="221" t="s">
        <v>15</v>
      </c>
      <c r="S135" s="221" t="s">
        <v>16</v>
      </c>
      <c r="T135" s="221" t="s">
        <v>284</v>
      </c>
      <c r="U135" s="221" t="s">
        <v>250</v>
      </c>
      <c r="V135" s="221" t="s">
        <v>283</v>
      </c>
      <c r="W135" s="222" t="s">
        <v>283</v>
      </c>
      <c r="X135" s="222" t="s">
        <v>283</v>
      </c>
      <c r="Y135" s="223" t="s">
        <v>283</v>
      </c>
    </row>
    <row r="136" spans="1:25">
      <c r="A136" s="217">
        <v>3</v>
      </c>
      <c r="B136" s="218" t="str">
        <f>VLOOKUP(Tabel10[[#This Row],[Code]],Ruimtegroepen[[Code]:[Ruimte omschrijving]],2,FALSE)</f>
        <v>Reproruimte</v>
      </c>
      <c r="C136" s="219" t="s">
        <v>395</v>
      </c>
      <c r="D136" s="218" t="s">
        <v>14</v>
      </c>
      <c r="E136" s="219" t="s">
        <v>100</v>
      </c>
      <c r="F136" s="219" t="s">
        <v>396</v>
      </c>
      <c r="G136" s="224" t="s">
        <v>283</v>
      </c>
      <c r="H136" s="220" t="s">
        <v>283</v>
      </c>
      <c r="I136" s="220" t="s">
        <v>15</v>
      </c>
      <c r="J136" s="220" t="s">
        <v>15</v>
      </c>
      <c r="K136" s="220" t="s">
        <v>283</v>
      </c>
      <c r="L136" s="220" t="s">
        <v>283</v>
      </c>
      <c r="M136" s="220" t="s">
        <v>283</v>
      </c>
      <c r="N136" s="220" t="s">
        <v>283</v>
      </c>
      <c r="O136" s="221" t="s">
        <v>17</v>
      </c>
      <c r="P136" s="221" t="s">
        <v>17</v>
      </c>
      <c r="Q136" s="221" t="s">
        <v>15</v>
      </c>
      <c r="R136" s="221" t="s">
        <v>15</v>
      </c>
      <c r="S136" s="221" t="s">
        <v>16</v>
      </c>
      <c r="T136" s="221" t="s">
        <v>284</v>
      </c>
      <c r="U136" s="221" t="s">
        <v>250</v>
      </c>
      <c r="V136" s="221" t="s">
        <v>283</v>
      </c>
      <c r="W136" s="222" t="s">
        <v>283</v>
      </c>
      <c r="X136" s="222" t="s">
        <v>283</v>
      </c>
      <c r="Y136" s="223" t="s">
        <v>283</v>
      </c>
    </row>
    <row r="137" spans="1:25">
      <c r="A137" s="217">
        <v>3</v>
      </c>
      <c r="B137" s="218" t="str">
        <f>VLOOKUP(Tabel10[[#This Row],[Code]],Ruimtegroepen[[Code]:[Ruimte omschrijving]],2,FALSE)</f>
        <v>Reproruimte</v>
      </c>
      <c r="C137" s="219" t="s">
        <v>395</v>
      </c>
      <c r="D137" s="218" t="s">
        <v>14</v>
      </c>
      <c r="E137" s="219" t="s">
        <v>99</v>
      </c>
      <c r="F137" s="219" t="s">
        <v>397</v>
      </c>
      <c r="G137" s="220" t="s">
        <v>15</v>
      </c>
      <c r="H137" s="220" t="s">
        <v>15</v>
      </c>
      <c r="I137" s="220" t="s">
        <v>283</v>
      </c>
      <c r="J137" s="220" t="s">
        <v>283</v>
      </c>
      <c r="K137" s="220" t="s">
        <v>283</v>
      </c>
      <c r="L137" s="220" t="s">
        <v>283</v>
      </c>
      <c r="M137" s="220" t="s">
        <v>283</v>
      </c>
      <c r="N137" s="220" t="s">
        <v>283</v>
      </c>
      <c r="O137" s="221" t="s">
        <v>17</v>
      </c>
      <c r="P137" s="221" t="s">
        <v>17</v>
      </c>
      <c r="Q137" s="221" t="s">
        <v>15</v>
      </c>
      <c r="R137" s="221" t="s">
        <v>15</v>
      </c>
      <c r="S137" s="221" t="s">
        <v>16</v>
      </c>
      <c r="T137" s="221" t="s">
        <v>284</v>
      </c>
      <c r="U137" s="221" t="s">
        <v>250</v>
      </c>
      <c r="V137" s="221" t="s">
        <v>283</v>
      </c>
      <c r="W137" s="222" t="s">
        <v>283</v>
      </c>
      <c r="X137" s="222" t="s">
        <v>283</v>
      </c>
      <c r="Y137" s="223" t="s">
        <v>283</v>
      </c>
    </row>
    <row r="138" spans="1:25">
      <c r="A138" s="217">
        <v>3</v>
      </c>
      <c r="B138" s="218" t="str">
        <f>VLOOKUP(Tabel10[[#This Row],[Code]],Ruimtegroepen[[Code]:[Ruimte omschrijving]],2,FALSE)</f>
        <v>Reproruimte</v>
      </c>
      <c r="C138" s="219" t="s">
        <v>395</v>
      </c>
      <c r="D138" s="218" t="s">
        <v>14</v>
      </c>
      <c r="E138" s="219" t="s">
        <v>101</v>
      </c>
      <c r="F138" s="219" t="s">
        <v>398</v>
      </c>
      <c r="G138" s="224" t="s">
        <v>283</v>
      </c>
      <c r="H138" s="220" t="s">
        <v>283</v>
      </c>
      <c r="I138" s="220" t="s">
        <v>15</v>
      </c>
      <c r="J138" s="220" t="s">
        <v>15</v>
      </c>
      <c r="K138" s="220" t="s">
        <v>330</v>
      </c>
      <c r="L138" s="220" t="s">
        <v>283</v>
      </c>
      <c r="M138" s="220" t="s">
        <v>283</v>
      </c>
      <c r="N138" s="220" t="s">
        <v>283</v>
      </c>
      <c r="O138" s="221" t="s">
        <v>17</v>
      </c>
      <c r="P138" s="221" t="s">
        <v>17</v>
      </c>
      <c r="Q138" s="221" t="s">
        <v>15</v>
      </c>
      <c r="R138" s="221" t="s">
        <v>15</v>
      </c>
      <c r="S138" s="221" t="s">
        <v>16</v>
      </c>
      <c r="T138" s="221" t="s">
        <v>284</v>
      </c>
      <c r="U138" s="221" t="s">
        <v>250</v>
      </c>
      <c r="V138" s="221" t="s">
        <v>283</v>
      </c>
      <c r="W138" s="222" t="s">
        <v>283</v>
      </c>
      <c r="X138" s="222" t="s">
        <v>283</v>
      </c>
      <c r="Y138" s="223" t="s">
        <v>283</v>
      </c>
    </row>
    <row r="139" spans="1:25">
      <c r="A139" s="217">
        <v>3</v>
      </c>
      <c r="B139" s="218" t="str">
        <f>VLOOKUP(Tabel10[[#This Row],[Code]],Ruimtegroepen[[Code]:[Ruimte omschrijving]],2,FALSE)</f>
        <v>Reproruimte</v>
      </c>
      <c r="C139" s="219" t="s">
        <v>395</v>
      </c>
      <c r="D139" s="218" t="s">
        <v>14</v>
      </c>
      <c r="E139" s="219" t="s">
        <v>102</v>
      </c>
      <c r="F139" s="219" t="s">
        <v>399</v>
      </c>
      <c r="G139" s="224" t="s">
        <v>283</v>
      </c>
      <c r="H139" s="220" t="s">
        <v>283</v>
      </c>
      <c r="I139" s="220" t="s">
        <v>15</v>
      </c>
      <c r="J139" s="220" t="s">
        <v>15</v>
      </c>
      <c r="K139" s="220" t="s">
        <v>330</v>
      </c>
      <c r="L139" s="220" t="s">
        <v>283</v>
      </c>
      <c r="M139" s="220" t="s">
        <v>283</v>
      </c>
      <c r="N139" s="220" t="s">
        <v>283</v>
      </c>
      <c r="O139" s="221" t="s">
        <v>17</v>
      </c>
      <c r="P139" s="221" t="s">
        <v>17</v>
      </c>
      <c r="Q139" s="221" t="s">
        <v>15</v>
      </c>
      <c r="R139" s="221" t="s">
        <v>15</v>
      </c>
      <c r="S139" s="221" t="s">
        <v>16</v>
      </c>
      <c r="T139" s="221" t="s">
        <v>284</v>
      </c>
      <c r="U139" s="221" t="s">
        <v>250</v>
      </c>
      <c r="V139" s="221" t="s">
        <v>283</v>
      </c>
      <c r="W139" s="222" t="s">
        <v>283</v>
      </c>
      <c r="X139" s="222" t="s">
        <v>283</v>
      </c>
      <c r="Y139" s="223" t="s">
        <v>283</v>
      </c>
    </row>
    <row r="140" spans="1:25">
      <c r="A140" s="217">
        <v>3</v>
      </c>
      <c r="B140" s="218" t="str">
        <f>VLOOKUP(Tabel10[[#This Row],[Code]],Ruimtegroepen[[Code]:[Ruimte omschrijving]],2,FALSE)</f>
        <v>Reproruimte</v>
      </c>
      <c r="C140" s="219" t="s">
        <v>395</v>
      </c>
      <c r="D140" s="218" t="s">
        <v>14</v>
      </c>
      <c r="E140" s="219" t="s">
        <v>99</v>
      </c>
      <c r="F140" s="219" t="s">
        <v>397</v>
      </c>
      <c r="G140" s="220" t="s">
        <v>15</v>
      </c>
      <c r="H140" s="220" t="s">
        <v>15</v>
      </c>
      <c r="I140" s="220" t="s">
        <v>283</v>
      </c>
      <c r="J140" s="220" t="s">
        <v>283</v>
      </c>
      <c r="K140" s="220" t="s">
        <v>283</v>
      </c>
      <c r="L140" s="220" t="s">
        <v>283</v>
      </c>
      <c r="M140" s="220" t="s">
        <v>283</v>
      </c>
      <c r="N140" s="220" t="s">
        <v>283</v>
      </c>
      <c r="O140" s="221" t="s">
        <v>283</v>
      </c>
      <c r="P140" s="221" t="s">
        <v>283</v>
      </c>
      <c r="Q140" s="221" t="s">
        <v>283</v>
      </c>
      <c r="R140" s="221" t="s">
        <v>283</v>
      </c>
      <c r="S140" s="221" t="s">
        <v>283</v>
      </c>
      <c r="T140" s="221" t="s">
        <v>283</v>
      </c>
      <c r="U140" s="221" t="s">
        <v>283</v>
      </c>
      <c r="V140" s="221" t="s">
        <v>283</v>
      </c>
      <c r="W140" s="222" t="s">
        <v>283</v>
      </c>
      <c r="X140" s="222" t="s">
        <v>283</v>
      </c>
      <c r="Y140" s="223" t="s">
        <v>283</v>
      </c>
    </row>
    <row r="141" spans="1:25">
      <c r="A141" s="217">
        <v>3</v>
      </c>
      <c r="B141" s="218" t="str">
        <f>VLOOKUP(Tabel10[[#This Row],[Code]],Ruimtegroepen[[Code]:[Ruimte omschrijving]],2,FALSE)</f>
        <v>Reproruimte</v>
      </c>
      <c r="C141" s="219" t="s">
        <v>395</v>
      </c>
      <c r="D141" s="218" t="s">
        <v>14</v>
      </c>
      <c r="E141" s="219" t="s">
        <v>1313</v>
      </c>
      <c r="F141" s="219" t="s">
        <v>1345</v>
      </c>
      <c r="G141" s="224" t="s">
        <v>283</v>
      </c>
      <c r="H141" s="220" t="s">
        <v>283</v>
      </c>
      <c r="I141" s="220" t="s">
        <v>15</v>
      </c>
      <c r="J141" s="220" t="s">
        <v>15</v>
      </c>
      <c r="K141" s="220" t="s">
        <v>330</v>
      </c>
      <c r="L141" s="220" t="s">
        <v>283</v>
      </c>
      <c r="M141" s="220" t="s">
        <v>283</v>
      </c>
      <c r="N141" s="220" t="s">
        <v>283</v>
      </c>
      <c r="O141" s="221" t="s">
        <v>17</v>
      </c>
      <c r="P141" s="221" t="s">
        <v>17</v>
      </c>
      <c r="Q141" s="221" t="s">
        <v>15</v>
      </c>
      <c r="R141" s="221" t="s">
        <v>15</v>
      </c>
      <c r="S141" s="221" t="s">
        <v>16</v>
      </c>
      <c r="T141" s="221" t="s">
        <v>284</v>
      </c>
      <c r="U141" s="221" t="s">
        <v>250</v>
      </c>
      <c r="V141" s="221" t="s">
        <v>283</v>
      </c>
      <c r="W141" s="222" t="s">
        <v>283</v>
      </c>
      <c r="X141" s="222" t="s">
        <v>283</v>
      </c>
      <c r="Y141" s="223" t="s">
        <v>283</v>
      </c>
    </row>
    <row r="142" spans="1:25">
      <c r="A142" s="217">
        <v>3</v>
      </c>
      <c r="B142" s="218" t="str">
        <f>VLOOKUP(Tabel10[[#This Row],[Code]],Ruimtegroepen[[Code]:[Ruimte omschrijving]],2,FALSE)</f>
        <v>Reproruimte</v>
      </c>
      <c r="C142" s="219" t="s">
        <v>400</v>
      </c>
      <c r="D142" s="218" t="s">
        <v>13</v>
      </c>
      <c r="E142" s="219" t="s">
        <v>100</v>
      </c>
      <c r="F142" s="219" t="s">
        <v>401</v>
      </c>
      <c r="G142" s="224" t="s">
        <v>283</v>
      </c>
      <c r="H142" s="220" t="s">
        <v>283</v>
      </c>
      <c r="I142" s="220" t="s">
        <v>283</v>
      </c>
      <c r="J142" s="220" t="s">
        <v>15</v>
      </c>
      <c r="K142" s="220" t="s">
        <v>283</v>
      </c>
      <c r="L142" s="220" t="s">
        <v>283</v>
      </c>
      <c r="M142" s="220" t="s">
        <v>283</v>
      </c>
      <c r="N142" s="220" t="s">
        <v>283</v>
      </c>
      <c r="O142" s="221" t="s">
        <v>15</v>
      </c>
      <c r="P142" s="221" t="s">
        <v>15</v>
      </c>
      <c r="Q142" s="221" t="s">
        <v>15</v>
      </c>
      <c r="R142" s="221" t="s">
        <v>15</v>
      </c>
      <c r="S142" s="221" t="s">
        <v>16</v>
      </c>
      <c r="T142" s="221" t="s">
        <v>284</v>
      </c>
      <c r="U142" s="221" t="s">
        <v>250</v>
      </c>
      <c r="V142" s="221" t="s">
        <v>283</v>
      </c>
      <c r="W142" s="222" t="s">
        <v>283</v>
      </c>
      <c r="X142" s="222" t="s">
        <v>283</v>
      </c>
      <c r="Y142" s="223" t="s">
        <v>283</v>
      </c>
    </row>
    <row r="143" spans="1:25">
      <c r="A143" s="217">
        <v>3</v>
      </c>
      <c r="B143" s="218" t="str">
        <f>VLOOKUP(Tabel10[[#This Row],[Code]],Ruimtegroepen[[Code]:[Ruimte omschrijving]],2,FALSE)</f>
        <v>Reproruimte</v>
      </c>
      <c r="C143" s="219" t="s">
        <v>400</v>
      </c>
      <c r="D143" s="218" t="s">
        <v>13</v>
      </c>
      <c r="E143" s="219" t="s">
        <v>99</v>
      </c>
      <c r="F143" s="219" t="s">
        <v>402</v>
      </c>
      <c r="G143" s="224" t="s">
        <v>283</v>
      </c>
      <c r="H143" s="220" t="s">
        <v>15</v>
      </c>
      <c r="I143" s="220" t="s">
        <v>283</v>
      </c>
      <c r="J143" s="220" t="s">
        <v>283</v>
      </c>
      <c r="K143" s="220" t="s">
        <v>283</v>
      </c>
      <c r="L143" s="220" t="s">
        <v>283</v>
      </c>
      <c r="M143" s="220" t="s">
        <v>283</v>
      </c>
      <c r="N143" s="220" t="s">
        <v>283</v>
      </c>
      <c r="O143" s="221" t="s">
        <v>15</v>
      </c>
      <c r="P143" s="221" t="s">
        <v>15</v>
      </c>
      <c r="Q143" s="221" t="s">
        <v>15</v>
      </c>
      <c r="R143" s="221" t="s">
        <v>15</v>
      </c>
      <c r="S143" s="221" t="s">
        <v>16</v>
      </c>
      <c r="T143" s="221" t="s">
        <v>284</v>
      </c>
      <c r="U143" s="221" t="s">
        <v>250</v>
      </c>
      <c r="V143" s="221" t="s">
        <v>283</v>
      </c>
      <c r="W143" s="222" t="s">
        <v>283</v>
      </c>
      <c r="X143" s="222" t="s">
        <v>283</v>
      </c>
      <c r="Y143" s="223" t="s">
        <v>283</v>
      </c>
    </row>
    <row r="144" spans="1:25">
      <c r="A144" s="217">
        <v>3</v>
      </c>
      <c r="B144" s="218" t="str">
        <f>VLOOKUP(Tabel10[[#This Row],[Code]],Ruimtegroepen[[Code]:[Ruimte omschrijving]],2,FALSE)</f>
        <v>Reproruimte</v>
      </c>
      <c r="C144" s="219" t="s">
        <v>400</v>
      </c>
      <c r="D144" s="218" t="s">
        <v>13</v>
      </c>
      <c r="E144" s="219" t="s">
        <v>101</v>
      </c>
      <c r="F144" s="219" t="s">
        <v>403</v>
      </c>
      <c r="G144" s="224" t="s">
        <v>283</v>
      </c>
      <c r="H144" s="220" t="s">
        <v>283</v>
      </c>
      <c r="I144" s="220" t="s">
        <v>283</v>
      </c>
      <c r="J144" s="220" t="s">
        <v>15</v>
      </c>
      <c r="K144" s="220" t="s">
        <v>330</v>
      </c>
      <c r="L144" s="220" t="s">
        <v>283</v>
      </c>
      <c r="M144" s="220" t="s">
        <v>283</v>
      </c>
      <c r="N144" s="220" t="s">
        <v>283</v>
      </c>
      <c r="O144" s="221" t="s">
        <v>15</v>
      </c>
      <c r="P144" s="221" t="s">
        <v>15</v>
      </c>
      <c r="Q144" s="221" t="s">
        <v>15</v>
      </c>
      <c r="R144" s="221" t="s">
        <v>15</v>
      </c>
      <c r="S144" s="221" t="s">
        <v>16</v>
      </c>
      <c r="T144" s="221" t="s">
        <v>284</v>
      </c>
      <c r="U144" s="221" t="s">
        <v>250</v>
      </c>
      <c r="V144" s="221" t="s">
        <v>283</v>
      </c>
      <c r="W144" s="222" t="s">
        <v>283</v>
      </c>
      <c r="X144" s="222" t="s">
        <v>283</v>
      </c>
      <c r="Y144" s="223" t="s">
        <v>283</v>
      </c>
    </row>
    <row r="145" spans="1:25">
      <c r="A145" s="217">
        <v>3</v>
      </c>
      <c r="B145" s="218" t="str">
        <f>VLOOKUP(Tabel10[[#This Row],[Code]],Ruimtegroepen[[Code]:[Ruimte omschrijving]],2,FALSE)</f>
        <v>Reproruimte</v>
      </c>
      <c r="C145" s="219" t="s">
        <v>400</v>
      </c>
      <c r="D145" s="218" t="s">
        <v>13</v>
      </c>
      <c r="E145" s="219" t="s">
        <v>102</v>
      </c>
      <c r="F145" s="219" t="s">
        <v>404</v>
      </c>
      <c r="G145" s="224" t="s">
        <v>283</v>
      </c>
      <c r="H145" s="220" t="s">
        <v>283</v>
      </c>
      <c r="I145" s="220" t="s">
        <v>283</v>
      </c>
      <c r="J145" s="220" t="s">
        <v>15</v>
      </c>
      <c r="K145" s="220" t="s">
        <v>330</v>
      </c>
      <c r="L145" s="220" t="s">
        <v>283</v>
      </c>
      <c r="M145" s="220" t="s">
        <v>283</v>
      </c>
      <c r="N145" s="220" t="s">
        <v>283</v>
      </c>
      <c r="O145" s="221" t="s">
        <v>15</v>
      </c>
      <c r="P145" s="221" t="s">
        <v>15</v>
      </c>
      <c r="Q145" s="221" t="s">
        <v>15</v>
      </c>
      <c r="R145" s="221" t="s">
        <v>15</v>
      </c>
      <c r="S145" s="221" t="s">
        <v>16</v>
      </c>
      <c r="T145" s="221" t="s">
        <v>284</v>
      </c>
      <c r="U145" s="221" t="s">
        <v>250</v>
      </c>
      <c r="V145" s="221" t="s">
        <v>283</v>
      </c>
      <c r="W145" s="222" t="s">
        <v>283</v>
      </c>
      <c r="X145" s="222" t="s">
        <v>283</v>
      </c>
      <c r="Y145" s="223" t="s">
        <v>283</v>
      </c>
    </row>
    <row r="146" spans="1:25">
      <c r="A146" s="217">
        <v>3</v>
      </c>
      <c r="B146" s="218" t="str">
        <f>VLOOKUP(Tabel10[[#This Row],[Code]],Ruimtegroepen[[Code]:[Ruimte omschrijving]],2,FALSE)</f>
        <v>Reproruimte</v>
      </c>
      <c r="C146" s="219" t="s">
        <v>400</v>
      </c>
      <c r="D146" s="218" t="s">
        <v>13</v>
      </c>
      <c r="E146" s="219" t="s">
        <v>99</v>
      </c>
      <c r="F146" s="219" t="s">
        <v>402</v>
      </c>
      <c r="G146" s="224" t="s">
        <v>283</v>
      </c>
      <c r="H146" s="220" t="s">
        <v>15</v>
      </c>
      <c r="I146" s="220" t="s">
        <v>283</v>
      </c>
      <c r="J146" s="220" t="s">
        <v>283</v>
      </c>
      <c r="K146" s="220" t="s">
        <v>283</v>
      </c>
      <c r="L146" s="220" t="s">
        <v>283</v>
      </c>
      <c r="M146" s="220" t="s">
        <v>283</v>
      </c>
      <c r="N146" s="220" t="s">
        <v>283</v>
      </c>
      <c r="O146" s="221" t="s">
        <v>283</v>
      </c>
      <c r="P146" s="221" t="s">
        <v>283</v>
      </c>
      <c r="Q146" s="221" t="s">
        <v>283</v>
      </c>
      <c r="R146" s="221" t="s">
        <v>283</v>
      </c>
      <c r="S146" s="221" t="s">
        <v>283</v>
      </c>
      <c r="T146" s="221" t="s">
        <v>283</v>
      </c>
      <c r="U146" s="221" t="s">
        <v>283</v>
      </c>
      <c r="V146" s="221" t="s">
        <v>283</v>
      </c>
      <c r="W146" s="222" t="s">
        <v>283</v>
      </c>
      <c r="X146" s="222" t="s">
        <v>283</v>
      </c>
      <c r="Y146" s="223" t="s">
        <v>283</v>
      </c>
    </row>
    <row r="147" spans="1:25">
      <c r="A147" s="217">
        <v>3</v>
      </c>
      <c r="B147" s="218" t="str">
        <f>VLOOKUP(Tabel10[[#This Row],[Code]],Ruimtegroepen[[Code]:[Ruimte omschrijving]],2,FALSE)</f>
        <v>Reproruimte</v>
      </c>
      <c r="C147" s="219" t="s">
        <v>400</v>
      </c>
      <c r="D147" s="218" t="s">
        <v>13</v>
      </c>
      <c r="E147" s="219" t="s">
        <v>1313</v>
      </c>
      <c r="F147" s="219" t="s">
        <v>1346</v>
      </c>
      <c r="G147" s="224" t="s">
        <v>283</v>
      </c>
      <c r="H147" s="220" t="s">
        <v>283</v>
      </c>
      <c r="I147" s="220" t="s">
        <v>283</v>
      </c>
      <c r="J147" s="220" t="s">
        <v>15</v>
      </c>
      <c r="K147" s="220" t="s">
        <v>330</v>
      </c>
      <c r="L147" s="220" t="s">
        <v>283</v>
      </c>
      <c r="M147" s="220" t="s">
        <v>283</v>
      </c>
      <c r="N147" s="220" t="s">
        <v>283</v>
      </c>
      <c r="O147" s="221" t="s">
        <v>15</v>
      </c>
      <c r="P147" s="221" t="s">
        <v>15</v>
      </c>
      <c r="Q147" s="221" t="s">
        <v>15</v>
      </c>
      <c r="R147" s="221" t="s">
        <v>15</v>
      </c>
      <c r="S147" s="221" t="s">
        <v>16</v>
      </c>
      <c r="T147" s="221" t="s">
        <v>284</v>
      </c>
      <c r="U147" s="221" t="s">
        <v>250</v>
      </c>
      <c r="V147" s="221" t="s">
        <v>283</v>
      </c>
      <c r="W147" s="222" t="s">
        <v>283</v>
      </c>
      <c r="X147" s="222" t="s">
        <v>283</v>
      </c>
      <c r="Y147" s="223" t="s">
        <v>283</v>
      </c>
    </row>
    <row r="148" spans="1:25">
      <c r="A148" s="217">
        <v>3</v>
      </c>
      <c r="B148" s="218" t="str">
        <f>VLOOKUP(Tabel10[[#This Row],[Code]],Ruimtegroepen[[Code]:[Ruimte omschrijving]],2,FALSE)</f>
        <v>Reproruimte</v>
      </c>
      <c r="C148" s="219" t="s">
        <v>405</v>
      </c>
      <c r="D148" s="218" t="s">
        <v>0</v>
      </c>
      <c r="E148" s="219" t="s">
        <v>100</v>
      </c>
      <c r="F148" s="219" t="s">
        <v>406</v>
      </c>
      <c r="G148" s="224" t="s">
        <v>283</v>
      </c>
      <c r="H148" s="220" t="s">
        <v>283</v>
      </c>
      <c r="I148" s="220" t="s">
        <v>16</v>
      </c>
      <c r="J148" s="220" t="s">
        <v>283</v>
      </c>
      <c r="K148" s="220" t="s">
        <v>283</v>
      </c>
      <c r="L148" s="220" t="s">
        <v>283</v>
      </c>
      <c r="M148" s="220" t="s">
        <v>283</v>
      </c>
      <c r="N148" s="220" t="s">
        <v>283</v>
      </c>
      <c r="O148" s="221" t="s">
        <v>16</v>
      </c>
      <c r="P148" s="221" t="s">
        <v>16</v>
      </c>
      <c r="Q148" s="221" t="s">
        <v>16</v>
      </c>
      <c r="R148" s="221" t="s">
        <v>16</v>
      </c>
      <c r="S148" s="221" t="s">
        <v>16</v>
      </c>
      <c r="T148" s="221" t="s">
        <v>284</v>
      </c>
      <c r="U148" s="221" t="s">
        <v>250</v>
      </c>
      <c r="V148" s="221" t="s">
        <v>283</v>
      </c>
      <c r="W148" s="222" t="s">
        <v>283</v>
      </c>
      <c r="X148" s="222" t="s">
        <v>283</v>
      </c>
      <c r="Y148" s="223" t="s">
        <v>283</v>
      </c>
    </row>
    <row r="149" spans="1:25">
      <c r="A149" s="217">
        <v>3</v>
      </c>
      <c r="B149" s="218" t="str">
        <f>VLOOKUP(Tabel10[[#This Row],[Code]],Ruimtegroepen[[Code]:[Ruimte omschrijving]],2,FALSE)</f>
        <v>Reproruimte</v>
      </c>
      <c r="C149" s="219" t="s">
        <v>405</v>
      </c>
      <c r="D149" s="218" t="s">
        <v>0</v>
      </c>
      <c r="E149" s="219" t="s">
        <v>99</v>
      </c>
      <c r="F149" s="219" t="s">
        <v>407</v>
      </c>
      <c r="G149" s="224" t="s">
        <v>283</v>
      </c>
      <c r="H149" s="220" t="s">
        <v>16</v>
      </c>
      <c r="I149" s="220" t="s">
        <v>283</v>
      </c>
      <c r="J149" s="220" t="s">
        <v>283</v>
      </c>
      <c r="K149" s="220" t="s">
        <v>283</v>
      </c>
      <c r="L149" s="220" t="s">
        <v>283</v>
      </c>
      <c r="M149" s="220" t="s">
        <v>283</v>
      </c>
      <c r="N149" s="220" t="s">
        <v>283</v>
      </c>
      <c r="O149" s="221" t="s">
        <v>16</v>
      </c>
      <c r="P149" s="221" t="s">
        <v>16</v>
      </c>
      <c r="Q149" s="221" t="s">
        <v>16</v>
      </c>
      <c r="R149" s="221" t="s">
        <v>16</v>
      </c>
      <c r="S149" s="221" t="s">
        <v>16</v>
      </c>
      <c r="T149" s="221" t="s">
        <v>284</v>
      </c>
      <c r="U149" s="221" t="s">
        <v>250</v>
      </c>
      <c r="V149" s="221" t="s">
        <v>283</v>
      </c>
      <c r="W149" s="222" t="s">
        <v>283</v>
      </c>
      <c r="X149" s="222" t="s">
        <v>283</v>
      </c>
      <c r="Y149" s="223" t="s">
        <v>283</v>
      </c>
    </row>
    <row r="150" spans="1:25">
      <c r="A150" s="217">
        <v>3</v>
      </c>
      <c r="B150" s="218" t="str">
        <f>VLOOKUP(Tabel10[[#This Row],[Code]],Ruimtegroepen[[Code]:[Ruimte omschrijving]],2,FALSE)</f>
        <v>Reproruimte</v>
      </c>
      <c r="C150" s="219" t="s">
        <v>405</v>
      </c>
      <c r="D150" s="218" t="s">
        <v>0</v>
      </c>
      <c r="E150" s="219" t="s">
        <v>101</v>
      </c>
      <c r="F150" s="219" t="s">
        <v>408</v>
      </c>
      <c r="G150" s="224" t="s">
        <v>283</v>
      </c>
      <c r="H150" s="220" t="s">
        <v>283</v>
      </c>
      <c r="I150" s="220" t="s">
        <v>283</v>
      </c>
      <c r="J150" s="220" t="s">
        <v>16</v>
      </c>
      <c r="K150" s="220" t="s">
        <v>330</v>
      </c>
      <c r="L150" s="220" t="s">
        <v>283</v>
      </c>
      <c r="M150" s="220" t="s">
        <v>283</v>
      </c>
      <c r="N150" s="220" t="s">
        <v>283</v>
      </c>
      <c r="O150" s="221" t="s">
        <v>16</v>
      </c>
      <c r="P150" s="221" t="s">
        <v>16</v>
      </c>
      <c r="Q150" s="221" t="s">
        <v>16</v>
      </c>
      <c r="R150" s="221" t="s">
        <v>16</v>
      </c>
      <c r="S150" s="221" t="s">
        <v>16</v>
      </c>
      <c r="T150" s="221" t="s">
        <v>284</v>
      </c>
      <c r="U150" s="221" t="s">
        <v>250</v>
      </c>
      <c r="V150" s="221" t="s">
        <v>283</v>
      </c>
      <c r="W150" s="222" t="s">
        <v>283</v>
      </c>
      <c r="X150" s="222" t="s">
        <v>283</v>
      </c>
      <c r="Y150" s="223" t="s">
        <v>283</v>
      </c>
    </row>
    <row r="151" spans="1:25">
      <c r="A151" s="217">
        <v>3</v>
      </c>
      <c r="B151" s="218" t="str">
        <f>VLOOKUP(Tabel10[[#This Row],[Code]],Ruimtegroepen[[Code]:[Ruimte omschrijving]],2,FALSE)</f>
        <v>Reproruimte</v>
      </c>
      <c r="C151" s="219" t="s">
        <v>405</v>
      </c>
      <c r="D151" s="218" t="s">
        <v>0</v>
      </c>
      <c r="E151" s="219" t="s">
        <v>102</v>
      </c>
      <c r="F151" s="219" t="s">
        <v>409</v>
      </c>
      <c r="G151" s="224" t="s">
        <v>283</v>
      </c>
      <c r="H151" s="220" t="s">
        <v>283</v>
      </c>
      <c r="I151" s="220" t="s">
        <v>16</v>
      </c>
      <c r="J151" s="220" t="s">
        <v>283</v>
      </c>
      <c r="K151" s="220" t="s">
        <v>330</v>
      </c>
      <c r="L151" s="220" t="s">
        <v>283</v>
      </c>
      <c r="M151" s="220" t="s">
        <v>283</v>
      </c>
      <c r="N151" s="220" t="s">
        <v>283</v>
      </c>
      <c r="O151" s="221" t="s">
        <v>16</v>
      </c>
      <c r="P151" s="221" t="s">
        <v>16</v>
      </c>
      <c r="Q151" s="221" t="s">
        <v>16</v>
      </c>
      <c r="R151" s="221" t="s">
        <v>16</v>
      </c>
      <c r="S151" s="221" t="s">
        <v>16</v>
      </c>
      <c r="T151" s="221" t="s">
        <v>284</v>
      </c>
      <c r="U151" s="221" t="s">
        <v>250</v>
      </c>
      <c r="V151" s="221" t="s">
        <v>283</v>
      </c>
      <c r="W151" s="222" t="s">
        <v>283</v>
      </c>
      <c r="X151" s="222" t="s">
        <v>283</v>
      </c>
      <c r="Y151" s="223" t="s">
        <v>283</v>
      </c>
    </row>
    <row r="152" spans="1:25">
      <c r="A152" s="217">
        <v>3</v>
      </c>
      <c r="B152" s="218" t="str">
        <f>VLOOKUP(Tabel10[[#This Row],[Code]],Ruimtegroepen[[Code]:[Ruimte omschrijving]],2,FALSE)</f>
        <v>Reproruimte</v>
      </c>
      <c r="C152" s="219" t="s">
        <v>405</v>
      </c>
      <c r="D152" s="218" t="s">
        <v>0</v>
      </c>
      <c r="E152" s="219" t="s">
        <v>99</v>
      </c>
      <c r="F152" s="219" t="s">
        <v>407</v>
      </c>
      <c r="G152" s="224" t="s">
        <v>283</v>
      </c>
      <c r="H152" s="220" t="s">
        <v>16</v>
      </c>
      <c r="I152" s="220" t="s">
        <v>283</v>
      </c>
      <c r="J152" s="220" t="s">
        <v>283</v>
      </c>
      <c r="K152" s="220" t="s">
        <v>283</v>
      </c>
      <c r="L152" s="220" t="s">
        <v>283</v>
      </c>
      <c r="M152" s="220" t="s">
        <v>283</v>
      </c>
      <c r="N152" s="220" t="s">
        <v>283</v>
      </c>
      <c r="O152" s="221" t="s">
        <v>283</v>
      </c>
      <c r="P152" s="221" t="s">
        <v>283</v>
      </c>
      <c r="Q152" s="221" t="s">
        <v>283</v>
      </c>
      <c r="R152" s="221" t="s">
        <v>283</v>
      </c>
      <c r="S152" s="221" t="s">
        <v>283</v>
      </c>
      <c r="T152" s="221" t="s">
        <v>283</v>
      </c>
      <c r="U152" s="221" t="s">
        <v>283</v>
      </c>
      <c r="V152" s="221" t="s">
        <v>283</v>
      </c>
      <c r="W152" s="222" t="s">
        <v>283</v>
      </c>
      <c r="X152" s="222" t="s">
        <v>283</v>
      </c>
      <c r="Y152" s="223" t="s">
        <v>283</v>
      </c>
    </row>
    <row r="153" spans="1:25">
      <c r="A153" s="217">
        <v>3</v>
      </c>
      <c r="B153" s="218" t="str">
        <f>VLOOKUP(Tabel10[[#This Row],[Code]],Ruimtegroepen[[Code]:[Ruimte omschrijving]],2,FALSE)</f>
        <v>Reproruimte</v>
      </c>
      <c r="C153" s="219" t="s">
        <v>405</v>
      </c>
      <c r="D153" s="218" t="s">
        <v>0</v>
      </c>
      <c r="E153" s="219" t="s">
        <v>1313</v>
      </c>
      <c r="F153" s="219" t="s">
        <v>1347</v>
      </c>
      <c r="G153" s="224" t="s">
        <v>283</v>
      </c>
      <c r="H153" s="220" t="s">
        <v>283</v>
      </c>
      <c r="I153" s="220" t="s">
        <v>16</v>
      </c>
      <c r="J153" s="220" t="s">
        <v>283</v>
      </c>
      <c r="K153" s="220" t="s">
        <v>330</v>
      </c>
      <c r="L153" s="220" t="s">
        <v>283</v>
      </c>
      <c r="M153" s="220" t="s">
        <v>283</v>
      </c>
      <c r="N153" s="220" t="s">
        <v>283</v>
      </c>
      <c r="O153" s="221" t="s">
        <v>16</v>
      </c>
      <c r="P153" s="221" t="s">
        <v>16</v>
      </c>
      <c r="Q153" s="221" t="s">
        <v>16</v>
      </c>
      <c r="R153" s="221" t="s">
        <v>16</v>
      </c>
      <c r="S153" s="221" t="s">
        <v>16</v>
      </c>
      <c r="T153" s="221" t="s">
        <v>284</v>
      </c>
      <c r="U153" s="221" t="s">
        <v>250</v>
      </c>
      <c r="V153" s="221" t="s">
        <v>283</v>
      </c>
      <c r="W153" s="222" t="s">
        <v>283</v>
      </c>
      <c r="X153" s="222" t="s">
        <v>283</v>
      </c>
      <c r="Y153" s="223" t="s">
        <v>283</v>
      </c>
    </row>
    <row r="154" spans="1:25">
      <c r="A154" s="217">
        <v>3</v>
      </c>
      <c r="B154" s="218" t="str">
        <f>VLOOKUP(Tabel10[[#This Row],[Code]],Ruimtegroepen[[Code]:[Ruimte omschrijving]],2,FALSE)</f>
        <v>Reproruimte</v>
      </c>
      <c r="C154" s="219" t="s">
        <v>410</v>
      </c>
      <c r="D154" s="218" t="s">
        <v>27</v>
      </c>
      <c r="E154" s="219" t="s">
        <v>100</v>
      </c>
      <c r="F154" s="219" t="s">
        <v>411</v>
      </c>
      <c r="G154" s="224" t="s">
        <v>283</v>
      </c>
      <c r="H154" s="220" t="s">
        <v>283</v>
      </c>
      <c r="I154" s="220" t="s">
        <v>283</v>
      </c>
      <c r="J154" s="220" t="s">
        <v>15</v>
      </c>
      <c r="K154" s="220" t="s">
        <v>283</v>
      </c>
      <c r="L154" s="220" t="s">
        <v>283</v>
      </c>
      <c r="M154" s="220" t="s">
        <v>283</v>
      </c>
      <c r="N154" s="220" t="s">
        <v>283</v>
      </c>
      <c r="O154" s="221" t="s">
        <v>15</v>
      </c>
      <c r="P154" s="221" t="s">
        <v>15</v>
      </c>
      <c r="Q154" s="221" t="s">
        <v>15</v>
      </c>
      <c r="R154" s="221" t="s">
        <v>283</v>
      </c>
      <c r="S154" s="221" t="s">
        <v>283</v>
      </c>
      <c r="T154" s="221" t="s">
        <v>283</v>
      </c>
      <c r="U154" s="221" t="s">
        <v>283</v>
      </c>
      <c r="V154" s="221" t="s">
        <v>283</v>
      </c>
      <c r="W154" s="222" t="s">
        <v>283</v>
      </c>
      <c r="X154" s="222" t="s">
        <v>283</v>
      </c>
      <c r="Y154" s="223" t="s">
        <v>283</v>
      </c>
    </row>
    <row r="155" spans="1:25">
      <c r="A155" s="217">
        <v>3</v>
      </c>
      <c r="B155" s="218" t="str">
        <f>VLOOKUP(Tabel10[[#This Row],[Code]],Ruimtegroepen[[Code]:[Ruimte omschrijving]],2,FALSE)</f>
        <v>Reproruimte</v>
      </c>
      <c r="C155" s="219" t="s">
        <v>410</v>
      </c>
      <c r="D155" s="218" t="s">
        <v>27</v>
      </c>
      <c r="E155" s="219" t="s">
        <v>99</v>
      </c>
      <c r="F155" s="219" t="s">
        <v>412</v>
      </c>
      <c r="G155" s="224" t="s">
        <v>283</v>
      </c>
      <c r="H155" s="220" t="s">
        <v>15</v>
      </c>
      <c r="I155" s="220" t="s">
        <v>283</v>
      </c>
      <c r="J155" s="220" t="s">
        <v>283</v>
      </c>
      <c r="K155" s="220" t="s">
        <v>283</v>
      </c>
      <c r="L155" s="220" t="s">
        <v>283</v>
      </c>
      <c r="M155" s="220" t="s">
        <v>283</v>
      </c>
      <c r="N155" s="220" t="s">
        <v>283</v>
      </c>
      <c r="O155" s="221" t="s">
        <v>15</v>
      </c>
      <c r="P155" s="221" t="s">
        <v>15</v>
      </c>
      <c r="Q155" s="221" t="s">
        <v>15</v>
      </c>
      <c r="R155" s="221" t="s">
        <v>283</v>
      </c>
      <c r="S155" s="221" t="s">
        <v>283</v>
      </c>
      <c r="T155" s="221" t="s">
        <v>283</v>
      </c>
      <c r="U155" s="221" t="s">
        <v>283</v>
      </c>
      <c r="V155" s="221" t="s">
        <v>283</v>
      </c>
      <c r="W155" s="222" t="s">
        <v>283</v>
      </c>
      <c r="X155" s="222" t="s">
        <v>283</v>
      </c>
      <c r="Y155" s="223" t="s">
        <v>283</v>
      </c>
    </row>
    <row r="156" spans="1:25">
      <c r="A156" s="217">
        <v>3</v>
      </c>
      <c r="B156" s="218" t="str">
        <f>VLOOKUP(Tabel10[[#This Row],[Code]],Ruimtegroepen[[Code]:[Ruimte omschrijving]],2,FALSE)</f>
        <v>Reproruimte</v>
      </c>
      <c r="C156" s="219" t="s">
        <v>410</v>
      </c>
      <c r="D156" s="218" t="s">
        <v>27</v>
      </c>
      <c r="E156" s="219" t="s">
        <v>101</v>
      </c>
      <c r="F156" s="219" t="s">
        <v>413</v>
      </c>
      <c r="G156" s="224" t="s">
        <v>283</v>
      </c>
      <c r="H156" s="220" t="s">
        <v>283</v>
      </c>
      <c r="I156" s="220" t="s">
        <v>283</v>
      </c>
      <c r="J156" s="220" t="s">
        <v>15</v>
      </c>
      <c r="K156" s="220" t="s">
        <v>283</v>
      </c>
      <c r="L156" s="220" t="s">
        <v>283</v>
      </c>
      <c r="M156" s="220" t="s">
        <v>283</v>
      </c>
      <c r="N156" s="220" t="s">
        <v>283</v>
      </c>
      <c r="O156" s="221" t="s">
        <v>15</v>
      </c>
      <c r="P156" s="221" t="s">
        <v>15</v>
      </c>
      <c r="Q156" s="221" t="s">
        <v>15</v>
      </c>
      <c r="R156" s="221" t="s">
        <v>283</v>
      </c>
      <c r="S156" s="221" t="s">
        <v>283</v>
      </c>
      <c r="T156" s="221" t="s">
        <v>283</v>
      </c>
      <c r="U156" s="221" t="s">
        <v>283</v>
      </c>
      <c r="V156" s="221" t="s">
        <v>283</v>
      </c>
      <c r="W156" s="222" t="s">
        <v>283</v>
      </c>
      <c r="X156" s="222" t="s">
        <v>283</v>
      </c>
      <c r="Y156" s="223" t="s">
        <v>283</v>
      </c>
    </row>
    <row r="157" spans="1:25">
      <c r="A157" s="217">
        <v>3</v>
      </c>
      <c r="B157" s="218" t="str">
        <f>VLOOKUP(Tabel10[[#This Row],[Code]],Ruimtegroepen[[Code]:[Ruimte omschrijving]],2,FALSE)</f>
        <v>Reproruimte</v>
      </c>
      <c r="C157" s="219" t="s">
        <v>410</v>
      </c>
      <c r="D157" s="218" t="s">
        <v>27</v>
      </c>
      <c r="E157" s="219" t="s">
        <v>102</v>
      </c>
      <c r="F157" s="219" t="s">
        <v>414</v>
      </c>
      <c r="G157" s="224" t="s">
        <v>283</v>
      </c>
      <c r="H157" s="220" t="s">
        <v>283</v>
      </c>
      <c r="I157" s="220" t="s">
        <v>283</v>
      </c>
      <c r="J157" s="220" t="s">
        <v>15</v>
      </c>
      <c r="K157" s="220" t="s">
        <v>283</v>
      </c>
      <c r="L157" s="220" t="s">
        <v>283</v>
      </c>
      <c r="M157" s="220" t="s">
        <v>283</v>
      </c>
      <c r="N157" s="220" t="s">
        <v>283</v>
      </c>
      <c r="O157" s="221" t="s">
        <v>15</v>
      </c>
      <c r="P157" s="221" t="s">
        <v>15</v>
      </c>
      <c r="Q157" s="221" t="s">
        <v>15</v>
      </c>
      <c r="R157" s="221" t="s">
        <v>283</v>
      </c>
      <c r="S157" s="221" t="s">
        <v>283</v>
      </c>
      <c r="T157" s="221" t="s">
        <v>283</v>
      </c>
      <c r="U157" s="221" t="s">
        <v>283</v>
      </c>
      <c r="V157" s="221" t="s">
        <v>283</v>
      </c>
      <c r="W157" s="222" t="s">
        <v>283</v>
      </c>
      <c r="X157" s="222" t="s">
        <v>283</v>
      </c>
      <c r="Y157" s="223" t="s">
        <v>283</v>
      </c>
    </row>
    <row r="158" spans="1:25">
      <c r="A158" s="217">
        <v>3</v>
      </c>
      <c r="B158" s="218" t="str">
        <f>VLOOKUP(Tabel10[[#This Row],[Code]],Ruimtegroepen[[Code]:[Ruimte omschrijving]],2,FALSE)</f>
        <v>Reproruimte</v>
      </c>
      <c r="C158" s="219" t="s">
        <v>410</v>
      </c>
      <c r="D158" s="218" t="s">
        <v>27</v>
      </c>
      <c r="E158" s="219" t="s">
        <v>99</v>
      </c>
      <c r="F158" s="219" t="s">
        <v>412</v>
      </c>
      <c r="G158" s="224" t="s">
        <v>283</v>
      </c>
      <c r="H158" s="220" t="s">
        <v>15</v>
      </c>
      <c r="I158" s="220" t="s">
        <v>283</v>
      </c>
      <c r="J158" s="220" t="s">
        <v>283</v>
      </c>
      <c r="K158" s="220" t="s">
        <v>283</v>
      </c>
      <c r="L158" s="220" t="s">
        <v>283</v>
      </c>
      <c r="M158" s="220" t="s">
        <v>283</v>
      </c>
      <c r="N158" s="220" t="s">
        <v>283</v>
      </c>
      <c r="O158" s="221" t="s">
        <v>15</v>
      </c>
      <c r="P158" s="221" t="s">
        <v>15</v>
      </c>
      <c r="Q158" s="221" t="s">
        <v>15</v>
      </c>
      <c r="R158" s="221" t="s">
        <v>283</v>
      </c>
      <c r="S158" s="221" t="s">
        <v>283</v>
      </c>
      <c r="T158" s="221" t="s">
        <v>283</v>
      </c>
      <c r="U158" s="221" t="s">
        <v>283</v>
      </c>
      <c r="V158" s="221" t="s">
        <v>283</v>
      </c>
      <c r="W158" s="222" t="s">
        <v>283</v>
      </c>
      <c r="X158" s="222" t="s">
        <v>283</v>
      </c>
      <c r="Y158" s="223" t="s">
        <v>283</v>
      </c>
    </row>
    <row r="159" spans="1:25">
      <c r="A159" s="217">
        <v>3</v>
      </c>
      <c r="B159" s="218" t="str">
        <f>VLOOKUP(Tabel10[[#This Row],[Code]],Ruimtegroepen[[Code]:[Ruimte omschrijving]],2,FALSE)</f>
        <v>Reproruimte</v>
      </c>
      <c r="C159" s="219" t="s">
        <v>410</v>
      </c>
      <c r="D159" s="218" t="s">
        <v>27</v>
      </c>
      <c r="E159" s="219" t="s">
        <v>1313</v>
      </c>
      <c r="F159" s="219" t="s">
        <v>1380</v>
      </c>
      <c r="G159" s="224" t="s">
        <v>283</v>
      </c>
      <c r="H159" s="220" t="s">
        <v>283</v>
      </c>
      <c r="I159" s="220" t="s">
        <v>283</v>
      </c>
      <c r="J159" s="220" t="s">
        <v>15</v>
      </c>
      <c r="K159" s="220" t="s">
        <v>283</v>
      </c>
      <c r="L159" s="220" t="s">
        <v>283</v>
      </c>
      <c r="M159" s="220" t="s">
        <v>283</v>
      </c>
      <c r="N159" s="220" t="s">
        <v>283</v>
      </c>
      <c r="O159" s="221" t="s">
        <v>15</v>
      </c>
      <c r="P159" s="221" t="s">
        <v>15</v>
      </c>
      <c r="Q159" s="221" t="s">
        <v>15</v>
      </c>
      <c r="R159" s="221" t="s">
        <v>283</v>
      </c>
      <c r="S159" s="221" t="s">
        <v>283</v>
      </c>
      <c r="T159" s="221" t="s">
        <v>283</v>
      </c>
      <c r="U159" s="221" t="s">
        <v>283</v>
      </c>
      <c r="V159" s="221" t="s">
        <v>283</v>
      </c>
      <c r="W159" s="222" t="s">
        <v>283</v>
      </c>
      <c r="X159" s="222" t="s">
        <v>283</v>
      </c>
      <c r="Y159" s="223" t="s">
        <v>283</v>
      </c>
    </row>
    <row r="160" spans="1:25">
      <c r="A160" s="217">
        <v>3</v>
      </c>
      <c r="B160" s="218" t="str">
        <f>VLOOKUP(Tabel10[[#This Row],[Code]],Ruimtegroepen[[Code]:[Ruimte omschrijving]],2,FALSE)</f>
        <v>Reproruimte</v>
      </c>
      <c r="C160" s="219" t="s">
        <v>415</v>
      </c>
      <c r="D160" s="218" t="s">
        <v>28</v>
      </c>
      <c r="E160" s="219" t="s">
        <v>100</v>
      </c>
      <c r="F160" s="219" t="s">
        <v>416</v>
      </c>
      <c r="G160" s="224" t="s">
        <v>283</v>
      </c>
      <c r="H160" s="220" t="s">
        <v>283</v>
      </c>
      <c r="I160" s="220" t="s">
        <v>17</v>
      </c>
      <c r="J160" s="220" t="s">
        <v>283</v>
      </c>
      <c r="K160" s="220" t="s">
        <v>283</v>
      </c>
      <c r="L160" s="220" t="s">
        <v>283</v>
      </c>
      <c r="M160" s="220" t="s">
        <v>283</v>
      </c>
      <c r="N160" s="220" t="s">
        <v>283</v>
      </c>
      <c r="O160" s="221" t="s">
        <v>17</v>
      </c>
      <c r="P160" s="221" t="s">
        <v>17</v>
      </c>
      <c r="Q160" s="221" t="s">
        <v>15</v>
      </c>
      <c r="R160" s="221" t="s">
        <v>283</v>
      </c>
      <c r="S160" s="221" t="s">
        <v>283</v>
      </c>
      <c r="T160" s="221" t="s">
        <v>283</v>
      </c>
      <c r="U160" s="221" t="s">
        <v>283</v>
      </c>
      <c r="V160" s="221" t="s">
        <v>283</v>
      </c>
      <c r="W160" s="222" t="s">
        <v>283</v>
      </c>
      <c r="X160" s="222" t="s">
        <v>283</v>
      </c>
      <c r="Y160" s="223" t="s">
        <v>283</v>
      </c>
    </row>
    <row r="161" spans="1:25">
      <c r="A161" s="217">
        <v>3</v>
      </c>
      <c r="B161" s="218" t="str">
        <f>VLOOKUP(Tabel10[[#This Row],[Code]],Ruimtegroepen[[Code]:[Ruimte omschrijving]],2,FALSE)</f>
        <v>Reproruimte</v>
      </c>
      <c r="C161" s="219" t="s">
        <v>415</v>
      </c>
      <c r="D161" s="218" t="s">
        <v>28</v>
      </c>
      <c r="E161" s="219" t="s">
        <v>99</v>
      </c>
      <c r="F161" s="219" t="s">
        <v>417</v>
      </c>
      <c r="G161" s="224" t="s">
        <v>283</v>
      </c>
      <c r="H161" s="220" t="s">
        <v>17</v>
      </c>
      <c r="I161" s="220" t="s">
        <v>283</v>
      </c>
      <c r="J161" s="220" t="s">
        <v>283</v>
      </c>
      <c r="K161" s="220" t="s">
        <v>283</v>
      </c>
      <c r="L161" s="220" t="s">
        <v>283</v>
      </c>
      <c r="M161" s="220" t="s">
        <v>283</v>
      </c>
      <c r="N161" s="220" t="s">
        <v>283</v>
      </c>
      <c r="O161" s="221" t="s">
        <v>17</v>
      </c>
      <c r="P161" s="221" t="s">
        <v>17</v>
      </c>
      <c r="Q161" s="221" t="s">
        <v>15</v>
      </c>
      <c r="R161" s="221" t="s">
        <v>283</v>
      </c>
      <c r="S161" s="221" t="s">
        <v>283</v>
      </c>
      <c r="T161" s="221" t="s">
        <v>283</v>
      </c>
      <c r="U161" s="221" t="s">
        <v>283</v>
      </c>
      <c r="V161" s="221" t="s">
        <v>283</v>
      </c>
      <c r="W161" s="222" t="s">
        <v>283</v>
      </c>
      <c r="X161" s="222" t="s">
        <v>283</v>
      </c>
      <c r="Y161" s="223" t="s">
        <v>283</v>
      </c>
    </row>
    <row r="162" spans="1:25">
      <c r="A162" s="217">
        <v>3</v>
      </c>
      <c r="B162" s="218" t="str">
        <f>VLOOKUP(Tabel10[[#This Row],[Code]],Ruimtegroepen[[Code]:[Ruimte omschrijving]],2,FALSE)</f>
        <v>Reproruimte</v>
      </c>
      <c r="C162" s="219" t="s">
        <v>415</v>
      </c>
      <c r="D162" s="218" t="s">
        <v>28</v>
      </c>
      <c r="E162" s="219" t="s">
        <v>101</v>
      </c>
      <c r="F162" s="219" t="s">
        <v>418</v>
      </c>
      <c r="G162" s="224" t="s">
        <v>283</v>
      </c>
      <c r="H162" s="220" t="s">
        <v>283</v>
      </c>
      <c r="I162" s="220" t="s">
        <v>17</v>
      </c>
      <c r="J162" s="220" t="s">
        <v>283</v>
      </c>
      <c r="K162" s="220" t="s">
        <v>283</v>
      </c>
      <c r="L162" s="220" t="s">
        <v>283</v>
      </c>
      <c r="M162" s="220" t="s">
        <v>283</v>
      </c>
      <c r="N162" s="220" t="s">
        <v>283</v>
      </c>
      <c r="O162" s="221" t="s">
        <v>17</v>
      </c>
      <c r="P162" s="221" t="s">
        <v>17</v>
      </c>
      <c r="Q162" s="221" t="s">
        <v>15</v>
      </c>
      <c r="R162" s="221" t="s">
        <v>283</v>
      </c>
      <c r="S162" s="221" t="s">
        <v>283</v>
      </c>
      <c r="T162" s="221" t="s">
        <v>283</v>
      </c>
      <c r="U162" s="221" t="s">
        <v>283</v>
      </c>
      <c r="V162" s="221" t="s">
        <v>283</v>
      </c>
      <c r="W162" s="222" t="s">
        <v>283</v>
      </c>
      <c r="X162" s="222" t="s">
        <v>283</v>
      </c>
      <c r="Y162" s="223" t="s">
        <v>283</v>
      </c>
    </row>
    <row r="163" spans="1:25">
      <c r="A163" s="217">
        <v>3</v>
      </c>
      <c r="B163" s="218" t="str">
        <f>VLOOKUP(Tabel10[[#This Row],[Code]],Ruimtegroepen[[Code]:[Ruimte omschrijving]],2,FALSE)</f>
        <v>Reproruimte</v>
      </c>
      <c r="C163" s="219" t="s">
        <v>415</v>
      </c>
      <c r="D163" s="218" t="s">
        <v>28</v>
      </c>
      <c r="E163" s="219" t="s">
        <v>102</v>
      </c>
      <c r="F163" s="219" t="s">
        <v>419</v>
      </c>
      <c r="G163" s="224" t="s">
        <v>283</v>
      </c>
      <c r="H163" s="220" t="s">
        <v>283</v>
      </c>
      <c r="I163" s="220" t="s">
        <v>17</v>
      </c>
      <c r="J163" s="220" t="s">
        <v>283</v>
      </c>
      <c r="K163" s="220" t="s">
        <v>283</v>
      </c>
      <c r="L163" s="220" t="s">
        <v>283</v>
      </c>
      <c r="M163" s="220" t="s">
        <v>283</v>
      </c>
      <c r="N163" s="220" t="s">
        <v>283</v>
      </c>
      <c r="O163" s="221" t="s">
        <v>17</v>
      </c>
      <c r="P163" s="221" t="s">
        <v>17</v>
      </c>
      <c r="Q163" s="221" t="s">
        <v>15</v>
      </c>
      <c r="R163" s="221" t="s">
        <v>283</v>
      </c>
      <c r="S163" s="221" t="s">
        <v>283</v>
      </c>
      <c r="T163" s="221" t="s">
        <v>283</v>
      </c>
      <c r="U163" s="221" t="s">
        <v>283</v>
      </c>
      <c r="V163" s="221" t="s">
        <v>283</v>
      </c>
      <c r="W163" s="222" t="s">
        <v>283</v>
      </c>
      <c r="X163" s="222" t="s">
        <v>283</v>
      </c>
      <c r="Y163" s="223" t="s">
        <v>283</v>
      </c>
    </row>
    <row r="164" spans="1:25">
      <c r="A164" s="217">
        <v>3</v>
      </c>
      <c r="B164" s="218" t="str">
        <f>VLOOKUP(Tabel10[[#This Row],[Code]],Ruimtegroepen[[Code]:[Ruimte omschrijving]],2,FALSE)</f>
        <v>Reproruimte</v>
      </c>
      <c r="C164" s="219" t="s">
        <v>415</v>
      </c>
      <c r="D164" s="218" t="s">
        <v>28</v>
      </c>
      <c r="E164" s="219" t="s">
        <v>99</v>
      </c>
      <c r="F164" s="219" t="s">
        <v>417</v>
      </c>
      <c r="G164" s="224" t="s">
        <v>283</v>
      </c>
      <c r="H164" s="220" t="s">
        <v>17</v>
      </c>
      <c r="I164" s="220" t="s">
        <v>283</v>
      </c>
      <c r="J164" s="220" t="s">
        <v>283</v>
      </c>
      <c r="K164" s="220" t="s">
        <v>283</v>
      </c>
      <c r="L164" s="220" t="s">
        <v>283</v>
      </c>
      <c r="M164" s="220" t="s">
        <v>283</v>
      </c>
      <c r="N164" s="220" t="s">
        <v>283</v>
      </c>
      <c r="O164" s="221" t="s">
        <v>17</v>
      </c>
      <c r="P164" s="221" t="s">
        <v>17</v>
      </c>
      <c r="Q164" s="221" t="s">
        <v>15</v>
      </c>
      <c r="R164" s="221" t="s">
        <v>283</v>
      </c>
      <c r="S164" s="221" t="s">
        <v>283</v>
      </c>
      <c r="T164" s="221" t="s">
        <v>283</v>
      </c>
      <c r="U164" s="221" t="s">
        <v>283</v>
      </c>
      <c r="V164" s="221" t="s">
        <v>283</v>
      </c>
      <c r="W164" s="222" t="s">
        <v>283</v>
      </c>
      <c r="X164" s="222" t="s">
        <v>283</v>
      </c>
      <c r="Y164" s="223" t="s">
        <v>283</v>
      </c>
    </row>
    <row r="165" spans="1:25">
      <c r="A165" s="217">
        <v>3</v>
      </c>
      <c r="B165" s="218" t="str">
        <f>VLOOKUP(Tabel10[[#This Row],[Code]],Ruimtegroepen[[Code]:[Ruimte omschrijving]],2,FALSE)</f>
        <v>Reproruimte</v>
      </c>
      <c r="C165" s="219" t="s">
        <v>415</v>
      </c>
      <c r="D165" s="218" t="s">
        <v>28</v>
      </c>
      <c r="E165" s="219" t="s">
        <v>1313</v>
      </c>
      <c r="F165" s="219" t="s">
        <v>1413</v>
      </c>
      <c r="G165" s="224" t="s">
        <v>283</v>
      </c>
      <c r="H165" s="220" t="s">
        <v>283</v>
      </c>
      <c r="I165" s="220" t="s">
        <v>17</v>
      </c>
      <c r="J165" s="220" t="s">
        <v>283</v>
      </c>
      <c r="K165" s="220" t="s">
        <v>283</v>
      </c>
      <c r="L165" s="220" t="s">
        <v>283</v>
      </c>
      <c r="M165" s="220" t="s">
        <v>283</v>
      </c>
      <c r="N165" s="220" t="s">
        <v>283</v>
      </c>
      <c r="O165" s="221" t="s">
        <v>17</v>
      </c>
      <c r="P165" s="221" t="s">
        <v>17</v>
      </c>
      <c r="Q165" s="221" t="s">
        <v>15</v>
      </c>
      <c r="R165" s="221" t="s">
        <v>283</v>
      </c>
      <c r="S165" s="221" t="s">
        <v>283</v>
      </c>
      <c r="T165" s="221" t="s">
        <v>283</v>
      </c>
      <c r="U165" s="221" t="s">
        <v>283</v>
      </c>
      <c r="V165" s="221" t="s">
        <v>283</v>
      </c>
      <c r="W165" s="222" t="s">
        <v>283</v>
      </c>
      <c r="X165" s="222" t="s">
        <v>283</v>
      </c>
      <c r="Y165" s="223" t="s">
        <v>283</v>
      </c>
    </row>
    <row r="166" spans="1:25">
      <c r="A166" s="217">
        <v>4</v>
      </c>
      <c r="B166" s="218" t="str">
        <f>VLOOKUP(Tabel10[[#This Row],[Code]],Ruimtegroepen[[Code]:[Ruimte omschrijving]],2,FALSE)</f>
        <v>Vergader/spreekkamers</v>
      </c>
      <c r="C166" s="219" t="s">
        <v>420</v>
      </c>
      <c r="D166" s="218" t="s">
        <v>29</v>
      </c>
      <c r="E166" s="219" t="s">
        <v>100</v>
      </c>
      <c r="F166" s="219" t="s">
        <v>421</v>
      </c>
      <c r="G166" s="224" t="s">
        <v>283</v>
      </c>
      <c r="H166" s="220" t="s">
        <v>283</v>
      </c>
      <c r="I166" s="220" t="s">
        <v>20</v>
      </c>
      <c r="J166" s="220" t="s">
        <v>15</v>
      </c>
      <c r="K166" s="220" t="s">
        <v>283</v>
      </c>
      <c r="L166" s="220" t="s">
        <v>283</v>
      </c>
      <c r="M166" s="220" t="s">
        <v>283</v>
      </c>
      <c r="N166" s="220" t="s">
        <v>2</v>
      </c>
      <c r="O166" s="221" t="s">
        <v>2</v>
      </c>
      <c r="P166" s="221" t="s">
        <v>2</v>
      </c>
      <c r="Q166" s="221" t="s">
        <v>15</v>
      </c>
      <c r="R166" s="221" t="s">
        <v>15</v>
      </c>
      <c r="S166" s="221" t="s">
        <v>16</v>
      </c>
      <c r="T166" s="221" t="s">
        <v>330</v>
      </c>
      <c r="U166" s="221" t="s">
        <v>250</v>
      </c>
      <c r="V166" s="221" t="s">
        <v>2</v>
      </c>
      <c r="W166" s="222" t="s">
        <v>283</v>
      </c>
      <c r="X166" s="222" t="s">
        <v>283</v>
      </c>
      <c r="Y166" s="223" t="s">
        <v>283</v>
      </c>
    </row>
    <row r="167" spans="1:25">
      <c r="A167" s="217">
        <v>4</v>
      </c>
      <c r="B167" s="218" t="str">
        <f>VLOOKUP(Tabel10[[#This Row],[Code]],Ruimtegroepen[[Code]:[Ruimte omschrijving]],2,FALSE)</f>
        <v>Vergader/spreekkamers</v>
      </c>
      <c r="C167" s="219" t="s">
        <v>420</v>
      </c>
      <c r="D167" s="218" t="s">
        <v>29</v>
      </c>
      <c r="E167" s="219" t="s">
        <v>99</v>
      </c>
      <c r="F167" s="219" t="s">
        <v>422</v>
      </c>
      <c r="G167" s="220" t="s">
        <v>20</v>
      </c>
      <c r="H167" s="220" t="s">
        <v>15</v>
      </c>
      <c r="I167" s="220" t="s">
        <v>283</v>
      </c>
      <c r="J167" s="220" t="s">
        <v>283</v>
      </c>
      <c r="K167" s="220" t="s">
        <v>283</v>
      </c>
      <c r="L167" s="220" t="s">
        <v>283</v>
      </c>
      <c r="M167" s="220" t="s">
        <v>283</v>
      </c>
      <c r="N167" s="220" t="s">
        <v>2</v>
      </c>
      <c r="O167" s="221" t="s">
        <v>2</v>
      </c>
      <c r="P167" s="221" t="s">
        <v>2</v>
      </c>
      <c r="Q167" s="221" t="s">
        <v>15</v>
      </c>
      <c r="R167" s="221" t="s">
        <v>15</v>
      </c>
      <c r="S167" s="221" t="s">
        <v>16</v>
      </c>
      <c r="T167" s="221" t="s">
        <v>330</v>
      </c>
      <c r="U167" s="221" t="s">
        <v>250</v>
      </c>
      <c r="V167" s="221" t="s">
        <v>2</v>
      </c>
      <c r="W167" s="222" t="s">
        <v>283</v>
      </c>
      <c r="X167" s="222" t="s">
        <v>283</v>
      </c>
      <c r="Y167" s="223" t="s">
        <v>283</v>
      </c>
    </row>
    <row r="168" spans="1:25">
      <c r="A168" s="217">
        <v>4</v>
      </c>
      <c r="B168" s="218" t="str">
        <f>VLOOKUP(Tabel10[[#This Row],[Code]],Ruimtegroepen[[Code]:[Ruimte omschrijving]],2,FALSE)</f>
        <v>Vergader/spreekkamers</v>
      </c>
      <c r="C168" s="219" t="s">
        <v>420</v>
      </c>
      <c r="D168" s="218" t="s">
        <v>29</v>
      </c>
      <c r="E168" s="219" t="s">
        <v>101</v>
      </c>
      <c r="F168" s="219" t="s">
        <v>423</v>
      </c>
      <c r="G168" s="224" t="s">
        <v>283</v>
      </c>
      <c r="H168" s="220" t="s">
        <v>283</v>
      </c>
      <c r="I168" s="220" t="s">
        <v>20</v>
      </c>
      <c r="J168" s="220" t="s">
        <v>15</v>
      </c>
      <c r="K168" s="220" t="s">
        <v>330</v>
      </c>
      <c r="L168" s="220" t="s">
        <v>283</v>
      </c>
      <c r="M168" s="220" t="s">
        <v>283</v>
      </c>
      <c r="N168" s="220" t="s">
        <v>2</v>
      </c>
      <c r="O168" s="221" t="s">
        <v>2</v>
      </c>
      <c r="P168" s="221" t="s">
        <v>2</v>
      </c>
      <c r="Q168" s="221" t="s">
        <v>15</v>
      </c>
      <c r="R168" s="221" t="s">
        <v>15</v>
      </c>
      <c r="S168" s="221" t="s">
        <v>16</v>
      </c>
      <c r="T168" s="221" t="s">
        <v>330</v>
      </c>
      <c r="U168" s="221" t="s">
        <v>250</v>
      </c>
      <c r="V168" s="221" t="s">
        <v>2</v>
      </c>
      <c r="W168" s="222" t="s">
        <v>283</v>
      </c>
      <c r="X168" s="222" t="s">
        <v>283</v>
      </c>
      <c r="Y168" s="223" t="s">
        <v>283</v>
      </c>
    </row>
    <row r="169" spans="1:25">
      <c r="A169" s="217">
        <v>4</v>
      </c>
      <c r="B169" s="218" t="str">
        <f>VLOOKUP(Tabel10[[#This Row],[Code]],Ruimtegroepen[[Code]:[Ruimte omschrijving]],2,FALSE)</f>
        <v>Vergader/spreekkamers</v>
      </c>
      <c r="C169" s="219" t="s">
        <v>420</v>
      </c>
      <c r="D169" s="218" t="s">
        <v>29</v>
      </c>
      <c r="E169" s="219" t="s">
        <v>102</v>
      </c>
      <c r="F169" s="219" t="s">
        <v>424</v>
      </c>
      <c r="G169" s="224" t="s">
        <v>283</v>
      </c>
      <c r="H169" s="220" t="s">
        <v>283</v>
      </c>
      <c r="I169" s="220" t="s">
        <v>20</v>
      </c>
      <c r="J169" s="220" t="s">
        <v>15</v>
      </c>
      <c r="K169" s="220" t="s">
        <v>330</v>
      </c>
      <c r="L169" s="220" t="s">
        <v>283</v>
      </c>
      <c r="M169" s="220" t="s">
        <v>283</v>
      </c>
      <c r="N169" s="220" t="s">
        <v>2</v>
      </c>
      <c r="O169" s="221" t="s">
        <v>2</v>
      </c>
      <c r="P169" s="221" t="s">
        <v>2</v>
      </c>
      <c r="Q169" s="221" t="s">
        <v>15</v>
      </c>
      <c r="R169" s="221" t="s">
        <v>15</v>
      </c>
      <c r="S169" s="221" t="s">
        <v>16</v>
      </c>
      <c r="T169" s="221" t="s">
        <v>330</v>
      </c>
      <c r="U169" s="221" t="s">
        <v>250</v>
      </c>
      <c r="V169" s="221" t="s">
        <v>2</v>
      </c>
      <c r="W169" s="222" t="s">
        <v>283</v>
      </c>
      <c r="X169" s="222" t="s">
        <v>283</v>
      </c>
      <c r="Y169" s="223" t="s">
        <v>283</v>
      </c>
    </row>
    <row r="170" spans="1:25">
      <c r="A170" s="217">
        <v>4</v>
      </c>
      <c r="B170" s="218" t="str">
        <f>VLOOKUP(Tabel10[[#This Row],[Code]],Ruimtegroepen[[Code]:[Ruimte omschrijving]],2,FALSE)</f>
        <v>Vergader/spreekkamers</v>
      </c>
      <c r="C170" s="219" t="s">
        <v>420</v>
      </c>
      <c r="D170" s="218" t="s">
        <v>29</v>
      </c>
      <c r="E170" s="219" t="s">
        <v>99</v>
      </c>
      <c r="F170" s="219" t="s">
        <v>422</v>
      </c>
      <c r="G170" s="220" t="s">
        <v>20</v>
      </c>
      <c r="H170" s="220" t="s">
        <v>15</v>
      </c>
      <c r="I170" s="220" t="s">
        <v>283</v>
      </c>
      <c r="J170" s="220" t="s">
        <v>283</v>
      </c>
      <c r="K170" s="220" t="s">
        <v>283</v>
      </c>
      <c r="L170" s="220" t="s">
        <v>283</v>
      </c>
      <c r="M170" s="220" t="s">
        <v>283</v>
      </c>
      <c r="N170" s="220" t="s">
        <v>2</v>
      </c>
      <c r="O170" s="221" t="s">
        <v>2</v>
      </c>
      <c r="P170" s="221" t="s">
        <v>2</v>
      </c>
      <c r="Q170" s="221" t="s">
        <v>15</v>
      </c>
      <c r="R170" s="221" t="s">
        <v>15</v>
      </c>
      <c r="S170" s="221" t="s">
        <v>16</v>
      </c>
      <c r="T170" s="221" t="s">
        <v>330</v>
      </c>
      <c r="U170" s="221" t="s">
        <v>250</v>
      </c>
      <c r="V170" s="221" t="s">
        <v>2</v>
      </c>
      <c r="W170" s="222" t="s">
        <v>283</v>
      </c>
      <c r="X170" s="222" t="s">
        <v>283</v>
      </c>
      <c r="Y170" s="223" t="s">
        <v>283</v>
      </c>
    </row>
    <row r="171" spans="1:25">
      <c r="A171" s="217">
        <v>4</v>
      </c>
      <c r="B171" s="218" t="str">
        <f>VLOOKUP(Tabel10[[#This Row],[Code]],Ruimtegroepen[[Code]:[Ruimte omschrijving]],2,FALSE)</f>
        <v>Vergader/spreekkamers</v>
      </c>
      <c r="C171" s="219" t="s">
        <v>420</v>
      </c>
      <c r="D171" s="218" t="s">
        <v>29</v>
      </c>
      <c r="E171" s="219" t="s">
        <v>1313</v>
      </c>
      <c r="F171" s="219" t="s">
        <v>1481</v>
      </c>
      <c r="G171" s="224" t="s">
        <v>283</v>
      </c>
      <c r="H171" s="220" t="s">
        <v>283</v>
      </c>
      <c r="I171" s="220" t="s">
        <v>20</v>
      </c>
      <c r="J171" s="220" t="s">
        <v>15</v>
      </c>
      <c r="K171" s="220" t="s">
        <v>330</v>
      </c>
      <c r="L171" s="220" t="s">
        <v>283</v>
      </c>
      <c r="M171" s="220" t="s">
        <v>283</v>
      </c>
      <c r="N171" s="220" t="s">
        <v>2</v>
      </c>
      <c r="O171" s="221" t="s">
        <v>2</v>
      </c>
      <c r="P171" s="221" t="s">
        <v>2</v>
      </c>
      <c r="Q171" s="221" t="s">
        <v>15</v>
      </c>
      <c r="R171" s="221" t="s">
        <v>15</v>
      </c>
      <c r="S171" s="221" t="s">
        <v>16</v>
      </c>
      <c r="T171" s="221" t="s">
        <v>330</v>
      </c>
      <c r="U171" s="221" t="s">
        <v>250</v>
      </c>
      <c r="V171" s="221" t="s">
        <v>2</v>
      </c>
      <c r="W171" s="222" t="s">
        <v>283</v>
      </c>
      <c r="X171" s="222" t="s">
        <v>283</v>
      </c>
      <c r="Y171" s="223" t="s">
        <v>283</v>
      </c>
    </row>
    <row r="172" spans="1:25">
      <c r="A172" s="217">
        <v>4</v>
      </c>
      <c r="B172" s="218" t="str">
        <f>VLOOKUP(Tabel10[[#This Row],[Code]],Ruimtegroepen[[Code]:[Ruimte omschrijving]],2,FALSE)</f>
        <v>Vergader/spreekkamers</v>
      </c>
      <c r="C172" s="219" t="s">
        <v>425</v>
      </c>
      <c r="D172" s="218" t="s">
        <v>1</v>
      </c>
      <c r="E172" s="219" t="s">
        <v>100</v>
      </c>
      <c r="F172" s="219" t="s">
        <v>426</v>
      </c>
      <c r="G172" s="224" t="s">
        <v>283</v>
      </c>
      <c r="H172" s="220" t="s">
        <v>283</v>
      </c>
      <c r="I172" s="220" t="s">
        <v>20</v>
      </c>
      <c r="J172" s="220" t="s">
        <v>15</v>
      </c>
      <c r="K172" s="220" t="s">
        <v>283</v>
      </c>
      <c r="L172" s="220" t="s">
        <v>283</v>
      </c>
      <c r="M172" s="220" t="s">
        <v>283</v>
      </c>
      <c r="N172" s="220" t="s">
        <v>283</v>
      </c>
      <c r="O172" s="221" t="s">
        <v>2</v>
      </c>
      <c r="P172" s="221" t="s">
        <v>2</v>
      </c>
      <c r="Q172" s="221" t="s">
        <v>15</v>
      </c>
      <c r="R172" s="221" t="s">
        <v>15</v>
      </c>
      <c r="S172" s="221" t="s">
        <v>16</v>
      </c>
      <c r="T172" s="221" t="s">
        <v>330</v>
      </c>
      <c r="U172" s="221" t="s">
        <v>250</v>
      </c>
      <c r="V172" s="221" t="s">
        <v>283</v>
      </c>
      <c r="W172" s="222" t="s">
        <v>283</v>
      </c>
      <c r="X172" s="222" t="s">
        <v>283</v>
      </c>
      <c r="Y172" s="223" t="s">
        <v>283</v>
      </c>
    </row>
    <row r="173" spans="1:25">
      <c r="A173" s="217">
        <v>4</v>
      </c>
      <c r="B173" s="218" t="str">
        <f>VLOOKUP(Tabel10[[#This Row],[Code]],Ruimtegroepen[[Code]:[Ruimte omschrijving]],2,FALSE)</f>
        <v>Vergader/spreekkamers</v>
      </c>
      <c r="C173" s="219" t="s">
        <v>425</v>
      </c>
      <c r="D173" s="218" t="s">
        <v>1</v>
      </c>
      <c r="E173" s="219" t="s">
        <v>99</v>
      </c>
      <c r="F173" s="219" t="s">
        <v>427</v>
      </c>
      <c r="G173" s="220" t="s">
        <v>20</v>
      </c>
      <c r="H173" s="220" t="s">
        <v>15</v>
      </c>
      <c r="I173" s="220" t="s">
        <v>283</v>
      </c>
      <c r="J173" s="220" t="s">
        <v>283</v>
      </c>
      <c r="K173" s="220" t="s">
        <v>283</v>
      </c>
      <c r="L173" s="220" t="s">
        <v>283</v>
      </c>
      <c r="M173" s="220" t="s">
        <v>283</v>
      </c>
      <c r="N173" s="220" t="s">
        <v>283</v>
      </c>
      <c r="O173" s="221" t="s">
        <v>2</v>
      </c>
      <c r="P173" s="221" t="s">
        <v>2</v>
      </c>
      <c r="Q173" s="221" t="s">
        <v>15</v>
      </c>
      <c r="R173" s="221" t="s">
        <v>15</v>
      </c>
      <c r="S173" s="221" t="s">
        <v>16</v>
      </c>
      <c r="T173" s="221" t="s">
        <v>330</v>
      </c>
      <c r="U173" s="221" t="s">
        <v>250</v>
      </c>
      <c r="V173" s="221" t="s">
        <v>283</v>
      </c>
      <c r="W173" s="222" t="s">
        <v>283</v>
      </c>
      <c r="X173" s="222" t="s">
        <v>283</v>
      </c>
      <c r="Y173" s="223" t="s">
        <v>283</v>
      </c>
    </row>
    <row r="174" spans="1:25">
      <c r="A174" s="217">
        <v>4</v>
      </c>
      <c r="B174" s="218" t="str">
        <f>VLOOKUP(Tabel10[[#This Row],[Code]],Ruimtegroepen[[Code]:[Ruimte omschrijving]],2,FALSE)</f>
        <v>Vergader/spreekkamers</v>
      </c>
      <c r="C174" s="219" t="s">
        <v>425</v>
      </c>
      <c r="D174" s="218" t="s">
        <v>1</v>
      </c>
      <c r="E174" s="219" t="s">
        <v>101</v>
      </c>
      <c r="F174" s="219" t="s">
        <v>428</v>
      </c>
      <c r="G174" s="224" t="s">
        <v>283</v>
      </c>
      <c r="H174" s="220" t="s">
        <v>283</v>
      </c>
      <c r="I174" s="220" t="s">
        <v>20</v>
      </c>
      <c r="J174" s="220" t="s">
        <v>15</v>
      </c>
      <c r="K174" s="220" t="s">
        <v>330</v>
      </c>
      <c r="L174" s="220" t="s">
        <v>283</v>
      </c>
      <c r="M174" s="220" t="s">
        <v>283</v>
      </c>
      <c r="N174" s="220" t="s">
        <v>283</v>
      </c>
      <c r="O174" s="221" t="s">
        <v>2</v>
      </c>
      <c r="P174" s="221" t="s">
        <v>2</v>
      </c>
      <c r="Q174" s="221" t="s">
        <v>15</v>
      </c>
      <c r="R174" s="221" t="s">
        <v>15</v>
      </c>
      <c r="S174" s="221" t="s">
        <v>16</v>
      </c>
      <c r="T174" s="221" t="s">
        <v>330</v>
      </c>
      <c r="U174" s="221" t="s">
        <v>250</v>
      </c>
      <c r="V174" s="221" t="s">
        <v>283</v>
      </c>
      <c r="W174" s="222" t="s">
        <v>283</v>
      </c>
      <c r="X174" s="222" t="s">
        <v>283</v>
      </c>
      <c r="Y174" s="223" t="s">
        <v>283</v>
      </c>
    </row>
    <row r="175" spans="1:25">
      <c r="A175" s="217">
        <v>4</v>
      </c>
      <c r="B175" s="218" t="str">
        <f>VLOOKUP(Tabel10[[#This Row],[Code]],Ruimtegroepen[[Code]:[Ruimte omschrijving]],2,FALSE)</f>
        <v>Vergader/spreekkamers</v>
      </c>
      <c r="C175" s="219" t="s">
        <v>425</v>
      </c>
      <c r="D175" s="218" t="s">
        <v>1</v>
      </c>
      <c r="E175" s="219" t="s">
        <v>102</v>
      </c>
      <c r="F175" s="219" t="s">
        <v>429</v>
      </c>
      <c r="G175" s="224" t="s">
        <v>283</v>
      </c>
      <c r="H175" s="220" t="s">
        <v>283</v>
      </c>
      <c r="I175" s="220" t="s">
        <v>20</v>
      </c>
      <c r="J175" s="220" t="s">
        <v>15</v>
      </c>
      <c r="K175" s="220" t="s">
        <v>330</v>
      </c>
      <c r="L175" s="220" t="s">
        <v>283</v>
      </c>
      <c r="M175" s="220" t="s">
        <v>283</v>
      </c>
      <c r="N175" s="220" t="s">
        <v>283</v>
      </c>
      <c r="O175" s="221" t="s">
        <v>2</v>
      </c>
      <c r="P175" s="221" t="s">
        <v>2</v>
      </c>
      <c r="Q175" s="221" t="s">
        <v>15</v>
      </c>
      <c r="R175" s="221" t="s">
        <v>15</v>
      </c>
      <c r="S175" s="221" t="s">
        <v>16</v>
      </c>
      <c r="T175" s="221" t="s">
        <v>330</v>
      </c>
      <c r="U175" s="221" t="s">
        <v>250</v>
      </c>
      <c r="V175" s="221" t="s">
        <v>283</v>
      </c>
      <c r="W175" s="222" t="s">
        <v>283</v>
      </c>
      <c r="X175" s="222" t="s">
        <v>283</v>
      </c>
      <c r="Y175" s="223" t="s">
        <v>283</v>
      </c>
    </row>
    <row r="176" spans="1:25">
      <c r="A176" s="217">
        <v>4</v>
      </c>
      <c r="B176" s="218" t="str">
        <f>VLOOKUP(Tabel10[[#This Row],[Code]],Ruimtegroepen[[Code]:[Ruimte omschrijving]],2,FALSE)</f>
        <v>Vergader/spreekkamers</v>
      </c>
      <c r="C176" s="219" t="s">
        <v>425</v>
      </c>
      <c r="D176" s="218" t="s">
        <v>1</v>
      </c>
      <c r="E176" s="219" t="s">
        <v>99</v>
      </c>
      <c r="F176" s="219" t="s">
        <v>427</v>
      </c>
      <c r="G176" s="220" t="s">
        <v>20</v>
      </c>
      <c r="H176" s="220" t="s">
        <v>15</v>
      </c>
      <c r="I176" s="220" t="s">
        <v>283</v>
      </c>
      <c r="J176" s="220" t="s">
        <v>283</v>
      </c>
      <c r="K176" s="220" t="s">
        <v>283</v>
      </c>
      <c r="L176" s="220" t="s">
        <v>283</v>
      </c>
      <c r="M176" s="220" t="s">
        <v>283</v>
      </c>
      <c r="N176" s="220" t="s">
        <v>283</v>
      </c>
      <c r="O176" s="221" t="s">
        <v>2</v>
      </c>
      <c r="P176" s="221" t="s">
        <v>2</v>
      </c>
      <c r="Q176" s="221" t="s">
        <v>15</v>
      </c>
      <c r="R176" s="221" t="s">
        <v>15</v>
      </c>
      <c r="S176" s="221" t="s">
        <v>16</v>
      </c>
      <c r="T176" s="221" t="s">
        <v>330</v>
      </c>
      <c r="U176" s="221" t="s">
        <v>250</v>
      </c>
      <c r="V176" s="221" t="s">
        <v>283</v>
      </c>
      <c r="W176" s="222" t="s">
        <v>283</v>
      </c>
      <c r="X176" s="222" t="s">
        <v>283</v>
      </c>
      <c r="Y176" s="223" t="s">
        <v>283</v>
      </c>
    </row>
    <row r="177" spans="1:25">
      <c r="A177" s="217">
        <v>4</v>
      </c>
      <c r="B177" s="218" t="str">
        <f>VLOOKUP(Tabel10[[#This Row],[Code]],Ruimtegroepen[[Code]:[Ruimte omschrijving]],2,FALSE)</f>
        <v>Vergader/spreekkamers</v>
      </c>
      <c r="C177" s="219" t="s">
        <v>425</v>
      </c>
      <c r="D177" s="218" t="s">
        <v>1</v>
      </c>
      <c r="E177" s="219" t="s">
        <v>1313</v>
      </c>
      <c r="F177" s="219" t="s">
        <v>1466</v>
      </c>
      <c r="G177" s="224" t="s">
        <v>283</v>
      </c>
      <c r="H177" s="220" t="s">
        <v>283</v>
      </c>
      <c r="I177" s="220" t="s">
        <v>20</v>
      </c>
      <c r="J177" s="220" t="s">
        <v>15</v>
      </c>
      <c r="K177" s="220" t="s">
        <v>330</v>
      </c>
      <c r="L177" s="220" t="s">
        <v>283</v>
      </c>
      <c r="M177" s="220" t="s">
        <v>283</v>
      </c>
      <c r="N177" s="220" t="s">
        <v>283</v>
      </c>
      <c r="O177" s="221" t="s">
        <v>2</v>
      </c>
      <c r="P177" s="221" t="s">
        <v>2</v>
      </c>
      <c r="Q177" s="221" t="s">
        <v>15</v>
      </c>
      <c r="R177" s="221" t="s">
        <v>15</v>
      </c>
      <c r="S177" s="221" t="s">
        <v>16</v>
      </c>
      <c r="T177" s="221" t="s">
        <v>330</v>
      </c>
      <c r="U177" s="221" t="s">
        <v>250</v>
      </c>
      <c r="V177" s="221" t="s">
        <v>283</v>
      </c>
      <c r="W177" s="222" t="s">
        <v>283</v>
      </c>
      <c r="X177" s="222" t="s">
        <v>283</v>
      </c>
      <c r="Y177" s="223" t="s">
        <v>283</v>
      </c>
    </row>
    <row r="178" spans="1:25">
      <c r="A178" s="217">
        <v>4</v>
      </c>
      <c r="B178" s="218" t="str">
        <f>VLOOKUP(Tabel10[[#This Row],[Code]],Ruimtegroepen[[Code]:[Ruimte omschrijving]],2,FALSE)</f>
        <v>Vergader/spreekkamers</v>
      </c>
      <c r="C178" s="219" t="s">
        <v>430</v>
      </c>
      <c r="D178" s="218" t="s">
        <v>21</v>
      </c>
      <c r="E178" s="219" t="s">
        <v>100</v>
      </c>
      <c r="F178" s="219" t="s">
        <v>431</v>
      </c>
      <c r="G178" s="224" t="s">
        <v>283</v>
      </c>
      <c r="H178" s="220" t="s">
        <v>283</v>
      </c>
      <c r="I178" s="220" t="s">
        <v>18</v>
      </c>
      <c r="J178" s="220" t="s">
        <v>15</v>
      </c>
      <c r="K178" s="220" t="s">
        <v>283</v>
      </c>
      <c r="L178" s="220" t="s">
        <v>283</v>
      </c>
      <c r="M178" s="220" t="s">
        <v>283</v>
      </c>
      <c r="N178" s="220" t="s">
        <v>283</v>
      </c>
      <c r="O178" s="221" t="s">
        <v>20</v>
      </c>
      <c r="P178" s="221" t="s">
        <v>20</v>
      </c>
      <c r="Q178" s="221" t="s">
        <v>15</v>
      </c>
      <c r="R178" s="221" t="s">
        <v>15</v>
      </c>
      <c r="S178" s="221" t="s">
        <v>16</v>
      </c>
      <c r="T178" s="221" t="s">
        <v>330</v>
      </c>
      <c r="U178" s="221" t="s">
        <v>250</v>
      </c>
      <c r="V178" s="221" t="s">
        <v>283</v>
      </c>
      <c r="W178" s="222" t="s">
        <v>283</v>
      </c>
      <c r="X178" s="222" t="s">
        <v>283</v>
      </c>
      <c r="Y178" s="223" t="s">
        <v>283</v>
      </c>
    </row>
    <row r="179" spans="1:25">
      <c r="A179" s="217">
        <v>4</v>
      </c>
      <c r="B179" s="218" t="str">
        <f>VLOOKUP(Tabel10[[#This Row],[Code]],Ruimtegroepen[[Code]:[Ruimte omschrijving]],2,FALSE)</f>
        <v>Vergader/spreekkamers</v>
      </c>
      <c r="C179" s="219" t="s">
        <v>430</v>
      </c>
      <c r="D179" s="218" t="s">
        <v>21</v>
      </c>
      <c r="E179" s="219" t="s">
        <v>99</v>
      </c>
      <c r="F179" s="219" t="s">
        <v>432</v>
      </c>
      <c r="G179" s="220" t="s">
        <v>18</v>
      </c>
      <c r="H179" s="220" t="s">
        <v>15</v>
      </c>
      <c r="I179" s="220" t="s">
        <v>283</v>
      </c>
      <c r="J179" s="220" t="s">
        <v>283</v>
      </c>
      <c r="K179" s="220" t="s">
        <v>283</v>
      </c>
      <c r="L179" s="220" t="s">
        <v>283</v>
      </c>
      <c r="M179" s="220" t="s">
        <v>283</v>
      </c>
      <c r="N179" s="220" t="s">
        <v>283</v>
      </c>
      <c r="O179" s="221" t="s">
        <v>20</v>
      </c>
      <c r="P179" s="221" t="s">
        <v>20</v>
      </c>
      <c r="Q179" s="221" t="s">
        <v>15</v>
      </c>
      <c r="R179" s="221" t="s">
        <v>15</v>
      </c>
      <c r="S179" s="221" t="s">
        <v>16</v>
      </c>
      <c r="T179" s="221" t="s">
        <v>330</v>
      </c>
      <c r="U179" s="221" t="s">
        <v>250</v>
      </c>
      <c r="V179" s="221" t="s">
        <v>283</v>
      </c>
      <c r="W179" s="222" t="s">
        <v>283</v>
      </c>
      <c r="X179" s="222" t="s">
        <v>283</v>
      </c>
      <c r="Y179" s="223" t="s">
        <v>283</v>
      </c>
    </row>
    <row r="180" spans="1:25">
      <c r="A180" s="217">
        <v>4</v>
      </c>
      <c r="B180" s="218" t="str">
        <f>VLOOKUP(Tabel10[[#This Row],[Code]],Ruimtegroepen[[Code]:[Ruimte omschrijving]],2,FALSE)</f>
        <v>Vergader/spreekkamers</v>
      </c>
      <c r="C180" s="219" t="s">
        <v>430</v>
      </c>
      <c r="D180" s="218" t="s">
        <v>21</v>
      </c>
      <c r="E180" s="219" t="s">
        <v>101</v>
      </c>
      <c r="F180" s="219" t="s">
        <v>433</v>
      </c>
      <c r="G180" s="224" t="s">
        <v>283</v>
      </c>
      <c r="H180" s="220" t="s">
        <v>283</v>
      </c>
      <c r="I180" s="220" t="s">
        <v>18</v>
      </c>
      <c r="J180" s="220" t="s">
        <v>15</v>
      </c>
      <c r="K180" s="220" t="s">
        <v>330</v>
      </c>
      <c r="L180" s="220" t="s">
        <v>283</v>
      </c>
      <c r="M180" s="220" t="s">
        <v>283</v>
      </c>
      <c r="N180" s="220" t="s">
        <v>283</v>
      </c>
      <c r="O180" s="221" t="s">
        <v>20</v>
      </c>
      <c r="P180" s="221" t="s">
        <v>20</v>
      </c>
      <c r="Q180" s="221" t="s">
        <v>15</v>
      </c>
      <c r="R180" s="221" t="s">
        <v>15</v>
      </c>
      <c r="S180" s="221" t="s">
        <v>16</v>
      </c>
      <c r="T180" s="221" t="s">
        <v>330</v>
      </c>
      <c r="U180" s="221" t="s">
        <v>250</v>
      </c>
      <c r="V180" s="221" t="s">
        <v>283</v>
      </c>
      <c r="W180" s="222" t="s">
        <v>283</v>
      </c>
      <c r="X180" s="222" t="s">
        <v>283</v>
      </c>
      <c r="Y180" s="223" t="s">
        <v>283</v>
      </c>
    </row>
    <row r="181" spans="1:25">
      <c r="A181" s="217">
        <v>4</v>
      </c>
      <c r="B181" s="218" t="str">
        <f>VLOOKUP(Tabel10[[#This Row],[Code]],Ruimtegroepen[[Code]:[Ruimte omschrijving]],2,FALSE)</f>
        <v>Vergader/spreekkamers</v>
      </c>
      <c r="C181" s="219" t="s">
        <v>430</v>
      </c>
      <c r="D181" s="218" t="s">
        <v>21</v>
      </c>
      <c r="E181" s="219" t="s">
        <v>102</v>
      </c>
      <c r="F181" s="219" t="s">
        <v>434</v>
      </c>
      <c r="G181" s="224" t="s">
        <v>283</v>
      </c>
      <c r="H181" s="220" t="s">
        <v>283</v>
      </c>
      <c r="I181" s="220" t="s">
        <v>18</v>
      </c>
      <c r="J181" s="220" t="s">
        <v>15</v>
      </c>
      <c r="K181" s="220" t="s">
        <v>330</v>
      </c>
      <c r="L181" s="220" t="s">
        <v>283</v>
      </c>
      <c r="M181" s="220" t="s">
        <v>283</v>
      </c>
      <c r="N181" s="220" t="s">
        <v>283</v>
      </c>
      <c r="O181" s="221" t="s">
        <v>20</v>
      </c>
      <c r="P181" s="221" t="s">
        <v>20</v>
      </c>
      <c r="Q181" s="221" t="s">
        <v>15</v>
      </c>
      <c r="R181" s="221" t="s">
        <v>15</v>
      </c>
      <c r="S181" s="221" t="s">
        <v>16</v>
      </c>
      <c r="T181" s="221" t="s">
        <v>330</v>
      </c>
      <c r="U181" s="221" t="s">
        <v>250</v>
      </c>
      <c r="V181" s="221" t="s">
        <v>283</v>
      </c>
      <c r="W181" s="222" t="s">
        <v>283</v>
      </c>
      <c r="X181" s="222" t="s">
        <v>283</v>
      </c>
      <c r="Y181" s="223" t="s">
        <v>283</v>
      </c>
    </row>
    <row r="182" spans="1:25">
      <c r="A182" s="217">
        <v>4</v>
      </c>
      <c r="B182" s="218" t="str">
        <f>VLOOKUP(Tabel10[[#This Row],[Code]],Ruimtegroepen[[Code]:[Ruimte omschrijving]],2,FALSE)</f>
        <v>Vergader/spreekkamers</v>
      </c>
      <c r="C182" s="219" t="s">
        <v>430</v>
      </c>
      <c r="D182" s="218" t="s">
        <v>21</v>
      </c>
      <c r="E182" s="219" t="s">
        <v>99</v>
      </c>
      <c r="F182" s="219" t="s">
        <v>432</v>
      </c>
      <c r="G182" s="220" t="s">
        <v>18</v>
      </c>
      <c r="H182" s="220" t="s">
        <v>15</v>
      </c>
      <c r="I182" s="220" t="s">
        <v>283</v>
      </c>
      <c r="J182" s="220" t="s">
        <v>283</v>
      </c>
      <c r="K182" s="220" t="s">
        <v>283</v>
      </c>
      <c r="L182" s="220" t="s">
        <v>283</v>
      </c>
      <c r="M182" s="220" t="s">
        <v>283</v>
      </c>
      <c r="N182" s="220" t="s">
        <v>283</v>
      </c>
      <c r="O182" s="221" t="s">
        <v>20</v>
      </c>
      <c r="P182" s="221" t="s">
        <v>20</v>
      </c>
      <c r="Q182" s="221" t="s">
        <v>15</v>
      </c>
      <c r="R182" s="221" t="s">
        <v>15</v>
      </c>
      <c r="S182" s="221" t="s">
        <v>16</v>
      </c>
      <c r="T182" s="221" t="s">
        <v>330</v>
      </c>
      <c r="U182" s="221" t="s">
        <v>250</v>
      </c>
      <c r="V182" s="221" t="s">
        <v>283</v>
      </c>
      <c r="W182" s="222" t="s">
        <v>283</v>
      </c>
      <c r="X182" s="222" t="s">
        <v>283</v>
      </c>
      <c r="Y182" s="223" t="s">
        <v>283</v>
      </c>
    </row>
    <row r="183" spans="1:25">
      <c r="A183" s="217">
        <v>4</v>
      </c>
      <c r="B183" s="218" t="str">
        <f>VLOOKUP(Tabel10[[#This Row],[Code]],Ruimtegroepen[[Code]:[Ruimte omschrijving]],2,FALSE)</f>
        <v>Vergader/spreekkamers</v>
      </c>
      <c r="C183" s="219" t="s">
        <v>430</v>
      </c>
      <c r="D183" s="218" t="s">
        <v>21</v>
      </c>
      <c r="E183" s="219" t="s">
        <v>1313</v>
      </c>
      <c r="F183" s="219" t="s">
        <v>1447</v>
      </c>
      <c r="G183" s="224" t="s">
        <v>283</v>
      </c>
      <c r="H183" s="220" t="s">
        <v>283</v>
      </c>
      <c r="I183" s="220" t="s">
        <v>18</v>
      </c>
      <c r="J183" s="220" t="s">
        <v>15</v>
      </c>
      <c r="K183" s="220" t="s">
        <v>330</v>
      </c>
      <c r="L183" s="220" t="s">
        <v>283</v>
      </c>
      <c r="M183" s="220" t="s">
        <v>283</v>
      </c>
      <c r="N183" s="220" t="s">
        <v>283</v>
      </c>
      <c r="O183" s="221" t="s">
        <v>20</v>
      </c>
      <c r="P183" s="221" t="s">
        <v>20</v>
      </c>
      <c r="Q183" s="221" t="s">
        <v>15</v>
      </c>
      <c r="R183" s="221" t="s">
        <v>15</v>
      </c>
      <c r="S183" s="221" t="s">
        <v>16</v>
      </c>
      <c r="T183" s="221" t="s">
        <v>330</v>
      </c>
      <c r="U183" s="221" t="s">
        <v>250</v>
      </c>
      <c r="V183" s="221" t="s">
        <v>283</v>
      </c>
      <c r="W183" s="222" t="s">
        <v>283</v>
      </c>
      <c r="X183" s="222" t="s">
        <v>283</v>
      </c>
      <c r="Y183" s="223" t="s">
        <v>283</v>
      </c>
    </row>
    <row r="184" spans="1:25">
      <c r="A184" s="217">
        <v>4</v>
      </c>
      <c r="B184" s="218" t="str">
        <f>VLOOKUP(Tabel10[[#This Row],[Code]],Ruimtegroepen[[Code]:[Ruimte omschrijving]],2,FALSE)</f>
        <v>Vergader/spreekkamers</v>
      </c>
      <c r="C184" s="219" t="s">
        <v>435</v>
      </c>
      <c r="D184" s="218" t="s">
        <v>12</v>
      </c>
      <c r="E184" s="219" t="s">
        <v>100</v>
      </c>
      <c r="F184" s="219" t="s">
        <v>436</v>
      </c>
      <c r="G184" s="224" t="s">
        <v>283</v>
      </c>
      <c r="H184" s="220" t="s">
        <v>283</v>
      </c>
      <c r="I184" s="220" t="s">
        <v>17</v>
      </c>
      <c r="J184" s="220" t="s">
        <v>15</v>
      </c>
      <c r="K184" s="220" t="s">
        <v>283</v>
      </c>
      <c r="L184" s="220" t="s">
        <v>283</v>
      </c>
      <c r="M184" s="220" t="s">
        <v>283</v>
      </c>
      <c r="N184" s="220" t="s">
        <v>283</v>
      </c>
      <c r="O184" s="221" t="s">
        <v>18</v>
      </c>
      <c r="P184" s="221" t="s">
        <v>18</v>
      </c>
      <c r="Q184" s="221" t="s">
        <v>15</v>
      </c>
      <c r="R184" s="221" t="s">
        <v>15</v>
      </c>
      <c r="S184" s="221" t="s">
        <v>16</v>
      </c>
      <c r="T184" s="221" t="s">
        <v>330</v>
      </c>
      <c r="U184" s="221" t="s">
        <v>250</v>
      </c>
      <c r="V184" s="221" t="s">
        <v>283</v>
      </c>
      <c r="W184" s="222" t="s">
        <v>283</v>
      </c>
      <c r="X184" s="222" t="s">
        <v>283</v>
      </c>
      <c r="Y184" s="223" t="s">
        <v>283</v>
      </c>
    </row>
    <row r="185" spans="1:25">
      <c r="A185" s="217">
        <v>4</v>
      </c>
      <c r="B185" s="218" t="str">
        <f>VLOOKUP(Tabel10[[#This Row],[Code]],Ruimtegroepen[[Code]:[Ruimte omschrijving]],2,FALSE)</f>
        <v>Vergader/spreekkamers</v>
      </c>
      <c r="C185" s="219" t="s">
        <v>435</v>
      </c>
      <c r="D185" s="218" t="s">
        <v>12</v>
      </c>
      <c r="E185" s="219" t="s">
        <v>99</v>
      </c>
      <c r="F185" s="219" t="s">
        <v>437</v>
      </c>
      <c r="G185" s="220" t="s">
        <v>17</v>
      </c>
      <c r="H185" s="220" t="s">
        <v>15</v>
      </c>
      <c r="I185" s="220" t="s">
        <v>283</v>
      </c>
      <c r="J185" s="220" t="s">
        <v>283</v>
      </c>
      <c r="K185" s="220" t="s">
        <v>283</v>
      </c>
      <c r="L185" s="220" t="s">
        <v>283</v>
      </c>
      <c r="M185" s="220" t="s">
        <v>283</v>
      </c>
      <c r="N185" s="220" t="s">
        <v>283</v>
      </c>
      <c r="O185" s="221" t="s">
        <v>18</v>
      </c>
      <c r="P185" s="221" t="s">
        <v>18</v>
      </c>
      <c r="Q185" s="221" t="s">
        <v>15</v>
      </c>
      <c r="R185" s="221" t="s">
        <v>15</v>
      </c>
      <c r="S185" s="221" t="s">
        <v>16</v>
      </c>
      <c r="T185" s="221" t="s">
        <v>330</v>
      </c>
      <c r="U185" s="221" t="s">
        <v>250</v>
      </c>
      <c r="V185" s="221" t="s">
        <v>283</v>
      </c>
      <c r="W185" s="222" t="s">
        <v>283</v>
      </c>
      <c r="X185" s="222" t="s">
        <v>283</v>
      </c>
      <c r="Y185" s="223" t="s">
        <v>283</v>
      </c>
    </row>
    <row r="186" spans="1:25">
      <c r="A186" s="217">
        <v>4</v>
      </c>
      <c r="B186" s="218" t="str">
        <f>VLOOKUP(Tabel10[[#This Row],[Code]],Ruimtegroepen[[Code]:[Ruimte omschrijving]],2,FALSE)</f>
        <v>Vergader/spreekkamers</v>
      </c>
      <c r="C186" s="219" t="s">
        <v>435</v>
      </c>
      <c r="D186" s="218" t="s">
        <v>12</v>
      </c>
      <c r="E186" s="219" t="s">
        <v>101</v>
      </c>
      <c r="F186" s="219" t="s">
        <v>438</v>
      </c>
      <c r="G186" s="224" t="s">
        <v>283</v>
      </c>
      <c r="H186" s="220" t="s">
        <v>283</v>
      </c>
      <c r="I186" s="220" t="s">
        <v>17</v>
      </c>
      <c r="J186" s="220" t="s">
        <v>15</v>
      </c>
      <c r="K186" s="220" t="s">
        <v>330</v>
      </c>
      <c r="L186" s="220" t="s">
        <v>283</v>
      </c>
      <c r="M186" s="220" t="s">
        <v>283</v>
      </c>
      <c r="N186" s="220" t="s">
        <v>283</v>
      </c>
      <c r="O186" s="221" t="s">
        <v>18</v>
      </c>
      <c r="P186" s="221" t="s">
        <v>18</v>
      </c>
      <c r="Q186" s="221" t="s">
        <v>15</v>
      </c>
      <c r="R186" s="221" t="s">
        <v>15</v>
      </c>
      <c r="S186" s="221" t="s">
        <v>16</v>
      </c>
      <c r="T186" s="221" t="s">
        <v>330</v>
      </c>
      <c r="U186" s="221" t="s">
        <v>250</v>
      </c>
      <c r="V186" s="221" t="s">
        <v>283</v>
      </c>
      <c r="W186" s="222" t="s">
        <v>283</v>
      </c>
      <c r="X186" s="222" t="s">
        <v>283</v>
      </c>
      <c r="Y186" s="223" t="s">
        <v>283</v>
      </c>
    </row>
    <row r="187" spans="1:25">
      <c r="A187" s="217">
        <v>4</v>
      </c>
      <c r="B187" s="218" t="str">
        <f>VLOOKUP(Tabel10[[#This Row],[Code]],Ruimtegroepen[[Code]:[Ruimte omschrijving]],2,FALSE)</f>
        <v>Vergader/spreekkamers</v>
      </c>
      <c r="C187" s="219" t="s">
        <v>435</v>
      </c>
      <c r="D187" s="218" t="s">
        <v>12</v>
      </c>
      <c r="E187" s="219" t="s">
        <v>102</v>
      </c>
      <c r="F187" s="219" t="s">
        <v>439</v>
      </c>
      <c r="G187" s="224" t="s">
        <v>283</v>
      </c>
      <c r="H187" s="220" t="s">
        <v>283</v>
      </c>
      <c r="I187" s="220" t="s">
        <v>17</v>
      </c>
      <c r="J187" s="220" t="s">
        <v>15</v>
      </c>
      <c r="K187" s="220" t="s">
        <v>330</v>
      </c>
      <c r="L187" s="220" t="s">
        <v>283</v>
      </c>
      <c r="M187" s="220" t="s">
        <v>283</v>
      </c>
      <c r="N187" s="220" t="s">
        <v>283</v>
      </c>
      <c r="O187" s="221" t="s">
        <v>18</v>
      </c>
      <c r="P187" s="221" t="s">
        <v>18</v>
      </c>
      <c r="Q187" s="221" t="s">
        <v>15</v>
      </c>
      <c r="R187" s="221" t="s">
        <v>15</v>
      </c>
      <c r="S187" s="221" t="s">
        <v>16</v>
      </c>
      <c r="T187" s="221" t="s">
        <v>330</v>
      </c>
      <c r="U187" s="221" t="s">
        <v>250</v>
      </c>
      <c r="V187" s="221" t="s">
        <v>283</v>
      </c>
      <c r="W187" s="222" t="s">
        <v>283</v>
      </c>
      <c r="X187" s="222" t="s">
        <v>283</v>
      </c>
      <c r="Y187" s="223" t="s">
        <v>283</v>
      </c>
    </row>
    <row r="188" spans="1:25">
      <c r="A188" s="217">
        <v>4</v>
      </c>
      <c r="B188" s="218" t="str">
        <f>VLOOKUP(Tabel10[[#This Row],[Code]],Ruimtegroepen[[Code]:[Ruimte omschrijving]],2,FALSE)</f>
        <v>Vergader/spreekkamers</v>
      </c>
      <c r="C188" s="219" t="s">
        <v>435</v>
      </c>
      <c r="D188" s="218" t="s">
        <v>12</v>
      </c>
      <c r="E188" s="219" t="s">
        <v>99</v>
      </c>
      <c r="F188" s="219" t="s">
        <v>437</v>
      </c>
      <c r="G188" s="220" t="s">
        <v>17</v>
      </c>
      <c r="H188" s="220" t="s">
        <v>15</v>
      </c>
      <c r="I188" s="220" t="s">
        <v>283</v>
      </c>
      <c r="J188" s="220" t="s">
        <v>283</v>
      </c>
      <c r="K188" s="220" t="s">
        <v>283</v>
      </c>
      <c r="L188" s="220" t="s">
        <v>283</v>
      </c>
      <c r="M188" s="220" t="s">
        <v>283</v>
      </c>
      <c r="N188" s="220" t="s">
        <v>283</v>
      </c>
      <c r="O188" s="221" t="s">
        <v>18</v>
      </c>
      <c r="P188" s="221" t="s">
        <v>18</v>
      </c>
      <c r="Q188" s="221" t="s">
        <v>15</v>
      </c>
      <c r="R188" s="221" t="s">
        <v>15</v>
      </c>
      <c r="S188" s="221" t="s">
        <v>16</v>
      </c>
      <c r="T188" s="221" t="s">
        <v>330</v>
      </c>
      <c r="U188" s="221" t="s">
        <v>250</v>
      </c>
      <c r="V188" s="221" t="s">
        <v>283</v>
      </c>
      <c r="W188" s="222" t="s">
        <v>283</v>
      </c>
      <c r="X188" s="222" t="s">
        <v>283</v>
      </c>
      <c r="Y188" s="223" t="s">
        <v>283</v>
      </c>
    </row>
    <row r="189" spans="1:25">
      <c r="A189" s="217">
        <v>4</v>
      </c>
      <c r="B189" s="218" t="str">
        <f>VLOOKUP(Tabel10[[#This Row],[Code]],Ruimtegroepen[[Code]:[Ruimte omschrijving]],2,FALSE)</f>
        <v>Vergader/spreekkamers</v>
      </c>
      <c r="C189" s="219" t="s">
        <v>435</v>
      </c>
      <c r="D189" s="218" t="s">
        <v>12</v>
      </c>
      <c r="E189" s="219" t="s">
        <v>1313</v>
      </c>
      <c r="F189" s="219" t="s">
        <v>1430</v>
      </c>
      <c r="G189" s="224" t="s">
        <v>283</v>
      </c>
      <c r="H189" s="220" t="s">
        <v>283</v>
      </c>
      <c r="I189" s="220" t="s">
        <v>17</v>
      </c>
      <c r="J189" s="220" t="s">
        <v>15</v>
      </c>
      <c r="K189" s="220" t="s">
        <v>330</v>
      </c>
      <c r="L189" s="220" t="s">
        <v>283</v>
      </c>
      <c r="M189" s="220" t="s">
        <v>283</v>
      </c>
      <c r="N189" s="220" t="s">
        <v>283</v>
      </c>
      <c r="O189" s="221" t="s">
        <v>18</v>
      </c>
      <c r="P189" s="221" t="s">
        <v>18</v>
      </c>
      <c r="Q189" s="221" t="s">
        <v>15</v>
      </c>
      <c r="R189" s="221" t="s">
        <v>15</v>
      </c>
      <c r="S189" s="221" t="s">
        <v>16</v>
      </c>
      <c r="T189" s="221" t="s">
        <v>330</v>
      </c>
      <c r="U189" s="221" t="s">
        <v>250</v>
      </c>
      <c r="V189" s="221" t="s">
        <v>283</v>
      </c>
      <c r="W189" s="222" t="s">
        <v>283</v>
      </c>
      <c r="X189" s="222" t="s">
        <v>283</v>
      </c>
      <c r="Y189" s="223" t="s">
        <v>283</v>
      </c>
    </row>
    <row r="190" spans="1:25">
      <c r="A190" s="217">
        <v>4</v>
      </c>
      <c r="B190" s="218" t="str">
        <f>VLOOKUP(Tabel10[[#This Row],[Code]],Ruimtegroepen[[Code]:[Ruimte omschrijving]],2,FALSE)</f>
        <v>Vergader/spreekkamers</v>
      </c>
      <c r="C190" s="219" t="s">
        <v>440</v>
      </c>
      <c r="D190" s="218" t="s">
        <v>14</v>
      </c>
      <c r="E190" s="219" t="s">
        <v>100</v>
      </c>
      <c r="F190" s="219" t="s">
        <v>441</v>
      </c>
      <c r="G190" s="224" t="s">
        <v>283</v>
      </c>
      <c r="H190" s="220" t="s">
        <v>283</v>
      </c>
      <c r="I190" s="220" t="s">
        <v>15</v>
      </c>
      <c r="J190" s="220" t="s">
        <v>15</v>
      </c>
      <c r="K190" s="220" t="s">
        <v>283</v>
      </c>
      <c r="L190" s="220" t="s">
        <v>283</v>
      </c>
      <c r="M190" s="220" t="s">
        <v>283</v>
      </c>
      <c r="N190" s="220" t="s">
        <v>283</v>
      </c>
      <c r="O190" s="221" t="s">
        <v>17</v>
      </c>
      <c r="P190" s="221" t="s">
        <v>17</v>
      </c>
      <c r="Q190" s="221" t="s">
        <v>15</v>
      </c>
      <c r="R190" s="221" t="s">
        <v>15</v>
      </c>
      <c r="S190" s="221" t="s">
        <v>16</v>
      </c>
      <c r="T190" s="221" t="s">
        <v>330</v>
      </c>
      <c r="U190" s="221" t="s">
        <v>250</v>
      </c>
      <c r="V190" s="221" t="s">
        <v>283</v>
      </c>
      <c r="W190" s="222" t="s">
        <v>283</v>
      </c>
      <c r="X190" s="222" t="s">
        <v>283</v>
      </c>
      <c r="Y190" s="223" t="s">
        <v>283</v>
      </c>
    </row>
    <row r="191" spans="1:25">
      <c r="A191" s="217">
        <v>4</v>
      </c>
      <c r="B191" s="218" t="str">
        <f>VLOOKUP(Tabel10[[#This Row],[Code]],Ruimtegroepen[[Code]:[Ruimte omschrijving]],2,FALSE)</f>
        <v>Vergader/spreekkamers</v>
      </c>
      <c r="C191" s="219" t="s">
        <v>440</v>
      </c>
      <c r="D191" s="218" t="s">
        <v>14</v>
      </c>
      <c r="E191" s="219" t="s">
        <v>99</v>
      </c>
      <c r="F191" s="219" t="s">
        <v>442</v>
      </c>
      <c r="G191" s="220" t="s">
        <v>15</v>
      </c>
      <c r="H191" s="220" t="s">
        <v>15</v>
      </c>
      <c r="I191" s="220" t="s">
        <v>283</v>
      </c>
      <c r="J191" s="220" t="s">
        <v>283</v>
      </c>
      <c r="K191" s="220" t="s">
        <v>283</v>
      </c>
      <c r="L191" s="220" t="s">
        <v>283</v>
      </c>
      <c r="M191" s="220" t="s">
        <v>283</v>
      </c>
      <c r="N191" s="220" t="s">
        <v>283</v>
      </c>
      <c r="O191" s="221" t="s">
        <v>17</v>
      </c>
      <c r="P191" s="221" t="s">
        <v>17</v>
      </c>
      <c r="Q191" s="221" t="s">
        <v>15</v>
      </c>
      <c r="R191" s="221" t="s">
        <v>15</v>
      </c>
      <c r="S191" s="221" t="s">
        <v>16</v>
      </c>
      <c r="T191" s="221" t="s">
        <v>330</v>
      </c>
      <c r="U191" s="221" t="s">
        <v>250</v>
      </c>
      <c r="V191" s="221" t="s">
        <v>283</v>
      </c>
      <c r="W191" s="222" t="s">
        <v>283</v>
      </c>
      <c r="X191" s="222" t="s">
        <v>283</v>
      </c>
      <c r="Y191" s="223" t="s">
        <v>283</v>
      </c>
    </row>
    <row r="192" spans="1:25">
      <c r="A192" s="217">
        <v>4</v>
      </c>
      <c r="B192" s="218" t="str">
        <f>VLOOKUP(Tabel10[[#This Row],[Code]],Ruimtegroepen[[Code]:[Ruimte omschrijving]],2,FALSE)</f>
        <v>Vergader/spreekkamers</v>
      </c>
      <c r="C192" s="219" t="s">
        <v>440</v>
      </c>
      <c r="D192" s="218" t="s">
        <v>14</v>
      </c>
      <c r="E192" s="219" t="s">
        <v>101</v>
      </c>
      <c r="F192" s="219" t="s">
        <v>443</v>
      </c>
      <c r="G192" s="224" t="s">
        <v>283</v>
      </c>
      <c r="H192" s="220" t="s">
        <v>283</v>
      </c>
      <c r="I192" s="220" t="s">
        <v>15</v>
      </c>
      <c r="J192" s="220" t="s">
        <v>15</v>
      </c>
      <c r="K192" s="220" t="s">
        <v>330</v>
      </c>
      <c r="L192" s="220" t="s">
        <v>283</v>
      </c>
      <c r="M192" s="220" t="s">
        <v>283</v>
      </c>
      <c r="N192" s="220" t="s">
        <v>283</v>
      </c>
      <c r="O192" s="221" t="s">
        <v>17</v>
      </c>
      <c r="P192" s="221" t="s">
        <v>17</v>
      </c>
      <c r="Q192" s="221" t="s">
        <v>15</v>
      </c>
      <c r="R192" s="221" t="s">
        <v>15</v>
      </c>
      <c r="S192" s="221" t="s">
        <v>16</v>
      </c>
      <c r="T192" s="221" t="s">
        <v>330</v>
      </c>
      <c r="U192" s="221" t="s">
        <v>250</v>
      </c>
      <c r="V192" s="221" t="s">
        <v>283</v>
      </c>
      <c r="W192" s="222" t="s">
        <v>283</v>
      </c>
      <c r="X192" s="222" t="s">
        <v>283</v>
      </c>
      <c r="Y192" s="223" t="s">
        <v>283</v>
      </c>
    </row>
    <row r="193" spans="1:25">
      <c r="A193" s="217">
        <v>4</v>
      </c>
      <c r="B193" s="218" t="str">
        <f>VLOOKUP(Tabel10[[#This Row],[Code]],Ruimtegroepen[[Code]:[Ruimte omschrijving]],2,FALSE)</f>
        <v>Vergader/spreekkamers</v>
      </c>
      <c r="C193" s="219" t="s">
        <v>440</v>
      </c>
      <c r="D193" s="218" t="s">
        <v>14</v>
      </c>
      <c r="E193" s="219" t="s">
        <v>102</v>
      </c>
      <c r="F193" s="219" t="s">
        <v>444</v>
      </c>
      <c r="G193" s="224" t="s">
        <v>283</v>
      </c>
      <c r="H193" s="220" t="s">
        <v>283</v>
      </c>
      <c r="I193" s="220" t="s">
        <v>15</v>
      </c>
      <c r="J193" s="220" t="s">
        <v>15</v>
      </c>
      <c r="K193" s="220" t="s">
        <v>330</v>
      </c>
      <c r="L193" s="220" t="s">
        <v>283</v>
      </c>
      <c r="M193" s="220" t="s">
        <v>283</v>
      </c>
      <c r="N193" s="220" t="s">
        <v>283</v>
      </c>
      <c r="O193" s="221" t="s">
        <v>17</v>
      </c>
      <c r="P193" s="221" t="s">
        <v>17</v>
      </c>
      <c r="Q193" s="221" t="s">
        <v>15</v>
      </c>
      <c r="R193" s="221" t="s">
        <v>15</v>
      </c>
      <c r="S193" s="221" t="s">
        <v>16</v>
      </c>
      <c r="T193" s="221" t="s">
        <v>330</v>
      </c>
      <c r="U193" s="221" t="s">
        <v>250</v>
      </c>
      <c r="V193" s="221" t="s">
        <v>283</v>
      </c>
      <c r="W193" s="222" t="s">
        <v>283</v>
      </c>
      <c r="X193" s="222" t="s">
        <v>283</v>
      </c>
      <c r="Y193" s="223" t="s">
        <v>283</v>
      </c>
    </row>
    <row r="194" spans="1:25">
      <c r="A194" s="217">
        <v>4</v>
      </c>
      <c r="B194" s="218" t="str">
        <f>VLOOKUP(Tabel10[[#This Row],[Code]],Ruimtegroepen[[Code]:[Ruimte omschrijving]],2,FALSE)</f>
        <v>Vergader/spreekkamers</v>
      </c>
      <c r="C194" s="219" t="s">
        <v>440</v>
      </c>
      <c r="D194" s="218" t="s">
        <v>14</v>
      </c>
      <c r="E194" s="219" t="s">
        <v>99</v>
      </c>
      <c r="F194" s="219" t="s">
        <v>442</v>
      </c>
      <c r="G194" s="220" t="s">
        <v>15</v>
      </c>
      <c r="H194" s="220" t="s">
        <v>15</v>
      </c>
      <c r="I194" s="220" t="s">
        <v>283</v>
      </c>
      <c r="J194" s="220" t="s">
        <v>283</v>
      </c>
      <c r="K194" s="220" t="s">
        <v>283</v>
      </c>
      <c r="L194" s="220" t="s">
        <v>283</v>
      </c>
      <c r="M194" s="220" t="s">
        <v>283</v>
      </c>
      <c r="N194" s="220" t="s">
        <v>283</v>
      </c>
      <c r="O194" s="221" t="s">
        <v>17</v>
      </c>
      <c r="P194" s="221" t="s">
        <v>17</v>
      </c>
      <c r="Q194" s="221" t="s">
        <v>15</v>
      </c>
      <c r="R194" s="221" t="s">
        <v>15</v>
      </c>
      <c r="S194" s="221" t="s">
        <v>16</v>
      </c>
      <c r="T194" s="221" t="s">
        <v>330</v>
      </c>
      <c r="U194" s="221" t="s">
        <v>250</v>
      </c>
      <c r="V194" s="221" t="s">
        <v>283</v>
      </c>
      <c r="W194" s="222" t="s">
        <v>283</v>
      </c>
      <c r="X194" s="222" t="s">
        <v>283</v>
      </c>
      <c r="Y194" s="223" t="s">
        <v>283</v>
      </c>
    </row>
    <row r="195" spans="1:25">
      <c r="A195" s="217">
        <v>4</v>
      </c>
      <c r="B195" s="218" t="str">
        <f>VLOOKUP(Tabel10[[#This Row],[Code]],Ruimtegroepen[[Code]:[Ruimte omschrijving]],2,FALSE)</f>
        <v>Vergader/spreekkamers</v>
      </c>
      <c r="C195" s="219" t="s">
        <v>440</v>
      </c>
      <c r="D195" s="218" t="s">
        <v>14</v>
      </c>
      <c r="E195" s="219" t="s">
        <v>1313</v>
      </c>
      <c r="F195" s="219" t="s">
        <v>1397</v>
      </c>
      <c r="G195" s="224" t="s">
        <v>283</v>
      </c>
      <c r="H195" s="220" t="s">
        <v>283</v>
      </c>
      <c r="I195" s="220" t="s">
        <v>15</v>
      </c>
      <c r="J195" s="220" t="s">
        <v>15</v>
      </c>
      <c r="K195" s="220" t="s">
        <v>330</v>
      </c>
      <c r="L195" s="220" t="s">
        <v>283</v>
      </c>
      <c r="M195" s="220" t="s">
        <v>283</v>
      </c>
      <c r="N195" s="220" t="s">
        <v>283</v>
      </c>
      <c r="O195" s="221" t="s">
        <v>17</v>
      </c>
      <c r="P195" s="221" t="s">
        <v>17</v>
      </c>
      <c r="Q195" s="221" t="s">
        <v>15</v>
      </c>
      <c r="R195" s="221" t="s">
        <v>15</v>
      </c>
      <c r="S195" s="221" t="s">
        <v>16</v>
      </c>
      <c r="T195" s="221" t="s">
        <v>330</v>
      </c>
      <c r="U195" s="221" t="s">
        <v>250</v>
      </c>
      <c r="V195" s="221" t="s">
        <v>283</v>
      </c>
      <c r="W195" s="222" t="s">
        <v>283</v>
      </c>
      <c r="X195" s="222" t="s">
        <v>283</v>
      </c>
      <c r="Y195" s="223" t="s">
        <v>283</v>
      </c>
    </row>
    <row r="196" spans="1:25">
      <c r="A196" s="217">
        <v>4</v>
      </c>
      <c r="B196" s="218" t="str">
        <f>VLOOKUP(Tabel10[[#This Row],[Code]],Ruimtegroepen[[Code]:[Ruimte omschrijving]],2,FALSE)</f>
        <v>Vergader/spreekkamers</v>
      </c>
      <c r="C196" s="219" t="s">
        <v>445</v>
      </c>
      <c r="D196" s="218" t="s">
        <v>13</v>
      </c>
      <c r="E196" s="219" t="s">
        <v>100</v>
      </c>
      <c r="F196" s="219" t="s">
        <v>446</v>
      </c>
      <c r="G196" s="224" t="s">
        <v>283</v>
      </c>
      <c r="H196" s="220" t="s">
        <v>283</v>
      </c>
      <c r="I196" s="220" t="s">
        <v>283</v>
      </c>
      <c r="J196" s="220" t="s">
        <v>15</v>
      </c>
      <c r="K196" s="220" t="s">
        <v>283</v>
      </c>
      <c r="L196" s="220" t="s">
        <v>283</v>
      </c>
      <c r="M196" s="220" t="s">
        <v>283</v>
      </c>
      <c r="N196" s="220" t="s">
        <v>283</v>
      </c>
      <c r="O196" s="221" t="s">
        <v>15</v>
      </c>
      <c r="P196" s="221" t="s">
        <v>15</v>
      </c>
      <c r="Q196" s="221" t="s">
        <v>15</v>
      </c>
      <c r="R196" s="221" t="s">
        <v>15</v>
      </c>
      <c r="S196" s="221" t="s">
        <v>16</v>
      </c>
      <c r="T196" s="221" t="s">
        <v>330</v>
      </c>
      <c r="U196" s="221" t="s">
        <v>250</v>
      </c>
      <c r="V196" s="221" t="s">
        <v>283</v>
      </c>
      <c r="W196" s="222" t="s">
        <v>283</v>
      </c>
      <c r="X196" s="222" t="s">
        <v>283</v>
      </c>
      <c r="Y196" s="223" t="s">
        <v>283</v>
      </c>
    </row>
    <row r="197" spans="1:25">
      <c r="A197" s="217">
        <v>4</v>
      </c>
      <c r="B197" s="218" t="str">
        <f>VLOOKUP(Tabel10[[#This Row],[Code]],Ruimtegroepen[[Code]:[Ruimte omschrijving]],2,FALSE)</f>
        <v>Vergader/spreekkamers</v>
      </c>
      <c r="C197" s="219" t="s">
        <v>445</v>
      </c>
      <c r="D197" s="218" t="s">
        <v>13</v>
      </c>
      <c r="E197" s="219" t="s">
        <v>99</v>
      </c>
      <c r="F197" s="219" t="s">
        <v>447</v>
      </c>
      <c r="G197" s="224" t="s">
        <v>283</v>
      </c>
      <c r="H197" s="220" t="s">
        <v>15</v>
      </c>
      <c r="I197" s="220" t="s">
        <v>283</v>
      </c>
      <c r="J197" s="220" t="s">
        <v>283</v>
      </c>
      <c r="K197" s="220" t="s">
        <v>283</v>
      </c>
      <c r="L197" s="220" t="s">
        <v>283</v>
      </c>
      <c r="M197" s="220" t="s">
        <v>283</v>
      </c>
      <c r="N197" s="220" t="s">
        <v>283</v>
      </c>
      <c r="O197" s="221" t="s">
        <v>15</v>
      </c>
      <c r="P197" s="221" t="s">
        <v>15</v>
      </c>
      <c r="Q197" s="221" t="s">
        <v>15</v>
      </c>
      <c r="R197" s="221" t="s">
        <v>15</v>
      </c>
      <c r="S197" s="221" t="s">
        <v>16</v>
      </c>
      <c r="T197" s="221" t="s">
        <v>330</v>
      </c>
      <c r="U197" s="221" t="s">
        <v>250</v>
      </c>
      <c r="V197" s="221" t="s">
        <v>283</v>
      </c>
      <c r="W197" s="222" t="s">
        <v>283</v>
      </c>
      <c r="X197" s="222" t="s">
        <v>283</v>
      </c>
      <c r="Y197" s="223" t="s">
        <v>283</v>
      </c>
    </row>
    <row r="198" spans="1:25">
      <c r="A198" s="217">
        <v>4</v>
      </c>
      <c r="B198" s="218" t="str">
        <f>VLOOKUP(Tabel10[[#This Row],[Code]],Ruimtegroepen[[Code]:[Ruimte omschrijving]],2,FALSE)</f>
        <v>Vergader/spreekkamers</v>
      </c>
      <c r="C198" s="219" t="s">
        <v>445</v>
      </c>
      <c r="D198" s="218" t="s">
        <v>13</v>
      </c>
      <c r="E198" s="219" t="s">
        <v>101</v>
      </c>
      <c r="F198" s="219" t="s">
        <v>448</v>
      </c>
      <c r="G198" s="224" t="s">
        <v>283</v>
      </c>
      <c r="H198" s="220" t="s">
        <v>283</v>
      </c>
      <c r="I198" s="220" t="s">
        <v>283</v>
      </c>
      <c r="J198" s="220" t="s">
        <v>15</v>
      </c>
      <c r="K198" s="220" t="s">
        <v>330</v>
      </c>
      <c r="L198" s="220" t="s">
        <v>283</v>
      </c>
      <c r="M198" s="220" t="s">
        <v>283</v>
      </c>
      <c r="N198" s="220" t="s">
        <v>283</v>
      </c>
      <c r="O198" s="221" t="s">
        <v>15</v>
      </c>
      <c r="P198" s="221" t="s">
        <v>15</v>
      </c>
      <c r="Q198" s="221" t="s">
        <v>15</v>
      </c>
      <c r="R198" s="221" t="s">
        <v>15</v>
      </c>
      <c r="S198" s="221" t="s">
        <v>16</v>
      </c>
      <c r="T198" s="221" t="s">
        <v>330</v>
      </c>
      <c r="U198" s="221" t="s">
        <v>250</v>
      </c>
      <c r="V198" s="221" t="s">
        <v>283</v>
      </c>
      <c r="W198" s="222" t="s">
        <v>283</v>
      </c>
      <c r="X198" s="222" t="s">
        <v>283</v>
      </c>
      <c r="Y198" s="223" t="s">
        <v>283</v>
      </c>
    </row>
    <row r="199" spans="1:25">
      <c r="A199" s="217">
        <v>4</v>
      </c>
      <c r="B199" s="218" t="str">
        <f>VLOOKUP(Tabel10[[#This Row],[Code]],Ruimtegroepen[[Code]:[Ruimte omschrijving]],2,FALSE)</f>
        <v>Vergader/spreekkamers</v>
      </c>
      <c r="C199" s="219" t="s">
        <v>445</v>
      </c>
      <c r="D199" s="218" t="s">
        <v>13</v>
      </c>
      <c r="E199" s="219" t="s">
        <v>102</v>
      </c>
      <c r="F199" s="219" t="s">
        <v>449</v>
      </c>
      <c r="G199" s="224" t="s">
        <v>283</v>
      </c>
      <c r="H199" s="220" t="s">
        <v>283</v>
      </c>
      <c r="I199" s="220" t="s">
        <v>283</v>
      </c>
      <c r="J199" s="220" t="s">
        <v>15</v>
      </c>
      <c r="K199" s="220" t="s">
        <v>330</v>
      </c>
      <c r="L199" s="220" t="s">
        <v>283</v>
      </c>
      <c r="M199" s="220" t="s">
        <v>283</v>
      </c>
      <c r="N199" s="220" t="s">
        <v>283</v>
      </c>
      <c r="O199" s="221" t="s">
        <v>15</v>
      </c>
      <c r="P199" s="221" t="s">
        <v>15</v>
      </c>
      <c r="Q199" s="221" t="s">
        <v>15</v>
      </c>
      <c r="R199" s="221" t="s">
        <v>15</v>
      </c>
      <c r="S199" s="221" t="s">
        <v>16</v>
      </c>
      <c r="T199" s="221" t="s">
        <v>330</v>
      </c>
      <c r="U199" s="221" t="s">
        <v>250</v>
      </c>
      <c r="V199" s="221" t="s">
        <v>283</v>
      </c>
      <c r="W199" s="222" t="s">
        <v>283</v>
      </c>
      <c r="X199" s="222" t="s">
        <v>283</v>
      </c>
      <c r="Y199" s="223" t="s">
        <v>283</v>
      </c>
    </row>
    <row r="200" spans="1:25">
      <c r="A200" s="217">
        <v>4</v>
      </c>
      <c r="B200" s="218" t="str">
        <f>VLOOKUP(Tabel10[[#This Row],[Code]],Ruimtegroepen[[Code]:[Ruimte omschrijving]],2,FALSE)</f>
        <v>Vergader/spreekkamers</v>
      </c>
      <c r="C200" s="219" t="s">
        <v>445</v>
      </c>
      <c r="D200" s="218" t="s">
        <v>13</v>
      </c>
      <c r="E200" s="219" t="s">
        <v>99</v>
      </c>
      <c r="F200" s="219" t="s">
        <v>447</v>
      </c>
      <c r="G200" s="224" t="s">
        <v>283</v>
      </c>
      <c r="H200" s="220" t="s">
        <v>15</v>
      </c>
      <c r="I200" s="220" t="s">
        <v>283</v>
      </c>
      <c r="J200" s="220" t="s">
        <v>283</v>
      </c>
      <c r="K200" s="220" t="s">
        <v>283</v>
      </c>
      <c r="L200" s="220" t="s">
        <v>283</v>
      </c>
      <c r="M200" s="220" t="s">
        <v>283</v>
      </c>
      <c r="N200" s="220" t="s">
        <v>283</v>
      </c>
      <c r="O200" s="221" t="s">
        <v>15</v>
      </c>
      <c r="P200" s="221" t="s">
        <v>15</v>
      </c>
      <c r="Q200" s="221" t="s">
        <v>15</v>
      </c>
      <c r="R200" s="221" t="s">
        <v>15</v>
      </c>
      <c r="S200" s="221" t="s">
        <v>16</v>
      </c>
      <c r="T200" s="221" t="s">
        <v>330</v>
      </c>
      <c r="U200" s="221" t="s">
        <v>250</v>
      </c>
      <c r="V200" s="221" t="s">
        <v>283</v>
      </c>
      <c r="W200" s="222" t="s">
        <v>283</v>
      </c>
      <c r="X200" s="222" t="s">
        <v>283</v>
      </c>
      <c r="Y200" s="223" t="s">
        <v>283</v>
      </c>
    </row>
    <row r="201" spans="1:25">
      <c r="A201" s="217">
        <v>4</v>
      </c>
      <c r="B201" s="218" t="str">
        <f>VLOOKUP(Tabel10[[#This Row],[Code]],Ruimtegroepen[[Code]:[Ruimte omschrijving]],2,FALSE)</f>
        <v>Vergader/spreekkamers</v>
      </c>
      <c r="C201" s="219" t="s">
        <v>445</v>
      </c>
      <c r="D201" s="218" t="s">
        <v>13</v>
      </c>
      <c r="E201" s="219" t="s">
        <v>1313</v>
      </c>
      <c r="F201" s="219" t="s">
        <v>1364</v>
      </c>
      <c r="G201" s="224" t="s">
        <v>283</v>
      </c>
      <c r="H201" s="220" t="s">
        <v>283</v>
      </c>
      <c r="I201" s="220" t="s">
        <v>283</v>
      </c>
      <c r="J201" s="220" t="s">
        <v>15</v>
      </c>
      <c r="K201" s="220" t="s">
        <v>330</v>
      </c>
      <c r="L201" s="220" t="s">
        <v>283</v>
      </c>
      <c r="M201" s="220" t="s">
        <v>283</v>
      </c>
      <c r="N201" s="220" t="s">
        <v>283</v>
      </c>
      <c r="O201" s="221" t="s">
        <v>15</v>
      </c>
      <c r="P201" s="221" t="s">
        <v>15</v>
      </c>
      <c r="Q201" s="221" t="s">
        <v>15</v>
      </c>
      <c r="R201" s="221" t="s">
        <v>15</v>
      </c>
      <c r="S201" s="221" t="s">
        <v>16</v>
      </c>
      <c r="T201" s="221" t="s">
        <v>330</v>
      </c>
      <c r="U201" s="221" t="s">
        <v>250</v>
      </c>
      <c r="V201" s="221" t="s">
        <v>283</v>
      </c>
      <c r="W201" s="222" t="s">
        <v>283</v>
      </c>
      <c r="X201" s="222" t="s">
        <v>283</v>
      </c>
      <c r="Y201" s="223" t="s">
        <v>283</v>
      </c>
    </row>
    <row r="202" spans="1:25">
      <c r="A202" s="217">
        <v>4</v>
      </c>
      <c r="B202" s="218" t="str">
        <f>VLOOKUP(Tabel10[[#This Row],[Code]],Ruimtegroepen[[Code]:[Ruimte omschrijving]],2,FALSE)</f>
        <v>Vergader/spreekkamers</v>
      </c>
      <c r="C202" s="219" t="s">
        <v>450</v>
      </c>
      <c r="D202" s="218" t="s">
        <v>0</v>
      </c>
      <c r="E202" s="219" t="s">
        <v>100</v>
      </c>
      <c r="F202" s="219" t="s">
        <v>451</v>
      </c>
      <c r="G202" s="224" t="s">
        <v>283</v>
      </c>
      <c r="H202" s="220" t="s">
        <v>283</v>
      </c>
      <c r="I202" s="220" t="s">
        <v>16</v>
      </c>
      <c r="J202" s="220" t="s">
        <v>283</v>
      </c>
      <c r="K202" s="220" t="s">
        <v>283</v>
      </c>
      <c r="L202" s="220" t="s">
        <v>283</v>
      </c>
      <c r="M202" s="220" t="s">
        <v>283</v>
      </c>
      <c r="N202" s="220" t="s">
        <v>283</v>
      </c>
      <c r="O202" s="221" t="s">
        <v>16</v>
      </c>
      <c r="P202" s="221" t="s">
        <v>16</v>
      </c>
      <c r="Q202" s="221" t="s">
        <v>16</v>
      </c>
      <c r="R202" s="221" t="s">
        <v>16</v>
      </c>
      <c r="S202" s="221" t="s">
        <v>16</v>
      </c>
      <c r="T202" s="221" t="s">
        <v>330</v>
      </c>
      <c r="U202" s="221" t="s">
        <v>250</v>
      </c>
      <c r="V202" s="221" t="s">
        <v>283</v>
      </c>
      <c r="W202" s="222" t="s">
        <v>283</v>
      </c>
      <c r="X202" s="222" t="s">
        <v>283</v>
      </c>
      <c r="Y202" s="223" t="s">
        <v>283</v>
      </c>
    </row>
    <row r="203" spans="1:25">
      <c r="A203" s="217">
        <v>4</v>
      </c>
      <c r="B203" s="218" t="str">
        <f>VLOOKUP(Tabel10[[#This Row],[Code]],Ruimtegroepen[[Code]:[Ruimte omschrijving]],2,FALSE)</f>
        <v>Vergader/spreekkamers</v>
      </c>
      <c r="C203" s="219" t="s">
        <v>450</v>
      </c>
      <c r="D203" s="218" t="s">
        <v>0</v>
      </c>
      <c r="E203" s="219" t="s">
        <v>99</v>
      </c>
      <c r="F203" s="219" t="s">
        <v>452</v>
      </c>
      <c r="G203" s="224" t="s">
        <v>283</v>
      </c>
      <c r="H203" s="220" t="s">
        <v>16</v>
      </c>
      <c r="I203" s="220" t="s">
        <v>283</v>
      </c>
      <c r="J203" s="220" t="s">
        <v>283</v>
      </c>
      <c r="K203" s="220" t="s">
        <v>283</v>
      </c>
      <c r="L203" s="220" t="s">
        <v>283</v>
      </c>
      <c r="M203" s="220" t="s">
        <v>283</v>
      </c>
      <c r="N203" s="220" t="s">
        <v>283</v>
      </c>
      <c r="O203" s="221" t="s">
        <v>16</v>
      </c>
      <c r="P203" s="221" t="s">
        <v>16</v>
      </c>
      <c r="Q203" s="221" t="s">
        <v>16</v>
      </c>
      <c r="R203" s="221" t="s">
        <v>16</v>
      </c>
      <c r="S203" s="221" t="s">
        <v>16</v>
      </c>
      <c r="T203" s="221" t="s">
        <v>330</v>
      </c>
      <c r="U203" s="221" t="s">
        <v>250</v>
      </c>
      <c r="V203" s="221" t="s">
        <v>283</v>
      </c>
      <c r="W203" s="222" t="s">
        <v>283</v>
      </c>
      <c r="X203" s="222" t="s">
        <v>283</v>
      </c>
      <c r="Y203" s="223" t="s">
        <v>283</v>
      </c>
    </row>
    <row r="204" spans="1:25">
      <c r="A204" s="217">
        <v>4</v>
      </c>
      <c r="B204" s="218" t="str">
        <f>VLOOKUP(Tabel10[[#This Row],[Code]],Ruimtegroepen[[Code]:[Ruimte omschrijving]],2,FALSE)</f>
        <v>Vergader/spreekkamers</v>
      </c>
      <c r="C204" s="219" t="s">
        <v>450</v>
      </c>
      <c r="D204" s="218" t="s">
        <v>0</v>
      </c>
      <c r="E204" s="219" t="s">
        <v>101</v>
      </c>
      <c r="F204" s="219" t="s">
        <v>453</v>
      </c>
      <c r="G204" s="224" t="s">
        <v>283</v>
      </c>
      <c r="H204" s="220" t="s">
        <v>283</v>
      </c>
      <c r="I204" s="220" t="s">
        <v>283</v>
      </c>
      <c r="J204" s="220" t="s">
        <v>16</v>
      </c>
      <c r="K204" s="220" t="s">
        <v>330</v>
      </c>
      <c r="L204" s="220" t="s">
        <v>283</v>
      </c>
      <c r="M204" s="220" t="s">
        <v>283</v>
      </c>
      <c r="N204" s="220" t="s">
        <v>283</v>
      </c>
      <c r="O204" s="221" t="s">
        <v>16</v>
      </c>
      <c r="P204" s="221" t="s">
        <v>16</v>
      </c>
      <c r="Q204" s="221" t="s">
        <v>16</v>
      </c>
      <c r="R204" s="221" t="s">
        <v>16</v>
      </c>
      <c r="S204" s="221" t="s">
        <v>16</v>
      </c>
      <c r="T204" s="221" t="s">
        <v>330</v>
      </c>
      <c r="U204" s="221" t="s">
        <v>250</v>
      </c>
      <c r="V204" s="221" t="s">
        <v>283</v>
      </c>
      <c r="W204" s="222" t="s">
        <v>283</v>
      </c>
      <c r="X204" s="222" t="s">
        <v>283</v>
      </c>
      <c r="Y204" s="223" t="s">
        <v>283</v>
      </c>
    </row>
    <row r="205" spans="1:25">
      <c r="A205" s="217">
        <v>4</v>
      </c>
      <c r="B205" s="218" t="str">
        <f>VLOOKUP(Tabel10[[#This Row],[Code]],Ruimtegroepen[[Code]:[Ruimte omschrijving]],2,FALSE)</f>
        <v>Vergader/spreekkamers</v>
      </c>
      <c r="C205" s="219" t="s">
        <v>450</v>
      </c>
      <c r="D205" s="218" t="s">
        <v>0</v>
      </c>
      <c r="E205" s="219" t="s">
        <v>102</v>
      </c>
      <c r="F205" s="219" t="s">
        <v>454</v>
      </c>
      <c r="G205" s="224" t="s">
        <v>283</v>
      </c>
      <c r="H205" s="220" t="s">
        <v>283</v>
      </c>
      <c r="I205" s="220" t="s">
        <v>16</v>
      </c>
      <c r="J205" s="220" t="s">
        <v>283</v>
      </c>
      <c r="K205" s="220" t="s">
        <v>330</v>
      </c>
      <c r="L205" s="220" t="s">
        <v>283</v>
      </c>
      <c r="M205" s="220" t="s">
        <v>283</v>
      </c>
      <c r="N205" s="220" t="s">
        <v>283</v>
      </c>
      <c r="O205" s="221" t="s">
        <v>16</v>
      </c>
      <c r="P205" s="221" t="s">
        <v>16</v>
      </c>
      <c r="Q205" s="221" t="s">
        <v>16</v>
      </c>
      <c r="R205" s="221" t="s">
        <v>16</v>
      </c>
      <c r="S205" s="221" t="s">
        <v>16</v>
      </c>
      <c r="T205" s="221" t="s">
        <v>330</v>
      </c>
      <c r="U205" s="221" t="s">
        <v>250</v>
      </c>
      <c r="V205" s="221" t="s">
        <v>283</v>
      </c>
      <c r="W205" s="222" t="s">
        <v>283</v>
      </c>
      <c r="X205" s="222" t="s">
        <v>283</v>
      </c>
      <c r="Y205" s="223" t="s">
        <v>283</v>
      </c>
    </row>
    <row r="206" spans="1:25">
      <c r="A206" s="217">
        <v>4</v>
      </c>
      <c r="B206" s="218" t="str">
        <f>VLOOKUP(Tabel10[[#This Row],[Code]],Ruimtegroepen[[Code]:[Ruimte omschrijving]],2,FALSE)</f>
        <v>Vergader/spreekkamers</v>
      </c>
      <c r="C206" s="219" t="s">
        <v>450</v>
      </c>
      <c r="D206" s="218" t="s">
        <v>0</v>
      </c>
      <c r="E206" s="219" t="s">
        <v>99</v>
      </c>
      <c r="F206" s="219" t="s">
        <v>452</v>
      </c>
      <c r="G206" s="224" t="s">
        <v>283</v>
      </c>
      <c r="H206" s="220" t="s">
        <v>16</v>
      </c>
      <c r="I206" s="220" t="s">
        <v>283</v>
      </c>
      <c r="J206" s="220" t="s">
        <v>283</v>
      </c>
      <c r="K206" s="220" t="s">
        <v>283</v>
      </c>
      <c r="L206" s="220" t="s">
        <v>283</v>
      </c>
      <c r="M206" s="220" t="s">
        <v>283</v>
      </c>
      <c r="N206" s="220" t="s">
        <v>283</v>
      </c>
      <c r="O206" s="221" t="s">
        <v>16</v>
      </c>
      <c r="P206" s="221" t="s">
        <v>16</v>
      </c>
      <c r="Q206" s="221" t="s">
        <v>16</v>
      </c>
      <c r="R206" s="221" t="s">
        <v>16</v>
      </c>
      <c r="S206" s="221" t="s">
        <v>16</v>
      </c>
      <c r="T206" s="221" t="s">
        <v>330</v>
      </c>
      <c r="U206" s="221" t="s">
        <v>250</v>
      </c>
      <c r="V206" s="221" t="s">
        <v>283</v>
      </c>
      <c r="W206" s="222" t="s">
        <v>283</v>
      </c>
      <c r="X206" s="222" t="s">
        <v>283</v>
      </c>
      <c r="Y206" s="223" t="s">
        <v>283</v>
      </c>
    </row>
    <row r="207" spans="1:25">
      <c r="A207" s="217">
        <v>4</v>
      </c>
      <c r="B207" s="218" t="str">
        <f>VLOOKUP(Tabel10[[#This Row],[Code]],Ruimtegroepen[[Code]:[Ruimte omschrijving]],2,FALSE)</f>
        <v>Vergader/spreekkamers</v>
      </c>
      <c r="C207" s="219" t="s">
        <v>450</v>
      </c>
      <c r="D207" s="218" t="s">
        <v>0</v>
      </c>
      <c r="E207" s="219" t="s">
        <v>1313</v>
      </c>
      <c r="F207" s="219" t="s">
        <v>1348</v>
      </c>
      <c r="G207" s="224" t="s">
        <v>283</v>
      </c>
      <c r="H207" s="220" t="s">
        <v>283</v>
      </c>
      <c r="I207" s="220" t="s">
        <v>16</v>
      </c>
      <c r="J207" s="220" t="s">
        <v>283</v>
      </c>
      <c r="K207" s="220" t="s">
        <v>330</v>
      </c>
      <c r="L207" s="220" t="s">
        <v>283</v>
      </c>
      <c r="M207" s="220" t="s">
        <v>283</v>
      </c>
      <c r="N207" s="220" t="s">
        <v>283</v>
      </c>
      <c r="O207" s="221" t="s">
        <v>16</v>
      </c>
      <c r="P207" s="221" t="s">
        <v>16</v>
      </c>
      <c r="Q207" s="221" t="s">
        <v>16</v>
      </c>
      <c r="R207" s="221" t="s">
        <v>16</v>
      </c>
      <c r="S207" s="221" t="s">
        <v>16</v>
      </c>
      <c r="T207" s="221" t="s">
        <v>330</v>
      </c>
      <c r="U207" s="221" t="s">
        <v>250</v>
      </c>
      <c r="V207" s="221" t="s">
        <v>283</v>
      </c>
      <c r="W207" s="222" t="s">
        <v>283</v>
      </c>
      <c r="X207" s="222" t="s">
        <v>283</v>
      </c>
      <c r="Y207" s="223" t="s">
        <v>283</v>
      </c>
    </row>
    <row r="208" spans="1:25">
      <c r="A208" s="217">
        <v>4</v>
      </c>
      <c r="B208" s="218" t="str">
        <f>VLOOKUP(Tabel10[[#This Row],[Code]],Ruimtegroepen[[Code]:[Ruimte omschrijving]],2,FALSE)</f>
        <v>Vergader/spreekkamers</v>
      </c>
      <c r="C208" s="219" t="s">
        <v>455</v>
      </c>
      <c r="D208" s="218" t="s">
        <v>27</v>
      </c>
      <c r="E208" s="219" t="s">
        <v>100</v>
      </c>
      <c r="F208" s="219" t="s">
        <v>456</v>
      </c>
      <c r="G208" s="224" t="s">
        <v>283</v>
      </c>
      <c r="H208" s="220" t="s">
        <v>283</v>
      </c>
      <c r="I208" s="220" t="s">
        <v>15</v>
      </c>
      <c r="J208" s="220" t="s">
        <v>283</v>
      </c>
      <c r="K208" s="220" t="s">
        <v>283</v>
      </c>
      <c r="L208" s="220" t="s">
        <v>283</v>
      </c>
      <c r="M208" s="220" t="s">
        <v>283</v>
      </c>
      <c r="N208" s="220" t="s">
        <v>283</v>
      </c>
      <c r="O208" s="221" t="s">
        <v>15</v>
      </c>
      <c r="P208" s="221" t="s">
        <v>15</v>
      </c>
      <c r="Q208" s="221" t="s">
        <v>15</v>
      </c>
      <c r="R208" s="221" t="s">
        <v>283</v>
      </c>
      <c r="S208" s="221" t="s">
        <v>283</v>
      </c>
      <c r="T208" s="221" t="s">
        <v>283</v>
      </c>
      <c r="U208" s="221" t="s">
        <v>283</v>
      </c>
      <c r="V208" s="221" t="s">
        <v>283</v>
      </c>
      <c r="W208" s="222" t="s">
        <v>283</v>
      </c>
      <c r="X208" s="222" t="s">
        <v>283</v>
      </c>
      <c r="Y208" s="223" t="s">
        <v>283</v>
      </c>
    </row>
    <row r="209" spans="1:25">
      <c r="A209" s="217">
        <v>4</v>
      </c>
      <c r="B209" s="218" t="str">
        <f>VLOOKUP(Tabel10[[#This Row],[Code]],Ruimtegroepen[[Code]:[Ruimte omschrijving]],2,FALSE)</f>
        <v>Vergader/spreekkamers</v>
      </c>
      <c r="C209" s="219" t="s">
        <v>455</v>
      </c>
      <c r="D209" s="218" t="s">
        <v>27</v>
      </c>
      <c r="E209" s="219" t="s">
        <v>99</v>
      </c>
      <c r="F209" s="219" t="s">
        <v>457</v>
      </c>
      <c r="G209" s="224" t="s">
        <v>283</v>
      </c>
      <c r="H209" s="220" t="s">
        <v>15</v>
      </c>
      <c r="I209" s="220" t="s">
        <v>283</v>
      </c>
      <c r="J209" s="220" t="s">
        <v>283</v>
      </c>
      <c r="K209" s="220" t="s">
        <v>283</v>
      </c>
      <c r="L209" s="220" t="s">
        <v>283</v>
      </c>
      <c r="M209" s="220" t="s">
        <v>283</v>
      </c>
      <c r="N209" s="220" t="s">
        <v>283</v>
      </c>
      <c r="O209" s="221" t="s">
        <v>15</v>
      </c>
      <c r="P209" s="221" t="s">
        <v>15</v>
      </c>
      <c r="Q209" s="221" t="s">
        <v>15</v>
      </c>
      <c r="R209" s="221" t="s">
        <v>283</v>
      </c>
      <c r="S209" s="221" t="s">
        <v>283</v>
      </c>
      <c r="T209" s="221" t="s">
        <v>283</v>
      </c>
      <c r="U209" s="221" t="s">
        <v>283</v>
      </c>
      <c r="V209" s="221" t="s">
        <v>283</v>
      </c>
      <c r="W209" s="222" t="s">
        <v>283</v>
      </c>
      <c r="X209" s="222" t="s">
        <v>283</v>
      </c>
      <c r="Y209" s="223" t="s">
        <v>283</v>
      </c>
    </row>
    <row r="210" spans="1:25">
      <c r="A210" s="217">
        <v>4</v>
      </c>
      <c r="B210" s="218" t="str">
        <f>VLOOKUP(Tabel10[[#This Row],[Code]],Ruimtegroepen[[Code]:[Ruimte omschrijving]],2,FALSE)</f>
        <v>Vergader/spreekkamers</v>
      </c>
      <c r="C210" s="219" t="s">
        <v>455</v>
      </c>
      <c r="D210" s="218" t="s">
        <v>27</v>
      </c>
      <c r="E210" s="219" t="s">
        <v>101</v>
      </c>
      <c r="F210" s="219" t="s">
        <v>458</v>
      </c>
      <c r="G210" s="224" t="s">
        <v>283</v>
      </c>
      <c r="H210" s="220" t="s">
        <v>283</v>
      </c>
      <c r="I210" s="220" t="s">
        <v>15</v>
      </c>
      <c r="J210" s="220" t="s">
        <v>283</v>
      </c>
      <c r="K210" s="220" t="s">
        <v>283</v>
      </c>
      <c r="L210" s="220" t="s">
        <v>283</v>
      </c>
      <c r="M210" s="220" t="s">
        <v>283</v>
      </c>
      <c r="N210" s="220" t="s">
        <v>283</v>
      </c>
      <c r="O210" s="221" t="s">
        <v>15</v>
      </c>
      <c r="P210" s="221" t="s">
        <v>15</v>
      </c>
      <c r="Q210" s="221" t="s">
        <v>15</v>
      </c>
      <c r="R210" s="221" t="s">
        <v>283</v>
      </c>
      <c r="S210" s="221" t="s">
        <v>283</v>
      </c>
      <c r="T210" s="221" t="s">
        <v>283</v>
      </c>
      <c r="U210" s="221" t="s">
        <v>283</v>
      </c>
      <c r="V210" s="221" t="s">
        <v>283</v>
      </c>
      <c r="W210" s="222" t="s">
        <v>283</v>
      </c>
      <c r="X210" s="222" t="s">
        <v>283</v>
      </c>
      <c r="Y210" s="223" t="s">
        <v>283</v>
      </c>
    </row>
    <row r="211" spans="1:25">
      <c r="A211" s="217">
        <v>4</v>
      </c>
      <c r="B211" s="218" t="str">
        <f>VLOOKUP(Tabel10[[#This Row],[Code]],Ruimtegroepen[[Code]:[Ruimte omschrijving]],2,FALSE)</f>
        <v>Vergader/spreekkamers</v>
      </c>
      <c r="C211" s="219" t="s">
        <v>455</v>
      </c>
      <c r="D211" s="218" t="s">
        <v>27</v>
      </c>
      <c r="E211" s="219" t="s">
        <v>102</v>
      </c>
      <c r="F211" s="219" t="s">
        <v>459</v>
      </c>
      <c r="G211" s="224" t="s">
        <v>283</v>
      </c>
      <c r="H211" s="220" t="s">
        <v>283</v>
      </c>
      <c r="I211" s="220" t="s">
        <v>15</v>
      </c>
      <c r="J211" s="220" t="s">
        <v>283</v>
      </c>
      <c r="K211" s="220" t="s">
        <v>283</v>
      </c>
      <c r="L211" s="220" t="s">
        <v>283</v>
      </c>
      <c r="M211" s="220" t="s">
        <v>283</v>
      </c>
      <c r="N211" s="220" t="s">
        <v>283</v>
      </c>
      <c r="O211" s="221" t="s">
        <v>15</v>
      </c>
      <c r="P211" s="221" t="s">
        <v>15</v>
      </c>
      <c r="Q211" s="221" t="s">
        <v>15</v>
      </c>
      <c r="R211" s="221" t="s">
        <v>283</v>
      </c>
      <c r="S211" s="221" t="s">
        <v>283</v>
      </c>
      <c r="T211" s="221" t="s">
        <v>283</v>
      </c>
      <c r="U211" s="221" t="s">
        <v>283</v>
      </c>
      <c r="V211" s="221" t="s">
        <v>283</v>
      </c>
      <c r="W211" s="222" t="s">
        <v>283</v>
      </c>
      <c r="X211" s="222" t="s">
        <v>283</v>
      </c>
      <c r="Y211" s="223" t="s">
        <v>283</v>
      </c>
    </row>
    <row r="212" spans="1:25">
      <c r="A212" s="217">
        <v>4</v>
      </c>
      <c r="B212" s="218" t="str">
        <f>VLOOKUP(Tabel10[[#This Row],[Code]],Ruimtegroepen[[Code]:[Ruimte omschrijving]],2,FALSE)</f>
        <v>Vergader/spreekkamers</v>
      </c>
      <c r="C212" s="219" t="s">
        <v>455</v>
      </c>
      <c r="D212" s="218" t="s">
        <v>27</v>
      </c>
      <c r="E212" s="219" t="s">
        <v>99</v>
      </c>
      <c r="F212" s="219" t="s">
        <v>457</v>
      </c>
      <c r="G212" s="224" t="s">
        <v>283</v>
      </c>
      <c r="H212" s="220" t="s">
        <v>15</v>
      </c>
      <c r="I212" s="220" t="s">
        <v>283</v>
      </c>
      <c r="J212" s="220" t="s">
        <v>283</v>
      </c>
      <c r="K212" s="220" t="s">
        <v>283</v>
      </c>
      <c r="L212" s="220" t="s">
        <v>283</v>
      </c>
      <c r="M212" s="220" t="s">
        <v>283</v>
      </c>
      <c r="N212" s="220" t="s">
        <v>283</v>
      </c>
      <c r="O212" s="221" t="s">
        <v>15</v>
      </c>
      <c r="P212" s="221" t="s">
        <v>15</v>
      </c>
      <c r="Q212" s="221" t="s">
        <v>15</v>
      </c>
      <c r="R212" s="221" t="s">
        <v>283</v>
      </c>
      <c r="S212" s="221" t="s">
        <v>283</v>
      </c>
      <c r="T212" s="221" t="s">
        <v>283</v>
      </c>
      <c r="U212" s="221" t="s">
        <v>283</v>
      </c>
      <c r="V212" s="221" t="s">
        <v>283</v>
      </c>
      <c r="W212" s="222" t="s">
        <v>283</v>
      </c>
      <c r="X212" s="222" t="s">
        <v>283</v>
      </c>
      <c r="Y212" s="223" t="s">
        <v>283</v>
      </c>
    </row>
    <row r="213" spans="1:25">
      <c r="A213" s="217">
        <v>4</v>
      </c>
      <c r="B213" s="218" t="str">
        <f>VLOOKUP(Tabel10[[#This Row],[Code]],Ruimtegroepen[[Code]:[Ruimte omschrijving]],2,FALSE)</f>
        <v>Vergader/spreekkamers</v>
      </c>
      <c r="C213" s="219" t="s">
        <v>455</v>
      </c>
      <c r="D213" s="218" t="s">
        <v>27</v>
      </c>
      <c r="E213" s="219" t="s">
        <v>1313</v>
      </c>
      <c r="F213" s="219" t="s">
        <v>1381</v>
      </c>
      <c r="G213" s="224" t="s">
        <v>283</v>
      </c>
      <c r="H213" s="220" t="s">
        <v>283</v>
      </c>
      <c r="I213" s="220" t="s">
        <v>15</v>
      </c>
      <c r="J213" s="220" t="s">
        <v>283</v>
      </c>
      <c r="K213" s="220" t="s">
        <v>283</v>
      </c>
      <c r="L213" s="220" t="s">
        <v>283</v>
      </c>
      <c r="M213" s="220" t="s">
        <v>283</v>
      </c>
      <c r="N213" s="220" t="s">
        <v>283</v>
      </c>
      <c r="O213" s="221" t="s">
        <v>15</v>
      </c>
      <c r="P213" s="221" t="s">
        <v>15</v>
      </c>
      <c r="Q213" s="221" t="s">
        <v>15</v>
      </c>
      <c r="R213" s="221" t="s">
        <v>283</v>
      </c>
      <c r="S213" s="221" t="s">
        <v>283</v>
      </c>
      <c r="T213" s="221" t="s">
        <v>283</v>
      </c>
      <c r="U213" s="221" t="s">
        <v>283</v>
      </c>
      <c r="V213" s="221" t="s">
        <v>283</v>
      </c>
      <c r="W213" s="222" t="s">
        <v>283</v>
      </c>
      <c r="X213" s="222" t="s">
        <v>283</v>
      </c>
      <c r="Y213" s="223" t="s">
        <v>283</v>
      </c>
    </row>
    <row r="214" spans="1:25">
      <c r="A214" s="217">
        <v>4</v>
      </c>
      <c r="B214" s="218" t="str">
        <f>VLOOKUP(Tabel10[[#This Row],[Code]],Ruimtegroepen[[Code]:[Ruimte omschrijving]],2,FALSE)</f>
        <v>Vergader/spreekkamers</v>
      </c>
      <c r="C214" s="219" t="s">
        <v>460</v>
      </c>
      <c r="D214" s="218" t="s">
        <v>28</v>
      </c>
      <c r="E214" s="219" t="s">
        <v>100</v>
      </c>
      <c r="F214" s="219" t="s">
        <v>461</v>
      </c>
      <c r="G214" s="224" t="s">
        <v>283</v>
      </c>
      <c r="H214" s="220" t="s">
        <v>283</v>
      </c>
      <c r="I214" s="220" t="s">
        <v>17</v>
      </c>
      <c r="J214" s="220" t="s">
        <v>283</v>
      </c>
      <c r="K214" s="220" t="s">
        <v>283</v>
      </c>
      <c r="L214" s="220" t="s">
        <v>283</v>
      </c>
      <c r="M214" s="220" t="s">
        <v>283</v>
      </c>
      <c r="N214" s="220" t="s">
        <v>283</v>
      </c>
      <c r="O214" s="221" t="s">
        <v>17</v>
      </c>
      <c r="P214" s="221" t="s">
        <v>17</v>
      </c>
      <c r="Q214" s="221" t="s">
        <v>15</v>
      </c>
      <c r="R214" s="221" t="s">
        <v>283</v>
      </c>
      <c r="S214" s="221" t="s">
        <v>283</v>
      </c>
      <c r="T214" s="221" t="s">
        <v>283</v>
      </c>
      <c r="U214" s="221" t="s">
        <v>283</v>
      </c>
      <c r="V214" s="221" t="s">
        <v>283</v>
      </c>
      <c r="W214" s="222" t="s">
        <v>283</v>
      </c>
      <c r="X214" s="222" t="s">
        <v>283</v>
      </c>
      <c r="Y214" s="223" t="s">
        <v>283</v>
      </c>
    </row>
    <row r="215" spans="1:25">
      <c r="A215" s="217">
        <v>4</v>
      </c>
      <c r="B215" s="218" t="str">
        <f>VLOOKUP(Tabel10[[#This Row],[Code]],Ruimtegroepen[[Code]:[Ruimte omschrijving]],2,FALSE)</f>
        <v>Vergader/spreekkamers</v>
      </c>
      <c r="C215" s="219" t="s">
        <v>460</v>
      </c>
      <c r="D215" s="218" t="s">
        <v>28</v>
      </c>
      <c r="E215" s="219" t="s">
        <v>99</v>
      </c>
      <c r="F215" s="219" t="s">
        <v>462</v>
      </c>
      <c r="G215" s="224" t="s">
        <v>283</v>
      </c>
      <c r="H215" s="220" t="s">
        <v>17</v>
      </c>
      <c r="I215" s="220" t="s">
        <v>283</v>
      </c>
      <c r="J215" s="220" t="s">
        <v>283</v>
      </c>
      <c r="K215" s="220" t="s">
        <v>283</v>
      </c>
      <c r="L215" s="220" t="s">
        <v>283</v>
      </c>
      <c r="M215" s="220" t="s">
        <v>283</v>
      </c>
      <c r="N215" s="220" t="s">
        <v>283</v>
      </c>
      <c r="O215" s="221" t="s">
        <v>17</v>
      </c>
      <c r="P215" s="221" t="s">
        <v>17</v>
      </c>
      <c r="Q215" s="221" t="s">
        <v>15</v>
      </c>
      <c r="R215" s="221" t="s">
        <v>283</v>
      </c>
      <c r="S215" s="221" t="s">
        <v>283</v>
      </c>
      <c r="T215" s="221" t="s">
        <v>283</v>
      </c>
      <c r="U215" s="221" t="s">
        <v>283</v>
      </c>
      <c r="V215" s="221" t="s">
        <v>283</v>
      </c>
      <c r="W215" s="222" t="s">
        <v>283</v>
      </c>
      <c r="X215" s="222" t="s">
        <v>283</v>
      </c>
      <c r="Y215" s="223" t="s">
        <v>283</v>
      </c>
    </row>
    <row r="216" spans="1:25">
      <c r="A216" s="217">
        <v>4</v>
      </c>
      <c r="B216" s="218" t="str">
        <f>VLOOKUP(Tabel10[[#This Row],[Code]],Ruimtegroepen[[Code]:[Ruimte omschrijving]],2,FALSE)</f>
        <v>Vergader/spreekkamers</v>
      </c>
      <c r="C216" s="219" t="s">
        <v>460</v>
      </c>
      <c r="D216" s="218" t="s">
        <v>28</v>
      </c>
      <c r="E216" s="219" t="s">
        <v>101</v>
      </c>
      <c r="F216" s="219" t="s">
        <v>463</v>
      </c>
      <c r="G216" s="224" t="s">
        <v>283</v>
      </c>
      <c r="H216" s="220" t="s">
        <v>283</v>
      </c>
      <c r="I216" s="220" t="s">
        <v>17</v>
      </c>
      <c r="J216" s="220" t="s">
        <v>283</v>
      </c>
      <c r="K216" s="220" t="s">
        <v>283</v>
      </c>
      <c r="L216" s="220" t="s">
        <v>283</v>
      </c>
      <c r="M216" s="220" t="s">
        <v>283</v>
      </c>
      <c r="N216" s="220" t="s">
        <v>283</v>
      </c>
      <c r="O216" s="221" t="s">
        <v>17</v>
      </c>
      <c r="P216" s="221" t="s">
        <v>17</v>
      </c>
      <c r="Q216" s="221" t="s">
        <v>15</v>
      </c>
      <c r="R216" s="221" t="s">
        <v>283</v>
      </c>
      <c r="S216" s="221" t="s">
        <v>283</v>
      </c>
      <c r="T216" s="221" t="s">
        <v>283</v>
      </c>
      <c r="U216" s="221" t="s">
        <v>283</v>
      </c>
      <c r="V216" s="221" t="s">
        <v>283</v>
      </c>
      <c r="W216" s="222" t="s">
        <v>283</v>
      </c>
      <c r="X216" s="222" t="s">
        <v>283</v>
      </c>
      <c r="Y216" s="223" t="s">
        <v>283</v>
      </c>
    </row>
    <row r="217" spans="1:25">
      <c r="A217" s="217">
        <v>4</v>
      </c>
      <c r="B217" s="218" t="str">
        <f>VLOOKUP(Tabel10[[#This Row],[Code]],Ruimtegroepen[[Code]:[Ruimte omschrijving]],2,FALSE)</f>
        <v>Vergader/spreekkamers</v>
      </c>
      <c r="C217" s="219" t="s">
        <v>460</v>
      </c>
      <c r="D217" s="218" t="s">
        <v>28</v>
      </c>
      <c r="E217" s="219" t="s">
        <v>102</v>
      </c>
      <c r="F217" s="219" t="s">
        <v>464</v>
      </c>
      <c r="G217" s="224" t="s">
        <v>283</v>
      </c>
      <c r="H217" s="220" t="s">
        <v>283</v>
      </c>
      <c r="I217" s="220" t="s">
        <v>17</v>
      </c>
      <c r="J217" s="220" t="s">
        <v>283</v>
      </c>
      <c r="K217" s="220" t="s">
        <v>283</v>
      </c>
      <c r="L217" s="220" t="s">
        <v>283</v>
      </c>
      <c r="M217" s="220" t="s">
        <v>283</v>
      </c>
      <c r="N217" s="220" t="s">
        <v>283</v>
      </c>
      <c r="O217" s="221" t="s">
        <v>17</v>
      </c>
      <c r="P217" s="221" t="s">
        <v>17</v>
      </c>
      <c r="Q217" s="221" t="s">
        <v>15</v>
      </c>
      <c r="R217" s="221" t="s">
        <v>283</v>
      </c>
      <c r="S217" s="221" t="s">
        <v>283</v>
      </c>
      <c r="T217" s="221" t="s">
        <v>283</v>
      </c>
      <c r="U217" s="221" t="s">
        <v>283</v>
      </c>
      <c r="V217" s="221" t="s">
        <v>283</v>
      </c>
      <c r="W217" s="222" t="s">
        <v>283</v>
      </c>
      <c r="X217" s="222" t="s">
        <v>283</v>
      </c>
      <c r="Y217" s="223" t="s">
        <v>283</v>
      </c>
    </row>
    <row r="218" spans="1:25">
      <c r="A218" s="217">
        <v>4</v>
      </c>
      <c r="B218" s="218" t="str">
        <f>VLOOKUP(Tabel10[[#This Row],[Code]],Ruimtegroepen[[Code]:[Ruimte omschrijving]],2,FALSE)</f>
        <v>Vergader/spreekkamers</v>
      </c>
      <c r="C218" s="219" t="s">
        <v>460</v>
      </c>
      <c r="D218" s="218" t="s">
        <v>28</v>
      </c>
      <c r="E218" s="219" t="s">
        <v>99</v>
      </c>
      <c r="F218" s="219" t="s">
        <v>462</v>
      </c>
      <c r="G218" s="224" t="s">
        <v>283</v>
      </c>
      <c r="H218" s="220" t="s">
        <v>17</v>
      </c>
      <c r="I218" s="220" t="s">
        <v>283</v>
      </c>
      <c r="J218" s="220" t="s">
        <v>283</v>
      </c>
      <c r="K218" s="220" t="s">
        <v>283</v>
      </c>
      <c r="L218" s="220" t="s">
        <v>283</v>
      </c>
      <c r="M218" s="220" t="s">
        <v>283</v>
      </c>
      <c r="N218" s="220" t="s">
        <v>283</v>
      </c>
      <c r="O218" s="221" t="s">
        <v>17</v>
      </c>
      <c r="P218" s="221" t="s">
        <v>17</v>
      </c>
      <c r="Q218" s="221" t="s">
        <v>15</v>
      </c>
      <c r="R218" s="221" t="s">
        <v>283</v>
      </c>
      <c r="S218" s="221" t="s">
        <v>283</v>
      </c>
      <c r="T218" s="221" t="s">
        <v>283</v>
      </c>
      <c r="U218" s="221" t="s">
        <v>283</v>
      </c>
      <c r="V218" s="221" t="s">
        <v>283</v>
      </c>
      <c r="W218" s="222" t="s">
        <v>283</v>
      </c>
      <c r="X218" s="222" t="s">
        <v>283</v>
      </c>
      <c r="Y218" s="223" t="s">
        <v>283</v>
      </c>
    </row>
    <row r="219" spans="1:25">
      <c r="A219" s="217">
        <v>4</v>
      </c>
      <c r="B219" s="218" t="str">
        <f>VLOOKUP(Tabel10[[#This Row],[Code]],Ruimtegroepen[[Code]:[Ruimte omschrijving]],2,FALSE)</f>
        <v>Vergader/spreekkamers</v>
      </c>
      <c r="C219" s="219" t="s">
        <v>460</v>
      </c>
      <c r="D219" s="218" t="s">
        <v>28</v>
      </c>
      <c r="E219" s="219" t="s">
        <v>1313</v>
      </c>
      <c r="F219" s="219" t="s">
        <v>1414</v>
      </c>
      <c r="G219" s="224" t="s">
        <v>283</v>
      </c>
      <c r="H219" s="220" t="s">
        <v>283</v>
      </c>
      <c r="I219" s="220" t="s">
        <v>17</v>
      </c>
      <c r="J219" s="220" t="s">
        <v>283</v>
      </c>
      <c r="K219" s="220" t="s">
        <v>283</v>
      </c>
      <c r="L219" s="220" t="s">
        <v>283</v>
      </c>
      <c r="M219" s="220" t="s">
        <v>283</v>
      </c>
      <c r="N219" s="220" t="s">
        <v>283</v>
      </c>
      <c r="O219" s="221" t="s">
        <v>17</v>
      </c>
      <c r="P219" s="221" t="s">
        <v>17</v>
      </c>
      <c r="Q219" s="221" t="s">
        <v>15</v>
      </c>
      <c r="R219" s="221" t="s">
        <v>283</v>
      </c>
      <c r="S219" s="221" t="s">
        <v>283</v>
      </c>
      <c r="T219" s="221" t="s">
        <v>283</v>
      </c>
      <c r="U219" s="221" t="s">
        <v>283</v>
      </c>
      <c r="V219" s="221" t="s">
        <v>283</v>
      </c>
      <c r="W219" s="222" t="s">
        <v>283</v>
      </c>
      <c r="X219" s="222" t="s">
        <v>283</v>
      </c>
      <c r="Y219" s="223" t="s">
        <v>283</v>
      </c>
    </row>
    <row r="220" spans="1:25">
      <c r="A220" s="217">
        <v>5</v>
      </c>
      <c r="B220" s="218" t="str">
        <f>VLOOKUP(Tabel10[[#This Row],[Code]],Ruimtegroepen[[Code]:[Ruimte omschrijving]],2,FALSE)</f>
        <v>Sanitair</v>
      </c>
      <c r="C220" s="219" t="s">
        <v>465</v>
      </c>
      <c r="D220" s="218" t="s">
        <v>29</v>
      </c>
      <c r="E220" s="219" t="s">
        <v>100</v>
      </c>
      <c r="F220" s="219" t="s">
        <v>466</v>
      </c>
      <c r="G220" s="224" t="s">
        <v>283</v>
      </c>
      <c r="H220" s="220" t="s">
        <v>283</v>
      </c>
      <c r="I220" s="220" t="s">
        <v>283</v>
      </c>
      <c r="J220" s="220" t="s">
        <v>20</v>
      </c>
      <c r="K220" s="220" t="s">
        <v>15</v>
      </c>
      <c r="L220" s="220" t="s">
        <v>283</v>
      </c>
      <c r="M220" s="220" t="s">
        <v>283</v>
      </c>
      <c r="N220" s="220" t="s">
        <v>2</v>
      </c>
      <c r="O220" s="221" t="s">
        <v>283</v>
      </c>
      <c r="P220" s="221" t="s">
        <v>283</v>
      </c>
      <c r="Q220" s="221" t="s">
        <v>283</v>
      </c>
      <c r="R220" s="221" t="s">
        <v>283</v>
      </c>
      <c r="S220" s="221" t="s">
        <v>283</v>
      </c>
      <c r="T220" s="221" t="s">
        <v>283</v>
      </c>
      <c r="U220" s="221" t="s">
        <v>283</v>
      </c>
      <c r="V220" s="221" t="s">
        <v>283</v>
      </c>
      <c r="W220" s="222" t="s">
        <v>20</v>
      </c>
      <c r="X220" s="222" t="s">
        <v>15</v>
      </c>
      <c r="Y220" s="223" t="s">
        <v>2</v>
      </c>
    </row>
    <row r="221" spans="1:25">
      <c r="A221" s="217">
        <v>5</v>
      </c>
      <c r="B221" s="218" t="str">
        <f>VLOOKUP(Tabel10[[#This Row],[Code]],Ruimtegroepen[[Code]:[Ruimte omschrijving]],2,FALSE)</f>
        <v>Sanitair</v>
      </c>
      <c r="C221" s="219" t="s">
        <v>465</v>
      </c>
      <c r="D221" s="218" t="s">
        <v>29</v>
      </c>
      <c r="E221" s="219" t="s">
        <v>99</v>
      </c>
      <c r="F221" s="219" t="s">
        <v>467</v>
      </c>
      <c r="G221" s="224" t="s">
        <v>283</v>
      </c>
      <c r="H221" s="220" t="s">
        <v>283</v>
      </c>
      <c r="I221" s="220" t="s">
        <v>283</v>
      </c>
      <c r="J221" s="220" t="s">
        <v>283</v>
      </c>
      <c r="K221" s="220" t="s">
        <v>283</v>
      </c>
      <c r="L221" s="220" t="s">
        <v>283</v>
      </c>
      <c r="M221" s="220" t="s">
        <v>283</v>
      </c>
      <c r="N221" s="220" t="s">
        <v>283</v>
      </c>
      <c r="O221" s="221" t="s">
        <v>283</v>
      </c>
      <c r="P221" s="221" t="s">
        <v>283</v>
      </c>
      <c r="Q221" s="221" t="s">
        <v>283</v>
      </c>
      <c r="R221" s="221" t="s">
        <v>283</v>
      </c>
      <c r="S221" s="221" t="s">
        <v>283</v>
      </c>
      <c r="T221" s="221" t="s">
        <v>283</v>
      </c>
      <c r="U221" s="221" t="s">
        <v>283</v>
      </c>
      <c r="V221" s="221" t="s">
        <v>283</v>
      </c>
      <c r="W221" s="222" t="s">
        <v>283</v>
      </c>
      <c r="X221" s="222" t="s">
        <v>283</v>
      </c>
      <c r="Y221" s="223" t="s">
        <v>283</v>
      </c>
    </row>
    <row r="222" spans="1:25">
      <c r="A222" s="217">
        <v>5</v>
      </c>
      <c r="B222" s="218" t="str">
        <f>VLOOKUP(Tabel10[[#This Row],[Code]],Ruimtegroepen[[Code]:[Ruimte omschrijving]],2,FALSE)</f>
        <v>Sanitair</v>
      </c>
      <c r="C222" s="219" t="s">
        <v>465</v>
      </c>
      <c r="D222" s="218" t="s">
        <v>29</v>
      </c>
      <c r="E222" s="219" t="s">
        <v>101</v>
      </c>
      <c r="F222" s="219" t="s">
        <v>468</v>
      </c>
      <c r="G222" s="224" t="s">
        <v>283</v>
      </c>
      <c r="H222" s="220" t="s">
        <v>283</v>
      </c>
      <c r="I222" s="220" t="s">
        <v>283</v>
      </c>
      <c r="J222" s="220" t="s">
        <v>20</v>
      </c>
      <c r="K222" s="220" t="s">
        <v>15</v>
      </c>
      <c r="L222" s="220" t="s">
        <v>283</v>
      </c>
      <c r="M222" s="220" t="s">
        <v>283</v>
      </c>
      <c r="N222" s="220" t="s">
        <v>2</v>
      </c>
      <c r="O222" s="221" t="s">
        <v>283</v>
      </c>
      <c r="P222" s="221" t="s">
        <v>283</v>
      </c>
      <c r="Q222" s="221" t="s">
        <v>283</v>
      </c>
      <c r="R222" s="221" t="s">
        <v>283</v>
      </c>
      <c r="S222" s="221" t="s">
        <v>283</v>
      </c>
      <c r="T222" s="221" t="s">
        <v>283</v>
      </c>
      <c r="U222" s="221" t="s">
        <v>283</v>
      </c>
      <c r="V222" s="221" t="s">
        <v>283</v>
      </c>
      <c r="W222" s="222" t="s">
        <v>20</v>
      </c>
      <c r="X222" s="222" t="s">
        <v>15</v>
      </c>
      <c r="Y222" s="223" t="s">
        <v>2</v>
      </c>
    </row>
    <row r="223" spans="1:25">
      <c r="A223" s="217">
        <v>5</v>
      </c>
      <c r="B223" s="218" t="str">
        <f>VLOOKUP(Tabel10[[#This Row],[Code]],Ruimtegroepen[[Code]:[Ruimte omschrijving]],2,FALSE)</f>
        <v>Sanitair</v>
      </c>
      <c r="C223" s="219" t="s">
        <v>465</v>
      </c>
      <c r="D223" s="218" t="s">
        <v>29</v>
      </c>
      <c r="E223" s="219" t="s">
        <v>102</v>
      </c>
      <c r="F223" s="219" t="s">
        <v>469</v>
      </c>
      <c r="G223" s="224" t="s">
        <v>283</v>
      </c>
      <c r="H223" s="220" t="s">
        <v>283</v>
      </c>
      <c r="I223" s="220" t="s">
        <v>283</v>
      </c>
      <c r="J223" s="220" t="s">
        <v>20</v>
      </c>
      <c r="K223" s="220" t="s">
        <v>15</v>
      </c>
      <c r="L223" s="220" t="s">
        <v>283</v>
      </c>
      <c r="M223" s="220" t="s">
        <v>283</v>
      </c>
      <c r="N223" s="220" t="s">
        <v>2</v>
      </c>
      <c r="O223" s="221" t="s">
        <v>283</v>
      </c>
      <c r="P223" s="221" t="s">
        <v>283</v>
      </c>
      <c r="Q223" s="221" t="s">
        <v>283</v>
      </c>
      <c r="R223" s="221" t="s">
        <v>283</v>
      </c>
      <c r="S223" s="221" t="s">
        <v>283</v>
      </c>
      <c r="T223" s="221" t="s">
        <v>283</v>
      </c>
      <c r="U223" s="221" t="s">
        <v>283</v>
      </c>
      <c r="V223" s="221" t="s">
        <v>283</v>
      </c>
      <c r="W223" s="222" t="s">
        <v>20</v>
      </c>
      <c r="X223" s="222" t="s">
        <v>15</v>
      </c>
      <c r="Y223" s="223" t="s">
        <v>2</v>
      </c>
    </row>
    <row r="224" spans="1:25">
      <c r="A224" s="217">
        <v>5</v>
      </c>
      <c r="B224" s="218" t="str">
        <f>VLOOKUP(Tabel10[[#This Row],[Code]],Ruimtegroepen[[Code]:[Ruimte omschrijving]],2,FALSE)</f>
        <v>Sanitair</v>
      </c>
      <c r="C224" s="219" t="s">
        <v>465</v>
      </c>
      <c r="D224" s="218" t="s">
        <v>29</v>
      </c>
      <c r="E224" s="219" t="s">
        <v>99</v>
      </c>
      <c r="F224" s="219" t="s">
        <v>467</v>
      </c>
      <c r="G224" s="224" t="s">
        <v>283</v>
      </c>
      <c r="H224" s="220" t="s">
        <v>283</v>
      </c>
      <c r="I224" s="220" t="s">
        <v>283</v>
      </c>
      <c r="J224" s="220" t="s">
        <v>283</v>
      </c>
      <c r="K224" s="220" t="s">
        <v>283</v>
      </c>
      <c r="L224" s="220" t="s">
        <v>283</v>
      </c>
      <c r="M224" s="220" t="s">
        <v>283</v>
      </c>
      <c r="N224" s="220" t="s">
        <v>283</v>
      </c>
      <c r="O224" s="221" t="s">
        <v>283</v>
      </c>
      <c r="P224" s="221" t="s">
        <v>283</v>
      </c>
      <c r="Q224" s="221" t="s">
        <v>283</v>
      </c>
      <c r="R224" s="221" t="s">
        <v>283</v>
      </c>
      <c r="S224" s="221" t="s">
        <v>283</v>
      </c>
      <c r="T224" s="221" t="s">
        <v>283</v>
      </c>
      <c r="U224" s="221" t="s">
        <v>283</v>
      </c>
      <c r="V224" s="221" t="s">
        <v>283</v>
      </c>
      <c r="W224" s="222" t="s">
        <v>283</v>
      </c>
      <c r="X224" s="222" t="s">
        <v>283</v>
      </c>
      <c r="Y224" s="223" t="s">
        <v>283</v>
      </c>
    </row>
    <row r="225" spans="1:25">
      <c r="A225" s="217">
        <v>5</v>
      </c>
      <c r="B225" s="218" t="str">
        <f>VLOOKUP(Tabel10[[#This Row],[Code]],Ruimtegroepen[[Code]:[Ruimte omschrijving]],2,FALSE)</f>
        <v>Sanitair</v>
      </c>
      <c r="C225" s="219" t="s">
        <v>465</v>
      </c>
      <c r="D225" s="218" t="s">
        <v>29</v>
      </c>
      <c r="E225" s="219" t="s">
        <v>1313</v>
      </c>
      <c r="F225" s="219" t="s">
        <v>1482</v>
      </c>
      <c r="G225" s="224" t="s">
        <v>283</v>
      </c>
      <c r="H225" s="220" t="s">
        <v>283</v>
      </c>
      <c r="I225" s="220" t="s">
        <v>283</v>
      </c>
      <c r="J225" s="220" t="s">
        <v>20</v>
      </c>
      <c r="K225" s="220" t="s">
        <v>15</v>
      </c>
      <c r="L225" s="220" t="s">
        <v>283</v>
      </c>
      <c r="M225" s="220" t="s">
        <v>283</v>
      </c>
      <c r="N225" s="220" t="s">
        <v>2</v>
      </c>
      <c r="O225" s="221" t="s">
        <v>283</v>
      </c>
      <c r="P225" s="221" t="s">
        <v>283</v>
      </c>
      <c r="Q225" s="221" t="s">
        <v>283</v>
      </c>
      <c r="R225" s="221" t="s">
        <v>283</v>
      </c>
      <c r="S225" s="221" t="s">
        <v>283</v>
      </c>
      <c r="T225" s="221" t="s">
        <v>283</v>
      </c>
      <c r="U225" s="221" t="s">
        <v>283</v>
      </c>
      <c r="V225" s="221" t="s">
        <v>283</v>
      </c>
      <c r="W225" s="222" t="s">
        <v>20</v>
      </c>
      <c r="X225" s="222" t="s">
        <v>15</v>
      </c>
      <c r="Y225" s="223" t="s">
        <v>2</v>
      </c>
    </row>
    <row r="226" spans="1:25">
      <c r="A226" s="217">
        <v>5</v>
      </c>
      <c r="B226" s="218" t="str">
        <f>VLOOKUP(Tabel10[[#This Row],[Code]],Ruimtegroepen[[Code]:[Ruimte omschrijving]],2,FALSE)</f>
        <v>Sanitair</v>
      </c>
      <c r="C226" s="219" t="s">
        <v>470</v>
      </c>
      <c r="D226" s="218" t="s">
        <v>1</v>
      </c>
      <c r="E226" s="219" t="s">
        <v>100</v>
      </c>
      <c r="F226" s="219" t="s">
        <v>471</v>
      </c>
      <c r="G226" s="224" t="s">
        <v>283</v>
      </c>
      <c r="H226" s="220" t="s">
        <v>283</v>
      </c>
      <c r="I226" s="220" t="s">
        <v>283</v>
      </c>
      <c r="J226" s="220" t="s">
        <v>20</v>
      </c>
      <c r="K226" s="220" t="s">
        <v>15</v>
      </c>
      <c r="L226" s="220" t="s">
        <v>283</v>
      </c>
      <c r="M226" s="220" t="s">
        <v>283</v>
      </c>
      <c r="N226" s="220" t="s">
        <v>283</v>
      </c>
      <c r="O226" s="221" t="s">
        <v>283</v>
      </c>
      <c r="P226" s="221" t="s">
        <v>283</v>
      </c>
      <c r="Q226" s="221" t="s">
        <v>283</v>
      </c>
      <c r="R226" s="221" t="s">
        <v>283</v>
      </c>
      <c r="S226" s="221" t="s">
        <v>283</v>
      </c>
      <c r="T226" s="221" t="s">
        <v>283</v>
      </c>
      <c r="U226" s="221" t="s">
        <v>283</v>
      </c>
      <c r="V226" s="221" t="s">
        <v>283</v>
      </c>
      <c r="W226" s="222" t="s">
        <v>20</v>
      </c>
      <c r="X226" s="222" t="s">
        <v>15</v>
      </c>
      <c r="Y226" s="223" t="s">
        <v>283</v>
      </c>
    </row>
    <row r="227" spans="1:25">
      <c r="A227" s="217">
        <v>5</v>
      </c>
      <c r="B227" s="218" t="str">
        <f>VLOOKUP(Tabel10[[#This Row],[Code]],Ruimtegroepen[[Code]:[Ruimte omschrijving]],2,FALSE)</f>
        <v>Sanitair</v>
      </c>
      <c r="C227" s="219" t="s">
        <v>470</v>
      </c>
      <c r="D227" s="218" t="s">
        <v>1</v>
      </c>
      <c r="E227" s="219" t="s">
        <v>99</v>
      </c>
      <c r="F227" s="219" t="s">
        <v>472</v>
      </c>
      <c r="G227" s="224" t="s">
        <v>283</v>
      </c>
      <c r="H227" s="220" t="s">
        <v>283</v>
      </c>
      <c r="I227" s="220" t="s">
        <v>283</v>
      </c>
      <c r="J227" s="220" t="s">
        <v>283</v>
      </c>
      <c r="K227" s="220" t="s">
        <v>283</v>
      </c>
      <c r="L227" s="220" t="s">
        <v>283</v>
      </c>
      <c r="M227" s="220" t="s">
        <v>283</v>
      </c>
      <c r="N227" s="220" t="s">
        <v>283</v>
      </c>
      <c r="O227" s="221" t="s">
        <v>283</v>
      </c>
      <c r="P227" s="221" t="s">
        <v>283</v>
      </c>
      <c r="Q227" s="221" t="s">
        <v>283</v>
      </c>
      <c r="R227" s="221" t="s">
        <v>283</v>
      </c>
      <c r="S227" s="221" t="s">
        <v>283</v>
      </c>
      <c r="T227" s="221" t="s">
        <v>283</v>
      </c>
      <c r="U227" s="221" t="s">
        <v>283</v>
      </c>
      <c r="V227" s="221" t="s">
        <v>283</v>
      </c>
      <c r="W227" s="222" t="s">
        <v>283</v>
      </c>
      <c r="X227" s="222" t="s">
        <v>283</v>
      </c>
      <c r="Y227" s="223" t="s">
        <v>283</v>
      </c>
    </row>
    <row r="228" spans="1:25">
      <c r="A228" s="217">
        <v>5</v>
      </c>
      <c r="B228" s="218" t="str">
        <f>VLOOKUP(Tabel10[[#This Row],[Code]],Ruimtegroepen[[Code]:[Ruimte omschrijving]],2,FALSE)</f>
        <v>Sanitair</v>
      </c>
      <c r="C228" s="219" t="s">
        <v>470</v>
      </c>
      <c r="D228" s="218" t="s">
        <v>1</v>
      </c>
      <c r="E228" s="219" t="s">
        <v>101</v>
      </c>
      <c r="F228" s="219" t="s">
        <v>473</v>
      </c>
      <c r="G228" s="224" t="s">
        <v>283</v>
      </c>
      <c r="H228" s="220" t="s">
        <v>283</v>
      </c>
      <c r="I228" s="220" t="s">
        <v>283</v>
      </c>
      <c r="J228" s="220" t="s">
        <v>20</v>
      </c>
      <c r="K228" s="220" t="s">
        <v>15</v>
      </c>
      <c r="L228" s="220" t="s">
        <v>283</v>
      </c>
      <c r="M228" s="220" t="s">
        <v>283</v>
      </c>
      <c r="N228" s="220" t="s">
        <v>283</v>
      </c>
      <c r="O228" s="221" t="s">
        <v>283</v>
      </c>
      <c r="P228" s="221" t="s">
        <v>283</v>
      </c>
      <c r="Q228" s="221" t="s">
        <v>283</v>
      </c>
      <c r="R228" s="221" t="s">
        <v>283</v>
      </c>
      <c r="S228" s="221" t="s">
        <v>283</v>
      </c>
      <c r="T228" s="221" t="s">
        <v>283</v>
      </c>
      <c r="U228" s="221" t="s">
        <v>283</v>
      </c>
      <c r="V228" s="221" t="s">
        <v>283</v>
      </c>
      <c r="W228" s="222" t="s">
        <v>20</v>
      </c>
      <c r="X228" s="222" t="s">
        <v>15</v>
      </c>
      <c r="Y228" s="223" t="s">
        <v>283</v>
      </c>
    </row>
    <row r="229" spans="1:25">
      <c r="A229" s="217">
        <v>5</v>
      </c>
      <c r="B229" s="218" t="str">
        <f>VLOOKUP(Tabel10[[#This Row],[Code]],Ruimtegroepen[[Code]:[Ruimte omschrijving]],2,FALSE)</f>
        <v>Sanitair</v>
      </c>
      <c r="C229" s="219" t="s">
        <v>470</v>
      </c>
      <c r="D229" s="218" t="s">
        <v>1</v>
      </c>
      <c r="E229" s="219" t="s">
        <v>102</v>
      </c>
      <c r="F229" s="219" t="s">
        <v>474</v>
      </c>
      <c r="G229" s="224" t="s">
        <v>283</v>
      </c>
      <c r="H229" s="220" t="s">
        <v>283</v>
      </c>
      <c r="I229" s="220" t="s">
        <v>283</v>
      </c>
      <c r="J229" s="220" t="s">
        <v>20</v>
      </c>
      <c r="K229" s="220" t="s">
        <v>15</v>
      </c>
      <c r="L229" s="220" t="s">
        <v>283</v>
      </c>
      <c r="M229" s="220" t="s">
        <v>283</v>
      </c>
      <c r="N229" s="220" t="s">
        <v>283</v>
      </c>
      <c r="O229" s="221" t="s">
        <v>283</v>
      </c>
      <c r="P229" s="221" t="s">
        <v>283</v>
      </c>
      <c r="Q229" s="221" t="s">
        <v>283</v>
      </c>
      <c r="R229" s="221" t="s">
        <v>283</v>
      </c>
      <c r="S229" s="221" t="s">
        <v>283</v>
      </c>
      <c r="T229" s="221" t="s">
        <v>283</v>
      </c>
      <c r="U229" s="221" t="s">
        <v>283</v>
      </c>
      <c r="V229" s="221" t="s">
        <v>283</v>
      </c>
      <c r="W229" s="222" t="s">
        <v>20</v>
      </c>
      <c r="X229" s="222" t="s">
        <v>15</v>
      </c>
      <c r="Y229" s="223" t="s">
        <v>283</v>
      </c>
    </row>
    <row r="230" spans="1:25">
      <c r="A230" s="217">
        <v>5</v>
      </c>
      <c r="B230" s="218" t="str">
        <f>VLOOKUP(Tabel10[[#This Row],[Code]],Ruimtegroepen[[Code]:[Ruimte omschrijving]],2,FALSE)</f>
        <v>Sanitair</v>
      </c>
      <c r="C230" s="219" t="s">
        <v>470</v>
      </c>
      <c r="D230" s="218" t="s">
        <v>1</v>
      </c>
      <c r="E230" s="219" t="s">
        <v>99</v>
      </c>
      <c r="F230" s="219" t="s">
        <v>472</v>
      </c>
      <c r="G230" s="224" t="s">
        <v>283</v>
      </c>
      <c r="H230" s="220" t="s">
        <v>283</v>
      </c>
      <c r="I230" s="220" t="s">
        <v>283</v>
      </c>
      <c r="J230" s="220" t="s">
        <v>283</v>
      </c>
      <c r="K230" s="220" t="s">
        <v>283</v>
      </c>
      <c r="L230" s="220" t="s">
        <v>283</v>
      </c>
      <c r="M230" s="220" t="s">
        <v>283</v>
      </c>
      <c r="N230" s="220" t="s">
        <v>283</v>
      </c>
      <c r="O230" s="221" t="s">
        <v>283</v>
      </c>
      <c r="P230" s="221" t="s">
        <v>283</v>
      </c>
      <c r="Q230" s="221" t="s">
        <v>283</v>
      </c>
      <c r="R230" s="221" t="s">
        <v>283</v>
      </c>
      <c r="S230" s="221" t="s">
        <v>283</v>
      </c>
      <c r="T230" s="221" t="s">
        <v>283</v>
      </c>
      <c r="U230" s="221" t="s">
        <v>283</v>
      </c>
      <c r="V230" s="221" t="s">
        <v>283</v>
      </c>
      <c r="W230" s="222" t="s">
        <v>283</v>
      </c>
      <c r="X230" s="222" t="s">
        <v>283</v>
      </c>
      <c r="Y230" s="223" t="s">
        <v>283</v>
      </c>
    </row>
    <row r="231" spans="1:25">
      <c r="A231" s="217">
        <v>5</v>
      </c>
      <c r="B231" s="218" t="str">
        <f>VLOOKUP(Tabel10[[#This Row],[Code]],Ruimtegroepen[[Code]:[Ruimte omschrijving]],2,FALSE)</f>
        <v>Sanitair</v>
      </c>
      <c r="C231" s="219" t="s">
        <v>470</v>
      </c>
      <c r="D231" s="218" t="s">
        <v>1</v>
      </c>
      <c r="E231" s="219" t="s">
        <v>1313</v>
      </c>
      <c r="F231" s="219" t="s">
        <v>1448</v>
      </c>
      <c r="G231" s="224" t="s">
        <v>283</v>
      </c>
      <c r="H231" s="220" t="s">
        <v>283</v>
      </c>
      <c r="I231" s="220" t="s">
        <v>283</v>
      </c>
      <c r="J231" s="220" t="s">
        <v>20</v>
      </c>
      <c r="K231" s="220" t="s">
        <v>15</v>
      </c>
      <c r="L231" s="220" t="s">
        <v>283</v>
      </c>
      <c r="M231" s="220" t="s">
        <v>283</v>
      </c>
      <c r="N231" s="220" t="s">
        <v>283</v>
      </c>
      <c r="O231" s="221" t="s">
        <v>283</v>
      </c>
      <c r="P231" s="221" t="s">
        <v>283</v>
      </c>
      <c r="Q231" s="221" t="s">
        <v>283</v>
      </c>
      <c r="R231" s="221" t="s">
        <v>283</v>
      </c>
      <c r="S231" s="221" t="s">
        <v>283</v>
      </c>
      <c r="T231" s="221" t="s">
        <v>283</v>
      </c>
      <c r="U231" s="221" t="s">
        <v>283</v>
      </c>
      <c r="V231" s="221" t="s">
        <v>283</v>
      </c>
      <c r="W231" s="222" t="s">
        <v>20</v>
      </c>
      <c r="X231" s="222" t="s">
        <v>15</v>
      </c>
      <c r="Y231" s="223" t="s">
        <v>283</v>
      </c>
    </row>
    <row r="232" spans="1:25">
      <c r="A232" s="217">
        <v>5</v>
      </c>
      <c r="B232" s="218" t="str">
        <f>VLOOKUP(Tabel10[[#This Row],[Code]],Ruimtegroepen[[Code]:[Ruimte omschrijving]],2,FALSE)</f>
        <v>Sanitair</v>
      </c>
      <c r="C232" s="219" t="s">
        <v>475</v>
      </c>
      <c r="D232" s="218" t="s">
        <v>476</v>
      </c>
      <c r="E232" s="219" t="s">
        <v>100</v>
      </c>
      <c r="F232" s="219" t="s">
        <v>477</v>
      </c>
      <c r="G232" s="224" t="s">
        <v>283</v>
      </c>
      <c r="H232" s="220" t="s">
        <v>283</v>
      </c>
      <c r="I232" s="220" t="s">
        <v>283</v>
      </c>
      <c r="J232" s="220" t="s">
        <v>478</v>
      </c>
      <c r="K232" s="220" t="s">
        <v>15</v>
      </c>
      <c r="L232" s="220" t="s">
        <v>283</v>
      </c>
      <c r="M232" s="220" t="s">
        <v>283</v>
      </c>
      <c r="N232" s="220" t="s">
        <v>283</v>
      </c>
      <c r="O232" s="221" t="s">
        <v>283</v>
      </c>
      <c r="P232" s="221" t="s">
        <v>283</v>
      </c>
      <c r="Q232" s="221" t="s">
        <v>283</v>
      </c>
      <c r="R232" s="221" t="s">
        <v>283</v>
      </c>
      <c r="S232" s="221" t="s">
        <v>283</v>
      </c>
      <c r="T232" s="221" t="s">
        <v>283</v>
      </c>
      <c r="U232" s="221" t="s">
        <v>283</v>
      </c>
      <c r="V232" s="221" t="s">
        <v>283</v>
      </c>
      <c r="W232" s="222" t="s">
        <v>478</v>
      </c>
      <c r="X232" s="222" t="s">
        <v>15</v>
      </c>
      <c r="Y232" s="223" t="s">
        <v>283</v>
      </c>
    </row>
    <row r="233" spans="1:25">
      <c r="A233" s="217">
        <v>5</v>
      </c>
      <c r="B233" s="218" t="str">
        <f>VLOOKUP(Tabel10[[#This Row],[Code]],Ruimtegroepen[[Code]:[Ruimte omschrijving]],2,FALSE)</f>
        <v>Sanitair</v>
      </c>
      <c r="C233" s="219" t="s">
        <v>475</v>
      </c>
      <c r="D233" s="218" t="s">
        <v>476</v>
      </c>
      <c r="E233" s="219" t="s">
        <v>99</v>
      </c>
      <c r="F233" s="219" t="s">
        <v>479</v>
      </c>
      <c r="G233" s="224" t="s">
        <v>283</v>
      </c>
      <c r="H233" s="220" t="s">
        <v>283</v>
      </c>
      <c r="I233" s="220" t="s">
        <v>283</v>
      </c>
      <c r="J233" s="220" t="s">
        <v>283</v>
      </c>
      <c r="K233" s="220" t="s">
        <v>283</v>
      </c>
      <c r="L233" s="220" t="s">
        <v>283</v>
      </c>
      <c r="M233" s="220" t="s">
        <v>283</v>
      </c>
      <c r="N233" s="220" t="s">
        <v>283</v>
      </c>
      <c r="O233" s="221" t="s">
        <v>283</v>
      </c>
      <c r="P233" s="221" t="s">
        <v>283</v>
      </c>
      <c r="Q233" s="221" t="s">
        <v>283</v>
      </c>
      <c r="R233" s="221" t="s">
        <v>283</v>
      </c>
      <c r="S233" s="221" t="s">
        <v>283</v>
      </c>
      <c r="T233" s="221" t="s">
        <v>283</v>
      </c>
      <c r="U233" s="221" t="s">
        <v>283</v>
      </c>
      <c r="V233" s="221" t="s">
        <v>283</v>
      </c>
      <c r="W233" s="222" t="s">
        <v>283</v>
      </c>
      <c r="X233" s="222" t="s">
        <v>283</v>
      </c>
      <c r="Y233" s="223" t="s">
        <v>283</v>
      </c>
    </row>
    <row r="234" spans="1:25">
      <c r="A234" s="217">
        <v>5</v>
      </c>
      <c r="B234" s="218" t="str">
        <f>VLOOKUP(Tabel10[[#This Row],[Code]],Ruimtegroepen[[Code]:[Ruimte omschrijving]],2,FALSE)</f>
        <v>Sanitair</v>
      </c>
      <c r="C234" s="219" t="s">
        <v>475</v>
      </c>
      <c r="D234" s="218" t="s">
        <v>476</v>
      </c>
      <c r="E234" s="219" t="s">
        <v>101</v>
      </c>
      <c r="F234" s="219" t="s">
        <v>480</v>
      </c>
      <c r="G234" s="224" t="s">
        <v>283</v>
      </c>
      <c r="H234" s="220" t="s">
        <v>283</v>
      </c>
      <c r="I234" s="220" t="s">
        <v>283</v>
      </c>
      <c r="J234" s="220" t="s">
        <v>478</v>
      </c>
      <c r="K234" s="220" t="s">
        <v>15</v>
      </c>
      <c r="L234" s="220" t="s">
        <v>283</v>
      </c>
      <c r="M234" s="220" t="s">
        <v>283</v>
      </c>
      <c r="N234" s="220" t="s">
        <v>283</v>
      </c>
      <c r="O234" s="221" t="s">
        <v>283</v>
      </c>
      <c r="P234" s="221" t="s">
        <v>283</v>
      </c>
      <c r="Q234" s="221" t="s">
        <v>283</v>
      </c>
      <c r="R234" s="221" t="s">
        <v>283</v>
      </c>
      <c r="S234" s="221" t="s">
        <v>283</v>
      </c>
      <c r="T234" s="221" t="s">
        <v>283</v>
      </c>
      <c r="U234" s="221" t="s">
        <v>283</v>
      </c>
      <c r="V234" s="221" t="s">
        <v>283</v>
      </c>
      <c r="W234" s="222" t="s">
        <v>478</v>
      </c>
      <c r="X234" s="222" t="s">
        <v>15</v>
      </c>
      <c r="Y234" s="223" t="s">
        <v>283</v>
      </c>
    </row>
    <row r="235" spans="1:25">
      <c r="A235" s="217">
        <v>5</v>
      </c>
      <c r="B235" s="218" t="str">
        <f>VLOOKUP(Tabel10[[#This Row],[Code]],Ruimtegroepen[[Code]:[Ruimte omschrijving]],2,FALSE)</f>
        <v>Sanitair</v>
      </c>
      <c r="C235" s="219" t="s">
        <v>475</v>
      </c>
      <c r="D235" s="218" t="s">
        <v>476</v>
      </c>
      <c r="E235" s="219" t="s">
        <v>102</v>
      </c>
      <c r="F235" s="219" t="s">
        <v>481</v>
      </c>
      <c r="G235" s="224" t="s">
        <v>283</v>
      </c>
      <c r="H235" s="220" t="s">
        <v>283</v>
      </c>
      <c r="I235" s="220" t="s">
        <v>283</v>
      </c>
      <c r="J235" s="220" t="s">
        <v>478</v>
      </c>
      <c r="K235" s="220" t="s">
        <v>15</v>
      </c>
      <c r="L235" s="220" t="s">
        <v>283</v>
      </c>
      <c r="M235" s="220" t="s">
        <v>283</v>
      </c>
      <c r="N235" s="220" t="s">
        <v>283</v>
      </c>
      <c r="O235" s="221" t="s">
        <v>283</v>
      </c>
      <c r="P235" s="221" t="s">
        <v>283</v>
      </c>
      <c r="Q235" s="221" t="s">
        <v>283</v>
      </c>
      <c r="R235" s="221" t="s">
        <v>283</v>
      </c>
      <c r="S235" s="221" t="s">
        <v>283</v>
      </c>
      <c r="T235" s="221" t="s">
        <v>283</v>
      </c>
      <c r="U235" s="221" t="s">
        <v>283</v>
      </c>
      <c r="V235" s="221" t="s">
        <v>283</v>
      </c>
      <c r="W235" s="222" t="s">
        <v>478</v>
      </c>
      <c r="X235" s="222" t="s">
        <v>15</v>
      </c>
      <c r="Y235" s="223" t="s">
        <v>283</v>
      </c>
    </row>
    <row r="236" spans="1:25">
      <c r="A236" s="217">
        <v>5</v>
      </c>
      <c r="B236" s="218" t="str">
        <f>VLOOKUP(Tabel10[[#This Row],[Code]],Ruimtegroepen[[Code]:[Ruimte omschrijving]],2,FALSE)</f>
        <v>Sanitair</v>
      </c>
      <c r="C236" s="219" t="s">
        <v>475</v>
      </c>
      <c r="D236" s="218" t="s">
        <v>476</v>
      </c>
      <c r="E236" s="219" t="s">
        <v>99</v>
      </c>
      <c r="F236" s="219" t="s">
        <v>479</v>
      </c>
      <c r="G236" s="224" t="s">
        <v>283</v>
      </c>
      <c r="H236" s="220" t="s">
        <v>283</v>
      </c>
      <c r="I236" s="220" t="s">
        <v>283</v>
      </c>
      <c r="J236" s="220" t="s">
        <v>283</v>
      </c>
      <c r="K236" s="220" t="s">
        <v>283</v>
      </c>
      <c r="L236" s="220" t="s">
        <v>283</v>
      </c>
      <c r="M236" s="220" t="s">
        <v>283</v>
      </c>
      <c r="N236" s="220" t="s">
        <v>283</v>
      </c>
      <c r="O236" s="221" t="s">
        <v>283</v>
      </c>
      <c r="P236" s="221" t="s">
        <v>283</v>
      </c>
      <c r="Q236" s="221" t="s">
        <v>283</v>
      </c>
      <c r="R236" s="221" t="s">
        <v>283</v>
      </c>
      <c r="S236" s="221" t="s">
        <v>283</v>
      </c>
      <c r="T236" s="221" t="s">
        <v>283</v>
      </c>
      <c r="U236" s="221" t="s">
        <v>283</v>
      </c>
      <c r="V236" s="221" t="s">
        <v>283</v>
      </c>
      <c r="W236" s="222" t="s">
        <v>283</v>
      </c>
      <c r="X236" s="222" t="s">
        <v>283</v>
      </c>
      <c r="Y236" s="223" t="s">
        <v>283</v>
      </c>
    </row>
    <row r="237" spans="1:25">
      <c r="A237" s="217">
        <v>5</v>
      </c>
      <c r="B237" s="218" t="str">
        <f>VLOOKUP(Tabel10[[#This Row],[Code]],Ruimtegroepen[[Code]:[Ruimte omschrijving]],2,FALSE)</f>
        <v>Sanitair</v>
      </c>
      <c r="C237" s="219" t="s">
        <v>475</v>
      </c>
      <c r="D237" s="218" t="s">
        <v>476</v>
      </c>
      <c r="E237" s="219" t="s">
        <v>1313</v>
      </c>
      <c r="F237" s="219" t="s">
        <v>1465</v>
      </c>
      <c r="G237" s="224" t="s">
        <v>283</v>
      </c>
      <c r="H237" s="220" t="s">
        <v>283</v>
      </c>
      <c r="I237" s="220" t="s">
        <v>283</v>
      </c>
      <c r="J237" s="220" t="s">
        <v>478</v>
      </c>
      <c r="K237" s="220" t="s">
        <v>15</v>
      </c>
      <c r="L237" s="220" t="s">
        <v>283</v>
      </c>
      <c r="M237" s="220" t="s">
        <v>283</v>
      </c>
      <c r="N237" s="220" t="s">
        <v>283</v>
      </c>
      <c r="O237" s="221" t="s">
        <v>283</v>
      </c>
      <c r="P237" s="221" t="s">
        <v>283</v>
      </c>
      <c r="Q237" s="221" t="s">
        <v>283</v>
      </c>
      <c r="R237" s="221" t="s">
        <v>283</v>
      </c>
      <c r="S237" s="221" t="s">
        <v>283</v>
      </c>
      <c r="T237" s="221" t="s">
        <v>283</v>
      </c>
      <c r="U237" s="221" t="s">
        <v>283</v>
      </c>
      <c r="V237" s="221" t="s">
        <v>283</v>
      </c>
      <c r="W237" s="222" t="s">
        <v>478</v>
      </c>
      <c r="X237" s="222" t="s">
        <v>15</v>
      </c>
      <c r="Y237" s="223" t="s">
        <v>283</v>
      </c>
    </row>
    <row r="238" spans="1:25">
      <c r="A238" s="217">
        <v>5</v>
      </c>
      <c r="B238" s="218" t="str">
        <f>VLOOKUP(Tabel10[[#This Row],[Code]],Ruimtegroepen[[Code]:[Ruimte omschrijving]],2,FALSE)</f>
        <v>Sanitair</v>
      </c>
      <c r="C238" s="219" t="s">
        <v>1264</v>
      </c>
      <c r="D238" s="218" t="s">
        <v>482</v>
      </c>
      <c r="E238" s="219" t="s">
        <v>100</v>
      </c>
      <c r="F238" s="219" t="s">
        <v>483</v>
      </c>
      <c r="G238" s="224" t="s">
        <v>283</v>
      </c>
      <c r="H238" s="220" t="s">
        <v>283</v>
      </c>
      <c r="I238" s="220" t="s">
        <v>283</v>
      </c>
      <c r="J238" s="220" t="s">
        <v>478</v>
      </c>
      <c r="K238" s="220" t="s">
        <v>15</v>
      </c>
      <c r="L238" s="220" t="s">
        <v>283</v>
      </c>
      <c r="M238" s="220" t="s">
        <v>283</v>
      </c>
      <c r="N238" s="220" t="s">
        <v>1263</v>
      </c>
      <c r="O238" s="221" t="s">
        <v>283</v>
      </c>
      <c r="P238" s="221" t="s">
        <v>283</v>
      </c>
      <c r="Q238" s="221" t="s">
        <v>283</v>
      </c>
      <c r="R238" s="221" t="s">
        <v>283</v>
      </c>
      <c r="S238" s="221" t="s">
        <v>283</v>
      </c>
      <c r="T238" s="221" t="s">
        <v>283</v>
      </c>
      <c r="U238" s="221" t="s">
        <v>283</v>
      </c>
      <c r="V238" s="221" t="s">
        <v>283</v>
      </c>
      <c r="W238" s="222" t="s">
        <v>478</v>
      </c>
      <c r="X238" s="222" t="s">
        <v>15</v>
      </c>
      <c r="Y238" s="223" t="s">
        <v>1263</v>
      </c>
    </row>
    <row r="239" spans="1:25">
      <c r="A239" s="217">
        <v>5</v>
      </c>
      <c r="B239" s="218" t="str">
        <f>VLOOKUP(Tabel10[[#This Row],[Code]],Ruimtegroepen[[Code]:[Ruimte omschrijving]],2,FALSE)</f>
        <v>Sanitair</v>
      </c>
      <c r="C239" s="219" t="s">
        <v>1264</v>
      </c>
      <c r="D239" s="218" t="s">
        <v>482</v>
      </c>
      <c r="E239" s="219" t="s">
        <v>99</v>
      </c>
      <c r="F239" s="219" t="s">
        <v>484</v>
      </c>
      <c r="G239" s="224" t="s">
        <v>283</v>
      </c>
      <c r="H239" s="220" t="s">
        <v>283</v>
      </c>
      <c r="I239" s="220" t="s">
        <v>283</v>
      </c>
      <c r="J239" s="220" t="s">
        <v>283</v>
      </c>
      <c r="K239" s="220" t="s">
        <v>283</v>
      </c>
      <c r="L239" s="220" t="s">
        <v>283</v>
      </c>
      <c r="M239" s="220" t="s">
        <v>283</v>
      </c>
      <c r="N239" s="220" t="s">
        <v>283</v>
      </c>
      <c r="O239" s="221" t="s">
        <v>283</v>
      </c>
      <c r="P239" s="221" t="s">
        <v>283</v>
      </c>
      <c r="Q239" s="221" t="s">
        <v>283</v>
      </c>
      <c r="R239" s="221" t="s">
        <v>283</v>
      </c>
      <c r="S239" s="221" t="s">
        <v>283</v>
      </c>
      <c r="T239" s="221" t="s">
        <v>283</v>
      </c>
      <c r="U239" s="221" t="s">
        <v>283</v>
      </c>
      <c r="V239" s="221" t="s">
        <v>283</v>
      </c>
      <c r="W239" s="222" t="s">
        <v>283</v>
      </c>
      <c r="X239" s="222" t="s">
        <v>283</v>
      </c>
      <c r="Y239" s="223" t="s">
        <v>283</v>
      </c>
    </row>
    <row r="240" spans="1:25">
      <c r="A240" s="217">
        <v>5</v>
      </c>
      <c r="B240" s="218" t="str">
        <f>VLOOKUP(Tabel10[[#This Row],[Code]],Ruimtegroepen[[Code]:[Ruimte omschrijving]],2,FALSE)</f>
        <v>Sanitair</v>
      </c>
      <c r="C240" s="219" t="s">
        <v>1264</v>
      </c>
      <c r="D240" s="218" t="s">
        <v>482</v>
      </c>
      <c r="E240" s="219" t="s">
        <v>101</v>
      </c>
      <c r="F240" s="219" t="s">
        <v>485</v>
      </c>
      <c r="G240" s="224" t="s">
        <v>283</v>
      </c>
      <c r="H240" s="220" t="s">
        <v>283</v>
      </c>
      <c r="I240" s="220" t="s">
        <v>283</v>
      </c>
      <c r="J240" s="220" t="s">
        <v>478</v>
      </c>
      <c r="K240" s="220" t="s">
        <v>15</v>
      </c>
      <c r="L240" s="220" t="s">
        <v>283</v>
      </c>
      <c r="M240" s="220" t="s">
        <v>283</v>
      </c>
      <c r="N240" s="220" t="s">
        <v>1263</v>
      </c>
      <c r="O240" s="221" t="s">
        <v>283</v>
      </c>
      <c r="P240" s="221" t="s">
        <v>283</v>
      </c>
      <c r="Q240" s="221" t="s">
        <v>283</v>
      </c>
      <c r="R240" s="221" t="s">
        <v>283</v>
      </c>
      <c r="S240" s="221" t="s">
        <v>283</v>
      </c>
      <c r="T240" s="221" t="s">
        <v>283</v>
      </c>
      <c r="U240" s="221" t="s">
        <v>283</v>
      </c>
      <c r="V240" s="221" t="s">
        <v>283</v>
      </c>
      <c r="W240" s="222" t="s">
        <v>478</v>
      </c>
      <c r="X240" s="222" t="s">
        <v>15</v>
      </c>
      <c r="Y240" s="223" t="s">
        <v>1263</v>
      </c>
    </row>
    <row r="241" spans="1:25">
      <c r="A241" s="217">
        <v>5</v>
      </c>
      <c r="B241" s="218" t="str">
        <f>VLOOKUP(Tabel10[[#This Row],[Code]],Ruimtegroepen[[Code]:[Ruimte omschrijving]],2,FALSE)</f>
        <v>Sanitair</v>
      </c>
      <c r="C241" s="219" t="s">
        <v>1264</v>
      </c>
      <c r="D241" s="218" t="s">
        <v>482</v>
      </c>
      <c r="E241" s="219" t="s">
        <v>102</v>
      </c>
      <c r="F241" s="219" t="s">
        <v>486</v>
      </c>
      <c r="G241" s="224" t="s">
        <v>283</v>
      </c>
      <c r="H241" s="220" t="s">
        <v>283</v>
      </c>
      <c r="I241" s="220" t="s">
        <v>283</v>
      </c>
      <c r="J241" s="220" t="s">
        <v>478</v>
      </c>
      <c r="K241" s="220" t="s">
        <v>15</v>
      </c>
      <c r="L241" s="220" t="s">
        <v>283</v>
      </c>
      <c r="M241" s="220" t="s">
        <v>283</v>
      </c>
      <c r="N241" s="220" t="s">
        <v>1263</v>
      </c>
      <c r="O241" s="221" t="s">
        <v>283</v>
      </c>
      <c r="P241" s="221" t="s">
        <v>283</v>
      </c>
      <c r="Q241" s="221" t="s">
        <v>283</v>
      </c>
      <c r="R241" s="221" t="s">
        <v>283</v>
      </c>
      <c r="S241" s="221" t="s">
        <v>283</v>
      </c>
      <c r="T241" s="221" t="s">
        <v>283</v>
      </c>
      <c r="U241" s="221" t="s">
        <v>283</v>
      </c>
      <c r="V241" s="221" t="s">
        <v>283</v>
      </c>
      <c r="W241" s="222" t="s">
        <v>478</v>
      </c>
      <c r="X241" s="222" t="s">
        <v>15</v>
      </c>
      <c r="Y241" s="223" t="s">
        <v>1263</v>
      </c>
    </row>
    <row r="242" spans="1:25">
      <c r="A242" s="217">
        <v>5</v>
      </c>
      <c r="B242" s="218" t="str">
        <f>VLOOKUP(Tabel10[[#This Row],[Code]],Ruimtegroepen[[Code]:[Ruimte omschrijving]],2,FALSE)</f>
        <v>Sanitair</v>
      </c>
      <c r="C242" s="219" t="s">
        <v>1264</v>
      </c>
      <c r="D242" s="218" t="s">
        <v>482</v>
      </c>
      <c r="E242" s="219" t="s">
        <v>99</v>
      </c>
      <c r="F242" s="219" t="s">
        <v>484</v>
      </c>
      <c r="G242" s="224" t="s">
        <v>283</v>
      </c>
      <c r="H242" s="220" t="s">
        <v>283</v>
      </c>
      <c r="I242" s="220" t="s">
        <v>283</v>
      </c>
      <c r="J242" s="220" t="s">
        <v>283</v>
      </c>
      <c r="K242" s="220" t="s">
        <v>283</v>
      </c>
      <c r="L242" s="220" t="s">
        <v>283</v>
      </c>
      <c r="M242" s="220" t="s">
        <v>283</v>
      </c>
      <c r="N242" s="220" t="s">
        <v>283</v>
      </c>
      <c r="O242" s="221" t="s">
        <v>283</v>
      </c>
      <c r="P242" s="221" t="s">
        <v>283</v>
      </c>
      <c r="Q242" s="221" t="s">
        <v>283</v>
      </c>
      <c r="R242" s="221" t="s">
        <v>283</v>
      </c>
      <c r="S242" s="221" t="s">
        <v>283</v>
      </c>
      <c r="T242" s="221" t="s">
        <v>283</v>
      </c>
      <c r="U242" s="221" t="s">
        <v>283</v>
      </c>
      <c r="V242" s="221" t="s">
        <v>283</v>
      </c>
      <c r="W242" s="222" t="s">
        <v>283</v>
      </c>
      <c r="X242" s="222" t="s">
        <v>283</v>
      </c>
      <c r="Y242" s="223" t="s">
        <v>283</v>
      </c>
    </row>
    <row r="243" spans="1:25">
      <c r="A243" s="217">
        <v>5</v>
      </c>
      <c r="B243" s="218" t="str">
        <f>VLOOKUP(Tabel10[[#This Row],[Code]],Ruimtegroepen[[Code]:[Ruimte omschrijving]],2,FALSE)</f>
        <v>Sanitair</v>
      </c>
      <c r="C243" s="219" t="s">
        <v>1264</v>
      </c>
      <c r="D243" s="218" t="s">
        <v>482</v>
      </c>
      <c r="E243" s="219" t="s">
        <v>1313</v>
      </c>
      <c r="F243" s="219" t="s">
        <v>1446</v>
      </c>
      <c r="G243" s="224" t="s">
        <v>283</v>
      </c>
      <c r="H243" s="220" t="s">
        <v>283</v>
      </c>
      <c r="I243" s="220" t="s">
        <v>283</v>
      </c>
      <c r="J243" s="220" t="s">
        <v>478</v>
      </c>
      <c r="K243" s="220" t="s">
        <v>15</v>
      </c>
      <c r="L243" s="220" t="s">
        <v>283</v>
      </c>
      <c r="M243" s="220" t="s">
        <v>283</v>
      </c>
      <c r="N243" s="220" t="s">
        <v>1263</v>
      </c>
      <c r="O243" s="221" t="s">
        <v>283</v>
      </c>
      <c r="P243" s="221" t="s">
        <v>283</v>
      </c>
      <c r="Q243" s="221" t="s">
        <v>283</v>
      </c>
      <c r="R243" s="221" t="s">
        <v>283</v>
      </c>
      <c r="S243" s="221" t="s">
        <v>283</v>
      </c>
      <c r="T243" s="221" t="s">
        <v>283</v>
      </c>
      <c r="U243" s="221" t="s">
        <v>283</v>
      </c>
      <c r="V243" s="221" t="s">
        <v>283</v>
      </c>
      <c r="W243" s="222" t="s">
        <v>478</v>
      </c>
      <c r="X243" s="222" t="s">
        <v>15</v>
      </c>
      <c r="Y243" s="223" t="s">
        <v>1263</v>
      </c>
    </row>
    <row r="244" spans="1:25">
      <c r="A244" s="217">
        <v>5</v>
      </c>
      <c r="B244" s="218" t="str">
        <f>VLOOKUP(Tabel10[[#This Row],[Code]],Ruimtegroepen[[Code]:[Ruimte omschrijving]],2,FALSE)</f>
        <v>Sanitair</v>
      </c>
      <c r="C244" s="219" t="s">
        <v>487</v>
      </c>
      <c r="D244" s="218" t="s">
        <v>21</v>
      </c>
      <c r="E244" s="219" t="s">
        <v>100</v>
      </c>
      <c r="F244" s="219" t="s">
        <v>488</v>
      </c>
      <c r="G244" s="224" t="s">
        <v>283</v>
      </c>
      <c r="H244" s="220" t="s">
        <v>283</v>
      </c>
      <c r="I244" s="220" t="s">
        <v>283</v>
      </c>
      <c r="J244" s="220" t="s">
        <v>18</v>
      </c>
      <c r="K244" s="220" t="s">
        <v>15</v>
      </c>
      <c r="L244" s="220" t="s">
        <v>283</v>
      </c>
      <c r="M244" s="220" t="s">
        <v>283</v>
      </c>
      <c r="N244" s="220" t="s">
        <v>283</v>
      </c>
      <c r="O244" s="221" t="s">
        <v>283</v>
      </c>
      <c r="P244" s="221" t="s">
        <v>283</v>
      </c>
      <c r="Q244" s="221" t="s">
        <v>283</v>
      </c>
      <c r="R244" s="221" t="s">
        <v>283</v>
      </c>
      <c r="S244" s="221" t="s">
        <v>283</v>
      </c>
      <c r="T244" s="221" t="s">
        <v>283</v>
      </c>
      <c r="U244" s="221" t="s">
        <v>283</v>
      </c>
      <c r="V244" s="221" t="s">
        <v>283</v>
      </c>
      <c r="W244" s="222" t="s">
        <v>18</v>
      </c>
      <c r="X244" s="222" t="s">
        <v>15</v>
      </c>
      <c r="Y244" s="223" t="s">
        <v>283</v>
      </c>
    </row>
    <row r="245" spans="1:25">
      <c r="A245" s="217">
        <v>5</v>
      </c>
      <c r="B245" s="218" t="str">
        <f>VLOOKUP(Tabel10[[#This Row],[Code]],Ruimtegroepen[[Code]:[Ruimte omschrijving]],2,FALSE)</f>
        <v>Sanitair</v>
      </c>
      <c r="C245" s="219" t="s">
        <v>487</v>
      </c>
      <c r="D245" s="218" t="s">
        <v>21</v>
      </c>
      <c r="E245" s="219" t="s">
        <v>99</v>
      </c>
      <c r="F245" s="219" t="s">
        <v>489</v>
      </c>
      <c r="G245" s="224" t="s">
        <v>283</v>
      </c>
      <c r="H245" s="220" t="s">
        <v>283</v>
      </c>
      <c r="I245" s="220" t="s">
        <v>283</v>
      </c>
      <c r="J245" s="220" t="s">
        <v>283</v>
      </c>
      <c r="K245" s="220" t="s">
        <v>283</v>
      </c>
      <c r="L245" s="220" t="s">
        <v>283</v>
      </c>
      <c r="M245" s="220" t="s">
        <v>283</v>
      </c>
      <c r="N245" s="220" t="s">
        <v>283</v>
      </c>
      <c r="O245" s="221" t="s">
        <v>283</v>
      </c>
      <c r="P245" s="221" t="s">
        <v>283</v>
      </c>
      <c r="Q245" s="221" t="s">
        <v>283</v>
      </c>
      <c r="R245" s="221" t="s">
        <v>283</v>
      </c>
      <c r="S245" s="221" t="s">
        <v>283</v>
      </c>
      <c r="T245" s="221" t="s">
        <v>283</v>
      </c>
      <c r="U245" s="221" t="s">
        <v>283</v>
      </c>
      <c r="V245" s="221" t="s">
        <v>283</v>
      </c>
      <c r="W245" s="222" t="s">
        <v>283</v>
      </c>
      <c r="X245" s="222" t="s">
        <v>283</v>
      </c>
      <c r="Y245" s="223" t="s">
        <v>283</v>
      </c>
    </row>
    <row r="246" spans="1:25">
      <c r="A246" s="217">
        <v>5</v>
      </c>
      <c r="B246" s="218" t="str">
        <f>VLOOKUP(Tabel10[[#This Row],[Code]],Ruimtegroepen[[Code]:[Ruimte omschrijving]],2,FALSE)</f>
        <v>Sanitair</v>
      </c>
      <c r="C246" s="219" t="s">
        <v>487</v>
      </c>
      <c r="D246" s="218" t="s">
        <v>21</v>
      </c>
      <c r="E246" s="219" t="s">
        <v>101</v>
      </c>
      <c r="F246" s="219" t="s">
        <v>490</v>
      </c>
      <c r="G246" s="224" t="s">
        <v>283</v>
      </c>
      <c r="H246" s="220" t="s">
        <v>283</v>
      </c>
      <c r="I246" s="220" t="s">
        <v>283</v>
      </c>
      <c r="J246" s="220" t="s">
        <v>18</v>
      </c>
      <c r="K246" s="220" t="s">
        <v>15</v>
      </c>
      <c r="L246" s="220" t="s">
        <v>283</v>
      </c>
      <c r="M246" s="220" t="s">
        <v>283</v>
      </c>
      <c r="N246" s="220" t="s">
        <v>283</v>
      </c>
      <c r="O246" s="221" t="s">
        <v>283</v>
      </c>
      <c r="P246" s="221" t="s">
        <v>283</v>
      </c>
      <c r="Q246" s="221" t="s">
        <v>283</v>
      </c>
      <c r="R246" s="221" t="s">
        <v>283</v>
      </c>
      <c r="S246" s="221" t="s">
        <v>283</v>
      </c>
      <c r="T246" s="221" t="s">
        <v>283</v>
      </c>
      <c r="U246" s="221" t="s">
        <v>283</v>
      </c>
      <c r="V246" s="221" t="s">
        <v>283</v>
      </c>
      <c r="W246" s="222" t="s">
        <v>18</v>
      </c>
      <c r="X246" s="222" t="s">
        <v>15</v>
      </c>
      <c r="Y246" s="223" t="s">
        <v>283</v>
      </c>
    </row>
    <row r="247" spans="1:25">
      <c r="A247" s="217">
        <v>5</v>
      </c>
      <c r="B247" s="218" t="str">
        <f>VLOOKUP(Tabel10[[#This Row],[Code]],Ruimtegroepen[[Code]:[Ruimte omschrijving]],2,FALSE)</f>
        <v>Sanitair</v>
      </c>
      <c r="C247" s="219" t="s">
        <v>487</v>
      </c>
      <c r="D247" s="218" t="s">
        <v>21</v>
      </c>
      <c r="E247" s="219" t="s">
        <v>102</v>
      </c>
      <c r="F247" s="219" t="s">
        <v>491</v>
      </c>
      <c r="G247" s="224" t="s">
        <v>283</v>
      </c>
      <c r="H247" s="220" t="s">
        <v>283</v>
      </c>
      <c r="I247" s="220" t="s">
        <v>283</v>
      </c>
      <c r="J247" s="220" t="s">
        <v>18</v>
      </c>
      <c r="K247" s="220" t="s">
        <v>15</v>
      </c>
      <c r="L247" s="220" t="s">
        <v>283</v>
      </c>
      <c r="M247" s="220" t="s">
        <v>283</v>
      </c>
      <c r="N247" s="220" t="s">
        <v>283</v>
      </c>
      <c r="O247" s="221" t="s">
        <v>283</v>
      </c>
      <c r="P247" s="221" t="s">
        <v>283</v>
      </c>
      <c r="Q247" s="221" t="s">
        <v>283</v>
      </c>
      <c r="R247" s="221" t="s">
        <v>283</v>
      </c>
      <c r="S247" s="221" t="s">
        <v>283</v>
      </c>
      <c r="T247" s="221" t="s">
        <v>283</v>
      </c>
      <c r="U247" s="221" t="s">
        <v>283</v>
      </c>
      <c r="V247" s="221" t="s">
        <v>283</v>
      </c>
      <c r="W247" s="222" t="s">
        <v>18</v>
      </c>
      <c r="X247" s="222" t="s">
        <v>15</v>
      </c>
      <c r="Y247" s="223" t="s">
        <v>283</v>
      </c>
    </row>
    <row r="248" spans="1:25">
      <c r="A248" s="217">
        <v>5</v>
      </c>
      <c r="B248" s="218" t="str">
        <f>VLOOKUP(Tabel10[[#This Row],[Code]],Ruimtegroepen[[Code]:[Ruimte omschrijving]],2,FALSE)</f>
        <v>Sanitair</v>
      </c>
      <c r="C248" s="219" t="s">
        <v>487</v>
      </c>
      <c r="D248" s="218" t="s">
        <v>21</v>
      </c>
      <c r="E248" s="219" t="s">
        <v>99</v>
      </c>
      <c r="F248" s="219" t="s">
        <v>489</v>
      </c>
      <c r="G248" s="224" t="s">
        <v>283</v>
      </c>
      <c r="H248" s="220" t="s">
        <v>283</v>
      </c>
      <c r="I248" s="220" t="s">
        <v>283</v>
      </c>
      <c r="J248" s="220" t="s">
        <v>283</v>
      </c>
      <c r="K248" s="220" t="s">
        <v>283</v>
      </c>
      <c r="L248" s="220" t="s">
        <v>283</v>
      </c>
      <c r="M248" s="220" t="s">
        <v>283</v>
      </c>
      <c r="N248" s="220" t="s">
        <v>283</v>
      </c>
      <c r="O248" s="221" t="s">
        <v>283</v>
      </c>
      <c r="P248" s="221" t="s">
        <v>283</v>
      </c>
      <c r="Q248" s="221" t="s">
        <v>283</v>
      </c>
      <c r="R248" s="221" t="s">
        <v>283</v>
      </c>
      <c r="S248" s="221" t="s">
        <v>283</v>
      </c>
      <c r="T248" s="221" t="s">
        <v>283</v>
      </c>
      <c r="U248" s="221" t="s">
        <v>283</v>
      </c>
      <c r="V248" s="221" t="s">
        <v>283</v>
      </c>
      <c r="W248" s="222" t="s">
        <v>283</v>
      </c>
      <c r="X248" s="222" t="s">
        <v>283</v>
      </c>
      <c r="Y248" s="223" t="s">
        <v>283</v>
      </c>
    </row>
    <row r="249" spans="1:25">
      <c r="A249" s="217">
        <v>5</v>
      </c>
      <c r="B249" s="218" t="str">
        <f>VLOOKUP(Tabel10[[#This Row],[Code]],Ruimtegroepen[[Code]:[Ruimte omschrijving]],2,FALSE)</f>
        <v>Sanitair</v>
      </c>
      <c r="C249" s="219" t="s">
        <v>487</v>
      </c>
      <c r="D249" s="218" t="s">
        <v>21</v>
      </c>
      <c r="E249" s="219" t="s">
        <v>1313</v>
      </c>
      <c r="F249" s="219" t="s">
        <v>1449</v>
      </c>
      <c r="G249" s="224" t="s">
        <v>283</v>
      </c>
      <c r="H249" s="220" t="s">
        <v>283</v>
      </c>
      <c r="I249" s="220" t="s">
        <v>283</v>
      </c>
      <c r="J249" s="220" t="s">
        <v>18</v>
      </c>
      <c r="K249" s="220" t="s">
        <v>15</v>
      </c>
      <c r="L249" s="220" t="s">
        <v>283</v>
      </c>
      <c r="M249" s="220" t="s">
        <v>283</v>
      </c>
      <c r="N249" s="220" t="s">
        <v>283</v>
      </c>
      <c r="O249" s="221" t="s">
        <v>283</v>
      </c>
      <c r="P249" s="221" t="s">
        <v>283</v>
      </c>
      <c r="Q249" s="221" t="s">
        <v>283</v>
      </c>
      <c r="R249" s="221" t="s">
        <v>283</v>
      </c>
      <c r="S249" s="221" t="s">
        <v>283</v>
      </c>
      <c r="T249" s="221" t="s">
        <v>283</v>
      </c>
      <c r="U249" s="221" t="s">
        <v>283</v>
      </c>
      <c r="V249" s="221" t="s">
        <v>283</v>
      </c>
      <c r="W249" s="222" t="s">
        <v>18</v>
      </c>
      <c r="X249" s="222" t="s">
        <v>15</v>
      </c>
      <c r="Y249" s="223" t="s">
        <v>283</v>
      </c>
    </row>
    <row r="250" spans="1:25">
      <c r="A250" s="217">
        <v>5</v>
      </c>
      <c r="B250" s="218" t="str">
        <f>VLOOKUP(Tabel10[[#This Row],[Code]],Ruimtegroepen[[Code]:[Ruimte omschrijving]],2,FALSE)</f>
        <v>Sanitair</v>
      </c>
      <c r="C250" s="219" t="s">
        <v>492</v>
      </c>
      <c r="D250" s="218" t="s">
        <v>12</v>
      </c>
      <c r="E250" s="219" t="s">
        <v>100</v>
      </c>
      <c r="F250" s="219" t="s">
        <v>493</v>
      </c>
      <c r="G250" s="224" t="s">
        <v>283</v>
      </c>
      <c r="H250" s="220" t="s">
        <v>283</v>
      </c>
      <c r="I250" s="220" t="s">
        <v>283</v>
      </c>
      <c r="J250" s="220" t="s">
        <v>17</v>
      </c>
      <c r="K250" s="220" t="s">
        <v>15</v>
      </c>
      <c r="L250" s="220" t="s">
        <v>283</v>
      </c>
      <c r="M250" s="220" t="s">
        <v>283</v>
      </c>
      <c r="N250" s="220" t="s">
        <v>283</v>
      </c>
      <c r="O250" s="221" t="s">
        <v>283</v>
      </c>
      <c r="P250" s="221" t="s">
        <v>283</v>
      </c>
      <c r="Q250" s="221" t="s">
        <v>283</v>
      </c>
      <c r="R250" s="221" t="s">
        <v>283</v>
      </c>
      <c r="S250" s="221" t="s">
        <v>283</v>
      </c>
      <c r="T250" s="221" t="s">
        <v>283</v>
      </c>
      <c r="U250" s="221" t="s">
        <v>283</v>
      </c>
      <c r="V250" s="221" t="s">
        <v>283</v>
      </c>
      <c r="W250" s="222" t="s">
        <v>17</v>
      </c>
      <c r="X250" s="222" t="s">
        <v>15</v>
      </c>
      <c r="Y250" s="223" t="s">
        <v>283</v>
      </c>
    </row>
    <row r="251" spans="1:25">
      <c r="A251" s="217">
        <v>5</v>
      </c>
      <c r="B251" s="218" t="str">
        <f>VLOOKUP(Tabel10[[#This Row],[Code]],Ruimtegroepen[[Code]:[Ruimte omschrijving]],2,FALSE)</f>
        <v>Sanitair</v>
      </c>
      <c r="C251" s="219" t="s">
        <v>492</v>
      </c>
      <c r="D251" s="218" t="s">
        <v>12</v>
      </c>
      <c r="E251" s="219" t="s">
        <v>99</v>
      </c>
      <c r="F251" s="219" t="s">
        <v>494</v>
      </c>
      <c r="G251" s="224" t="s">
        <v>283</v>
      </c>
      <c r="H251" s="220" t="s">
        <v>283</v>
      </c>
      <c r="I251" s="220" t="s">
        <v>283</v>
      </c>
      <c r="J251" s="220" t="s">
        <v>283</v>
      </c>
      <c r="K251" s="220" t="s">
        <v>283</v>
      </c>
      <c r="L251" s="220" t="s">
        <v>283</v>
      </c>
      <c r="M251" s="220" t="s">
        <v>283</v>
      </c>
      <c r="N251" s="220" t="s">
        <v>283</v>
      </c>
      <c r="O251" s="221" t="s">
        <v>283</v>
      </c>
      <c r="P251" s="221" t="s">
        <v>283</v>
      </c>
      <c r="Q251" s="221" t="s">
        <v>283</v>
      </c>
      <c r="R251" s="221" t="s">
        <v>283</v>
      </c>
      <c r="S251" s="221" t="s">
        <v>283</v>
      </c>
      <c r="T251" s="221" t="s">
        <v>283</v>
      </c>
      <c r="U251" s="221" t="s">
        <v>283</v>
      </c>
      <c r="V251" s="221" t="s">
        <v>283</v>
      </c>
      <c r="W251" s="222" t="s">
        <v>283</v>
      </c>
      <c r="X251" s="222" t="s">
        <v>283</v>
      </c>
      <c r="Y251" s="223" t="s">
        <v>283</v>
      </c>
    </row>
    <row r="252" spans="1:25">
      <c r="A252" s="217">
        <v>5</v>
      </c>
      <c r="B252" s="218" t="str">
        <f>VLOOKUP(Tabel10[[#This Row],[Code]],Ruimtegroepen[[Code]:[Ruimte omschrijving]],2,FALSE)</f>
        <v>Sanitair</v>
      </c>
      <c r="C252" s="219" t="s">
        <v>492</v>
      </c>
      <c r="D252" s="218" t="s">
        <v>12</v>
      </c>
      <c r="E252" s="219" t="s">
        <v>101</v>
      </c>
      <c r="F252" s="219" t="s">
        <v>495</v>
      </c>
      <c r="G252" s="224" t="s">
        <v>283</v>
      </c>
      <c r="H252" s="220" t="s">
        <v>283</v>
      </c>
      <c r="I252" s="220" t="s">
        <v>283</v>
      </c>
      <c r="J252" s="220" t="s">
        <v>17</v>
      </c>
      <c r="K252" s="220" t="s">
        <v>15</v>
      </c>
      <c r="L252" s="220" t="s">
        <v>283</v>
      </c>
      <c r="M252" s="220" t="s">
        <v>283</v>
      </c>
      <c r="N252" s="220" t="s">
        <v>283</v>
      </c>
      <c r="O252" s="221" t="s">
        <v>283</v>
      </c>
      <c r="P252" s="221" t="s">
        <v>283</v>
      </c>
      <c r="Q252" s="221" t="s">
        <v>283</v>
      </c>
      <c r="R252" s="221" t="s">
        <v>283</v>
      </c>
      <c r="S252" s="221" t="s">
        <v>283</v>
      </c>
      <c r="T252" s="221" t="s">
        <v>283</v>
      </c>
      <c r="U252" s="221" t="s">
        <v>283</v>
      </c>
      <c r="V252" s="221" t="s">
        <v>283</v>
      </c>
      <c r="W252" s="222" t="s">
        <v>17</v>
      </c>
      <c r="X252" s="222" t="s">
        <v>15</v>
      </c>
      <c r="Y252" s="223" t="s">
        <v>283</v>
      </c>
    </row>
    <row r="253" spans="1:25">
      <c r="A253" s="217">
        <v>5</v>
      </c>
      <c r="B253" s="218" t="str">
        <f>VLOOKUP(Tabel10[[#This Row],[Code]],Ruimtegroepen[[Code]:[Ruimte omschrijving]],2,FALSE)</f>
        <v>Sanitair</v>
      </c>
      <c r="C253" s="219" t="s">
        <v>492</v>
      </c>
      <c r="D253" s="218" t="s">
        <v>12</v>
      </c>
      <c r="E253" s="219" t="s">
        <v>102</v>
      </c>
      <c r="F253" s="219" t="s">
        <v>496</v>
      </c>
      <c r="G253" s="224" t="s">
        <v>283</v>
      </c>
      <c r="H253" s="220" t="s">
        <v>283</v>
      </c>
      <c r="I253" s="220" t="s">
        <v>283</v>
      </c>
      <c r="J253" s="220" t="s">
        <v>17</v>
      </c>
      <c r="K253" s="220" t="s">
        <v>15</v>
      </c>
      <c r="L253" s="220" t="s">
        <v>283</v>
      </c>
      <c r="M253" s="220" t="s">
        <v>283</v>
      </c>
      <c r="N253" s="220" t="s">
        <v>283</v>
      </c>
      <c r="O253" s="221" t="s">
        <v>283</v>
      </c>
      <c r="P253" s="221" t="s">
        <v>283</v>
      </c>
      <c r="Q253" s="221" t="s">
        <v>283</v>
      </c>
      <c r="R253" s="221" t="s">
        <v>283</v>
      </c>
      <c r="S253" s="221" t="s">
        <v>283</v>
      </c>
      <c r="T253" s="221" t="s">
        <v>283</v>
      </c>
      <c r="U253" s="221" t="s">
        <v>283</v>
      </c>
      <c r="V253" s="221" t="s">
        <v>283</v>
      </c>
      <c r="W253" s="222" t="s">
        <v>17</v>
      </c>
      <c r="X253" s="222" t="s">
        <v>15</v>
      </c>
      <c r="Y253" s="223" t="s">
        <v>283</v>
      </c>
    </row>
    <row r="254" spans="1:25">
      <c r="A254" s="217">
        <v>5</v>
      </c>
      <c r="B254" s="218" t="str">
        <f>VLOOKUP(Tabel10[[#This Row],[Code]],Ruimtegroepen[[Code]:[Ruimte omschrijving]],2,FALSE)</f>
        <v>Sanitair</v>
      </c>
      <c r="C254" s="219" t="s">
        <v>492</v>
      </c>
      <c r="D254" s="218" t="s">
        <v>12</v>
      </c>
      <c r="E254" s="219" t="s">
        <v>99</v>
      </c>
      <c r="F254" s="219" t="s">
        <v>494</v>
      </c>
      <c r="G254" s="224" t="s">
        <v>283</v>
      </c>
      <c r="H254" s="220" t="s">
        <v>283</v>
      </c>
      <c r="I254" s="220" t="s">
        <v>283</v>
      </c>
      <c r="J254" s="220" t="s">
        <v>283</v>
      </c>
      <c r="K254" s="220" t="s">
        <v>283</v>
      </c>
      <c r="L254" s="220" t="s">
        <v>283</v>
      </c>
      <c r="M254" s="220" t="s">
        <v>283</v>
      </c>
      <c r="N254" s="220" t="s">
        <v>283</v>
      </c>
      <c r="O254" s="221" t="s">
        <v>283</v>
      </c>
      <c r="P254" s="221" t="s">
        <v>283</v>
      </c>
      <c r="Q254" s="221" t="s">
        <v>283</v>
      </c>
      <c r="R254" s="221" t="s">
        <v>283</v>
      </c>
      <c r="S254" s="221" t="s">
        <v>283</v>
      </c>
      <c r="T254" s="221" t="s">
        <v>283</v>
      </c>
      <c r="U254" s="221" t="s">
        <v>283</v>
      </c>
      <c r="V254" s="221" t="s">
        <v>283</v>
      </c>
      <c r="W254" s="222" t="s">
        <v>283</v>
      </c>
      <c r="X254" s="222" t="s">
        <v>283</v>
      </c>
      <c r="Y254" s="223" t="s">
        <v>283</v>
      </c>
    </row>
    <row r="255" spans="1:25">
      <c r="A255" s="217">
        <v>5</v>
      </c>
      <c r="B255" s="218" t="str">
        <f>VLOOKUP(Tabel10[[#This Row],[Code]],Ruimtegroepen[[Code]:[Ruimte omschrijving]],2,FALSE)</f>
        <v>Sanitair</v>
      </c>
      <c r="C255" s="219" t="s">
        <v>492</v>
      </c>
      <c r="D255" s="218" t="s">
        <v>12</v>
      </c>
      <c r="E255" s="219" t="s">
        <v>1313</v>
      </c>
      <c r="F255" s="219" t="s">
        <v>1431</v>
      </c>
      <c r="G255" s="224" t="s">
        <v>283</v>
      </c>
      <c r="H255" s="220" t="s">
        <v>283</v>
      </c>
      <c r="I255" s="220" t="s">
        <v>283</v>
      </c>
      <c r="J255" s="220" t="s">
        <v>17</v>
      </c>
      <c r="K255" s="220" t="s">
        <v>15</v>
      </c>
      <c r="L255" s="220" t="s">
        <v>283</v>
      </c>
      <c r="M255" s="220" t="s">
        <v>283</v>
      </c>
      <c r="N255" s="220" t="s">
        <v>283</v>
      </c>
      <c r="O255" s="221" t="s">
        <v>283</v>
      </c>
      <c r="P255" s="221" t="s">
        <v>283</v>
      </c>
      <c r="Q255" s="221" t="s">
        <v>283</v>
      </c>
      <c r="R255" s="221" t="s">
        <v>283</v>
      </c>
      <c r="S255" s="221" t="s">
        <v>283</v>
      </c>
      <c r="T255" s="221" t="s">
        <v>283</v>
      </c>
      <c r="U255" s="221" t="s">
        <v>283</v>
      </c>
      <c r="V255" s="221" t="s">
        <v>283</v>
      </c>
      <c r="W255" s="222" t="s">
        <v>17</v>
      </c>
      <c r="X255" s="222" t="s">
        <v>15</v>
      </c>
      <c r="Y255" s="223" t="s">
        <v>283</v>
      </c>
    </row>
    <row r="256" spans="1:25">
      <c r="A256" s="217">
        <v>5</v>
      </c>
      <c r="B256" s="218" t="str">
        <f>VLOOKUP(Tabel10[[#This Row],[Code]],Ruimtegroepen[[Code]:[Ruimte omschrijving]],2,FALSE)</f>
        <v>Sanitair</v>
      </c>
      <c r="C256" s="219" t="s">
        <v>497</v>
      </c>
      <c r="D256" s="218" t="s">
        <v>14</v>
      </c>
      <c r="E256" s="219" t="s">
        <v>100</v>
      </c>
      <c r="F256" s="219" t="s">
        <v>498</v>
      </c>
      <c r="G256" s="224" t="s">
        <v>283</v>
      </c>
      <c r="H256" s="220" t="s">
        <v>283</v>
      </c>
      <c r="I256" s="220" t="s">
        <v>283</v>
      </c>
      <c r="J256" s="220" t="s">
        <v>15</v>
      </c>
      <c r="K256" s="220" t="s">
        <v>15</v>
      </c>
      <c r="L256" s="220" t="s">
        <v>283</v>
      </c>
      <c r="M256" s="220" t="s">
        <v>283</v>
      </c>
      <c r="N256" s="220" t="s">
        <v>283</v>
      </c>
      <c r="O256" s="221" t="s">
        <v>283</v>
      </c>
      <c r="P256" s="221" t="s">
        <v>283</v>
      </c>
      <c r="Q256" s="221" t="s">
        <v>283</v>
      </c>
      <c r="R256" s="221" t="s">
        <v>283</v>
      </c>
      <c r="S256" s="221" t="s">
        <v>283</v>
      </c>
      <c r="T256" s="221" t="s">
        <v>283</v>
      </c>
      <c r="U256" s="221" t="s">
        <v>283</v>
      </c>
      <c r="V256" s="221" t="s">
        <v>283</v>
      </c>
      <c r="W256" s="222" t="s">
        <v>15</v>
      </c>
      <c r="X256" s="222" t="s">
        <v>15</v>
      </c>
      <c r="Y256" s="223" t="s">
        <v>283</v>
      </c>
    </row>
    <row r="257" spans="1:25">
      <c r="A257" s="217">
        <v>5</v>
      </c>
      <c r="B257" s="218" t="str">
        <f>VLOOKUP(Tabel10[[#This Row],[Code]],Ruimtegroepen[[Code]:[Ruimte omschrijving]],2,FALSE)</f>
        <v>Sanitair</v>
      </c>
      <c r="C257" s="219" t="s">
        <v>497</v>
      </c>
      <c r="D257" s="218" t="s">
        <v>14</v>
      </c>
      <c r="E257" s="219" t="s">
        <v>99</v>
      </c>
      <c r="F257" s="219" t="s">
        <v>499</v>
      </c>
      <c r="G257" s="224" t="s">
        <v>283</v>
      </c>
      <c r="H257" s="220" t="s">
        <v>283</v>
      </c>
      <c r="I257" s="220" t="s">
        <v>283</v>
      </c>
      <c r="J257" s="220" t="s">
        <v>283</v>
      </c>
      <c r="K257" s="220" t="s">
        <v>283</v>
      </c>
      <c r="L257" s="220" t="s">
        <v>283</v>
      </c>
      <c r="M257" s="220" t="s">
        <v>283</v>
      </c>
      <c r="N257" s="220" t="s">
        <v>283</v>
      </c>
      <c r="O257" s="221" t="s">
        <v>283</v>
      </c>
      <c r="P257" s="221" t="s">
        <v>283</v>
      </c>
      <c r="Q257" s="221" t="s">
        <v>283</v>
      </c>
      <c r="R257" s="221" t="s">
        <v>283</v>
      </c>
      <c r="S257" s="221" t="s">
        <v>283</v>
      </c>
      <c r="T257" s="221" t="s">
        <v>283</v>
      </c>
      <c r="U257" s="221" t="s">
        <v>283</v>
      </c>
      <c r="V257" s="221" t="s">
        <v>283</v>
      </c>
      <c r="W257" s="222" t="s">
        <v>283</v>
      </c>
      <c r="X257" s="222" t="s">
        <v>283</v>
      </c>
      <c r="Y257" s="223" t="s">
        <v>283</v>
      </c>
    </row>
    <row r="258" spans="1:25">
      <c r="A258" s="217">
        <v>5</v>
      </c>
      <c r="B258" s="218" t="str">
        <f>VLOOKUP(Tabel10[[#This Row],[Code]],Ruimtegroepen[[Code]:[Ruimte omschrijving]],2,FALSE)</f>
        <v>Sanitair</v>
      </c>
      <c r="C258" s="219" t="s">
        <v>497</v>
      </c>
      <c r="D258" s="218" t="s">
        <v>14</v>
      </c>
      <c r="E258" s="219" t="s">
        <v>101</v>
      </c>
      <c r="F258" s="219" t="s">
        <v>500</v>
      </c>
      <c r="G258" s="224" t="s">
        <v>283</v>
      </c>
      <c r="H258" s="220" t="s">
        <v>283</v>
      </c>
      <c r="I258" s="220" t="s">
        <v>283</v>
      </c>
      <c r="J258" s="220" t="s">
        <v>15</v>
      </c>
      <c r="K258" s="220" t="s">
        <v>15</v>
      </c>
      <c r="L258" s="220" t="s">
        <v>283</v>
      </c>
      <c r="M258" s="220" t="s">
        <v>283</v>
      </c>
      <c r="N258" s="220" t="s">
        <v>283</v>
      </c>
      <c r="O258" s="221" t="s">
        <v>283</v>
      </c>
      <c r="P258" s="221" t="s">
        <v>283</v>
      </c>
      <c r="Q258" s="221" t="s">
        <v>283</v>
      </c>
      <c r="R258" s="221" t="s">
        <v>283</v>
      </c>
      <c r="S258" s="221" t="s">
        <v>283</v>
      </c>
      <c r="T258" s="221" t="s">
        <v>283</v>
      </c>
      <c r="U258" s="221" t="s">
        <v>283</v>
      </c>
      <c r="V258" s="221" t="s">
        <v>283</v>
      </c>
      <c r="W258" s="222" t="s">
        <v>15</v>
      </c>
      <c r="X258" s="222" t="s">
        <v>15</v>
      </c>
      <c r="Y258" s="223" t="s">
        <v>283</v>
      </c>
    </row>
    <row r="259" spans="1:25">
      <c r="A259" s="217">
        <v>5</v>
      </c>
      <c r="B259" s="218" t="str">
        <f>VLOOKUP(Tabel10[[#This Row],[Code]],Ruimtegroepen[[Code]:[Ruimte omschrijving]],2,FALSE)</f>
        <v>Sanitair</v>
      </c>
      <c r="C259" s="219" t="s">
        <v>497</v>
      </c>
      <c r="D259" s="218" t="s">
        <v>14</v>
      </c>
      <c r="E259" s="219" t="s">
        <v>102</v>
      </c>
      <c r="F259" s="219" t="s">
        <v>501</v>
      </c>
      <c r="G259" s="224" t="s">
        <v>283</v>
      </c>
      <c r="H259" s="220" t="s">
        <v>283</v>
      </c>
      <c r="I259" s="220" t="s">
        <v>283</v>
      </c>
      <c r="J259" s="220" t="s">
        <v>15</v>
      </c>
      <c r="K259" s="220" t="s">
        <v>15</v>
      </c>
      <c r="L259" s="220" t="s">
        <v>283</v>
      </c>
      <c r="M259" s="220" t="s">
        <v>283</v>
      </c>
      <c r="N259" s="220" t="s">
        <v>283</v>
      </c>
      <c r="O259" s="221" t="s">
        <v>283</v>
      </c>
      <c r="P259" s="221" t="s">
        <v>283</v>
      </c>
      <c r="Q259" s="221" t="s">
        <v>283</v>
      </c>
      <c r="R259" s="221" t="s">
        <v>283</v>
      </c>
      <c r="S259" s="221" t="s">
        <v>283</v>
      </c>
      <c r="T259" s="221" t="s">
        <v>283</v>
      </c>
      <c r="U259" s="221" t="s">
        <v>283</v>
      </c>
      <c r="V259" s="221" t="s">
        <v>283</v>
      </c>
      <c r="W259" s="222" t="s">
        <v>15</v>
      </c>
      <c r="X259" s="222" t="s">
        <v>15</v>
      </c>
      <c r="Y259" s="223" t="s">
        <v>283</v>
      </c>
    </row>
    <row r="260" spans="1:25">
      <c r="A260" s="217">
        <v>5</v>
      </c>
      <c r="B260" s="218" t="str">
        <f>VLOOKUP(Tabel10[[#This Row],[Code]],Ruimtegroepen[[Code]:[Ruimte omschrijving]],2,FALSE)</f>
        <v>Sanitair</v>
      </c>
      <c r="C260" s="219" t="s">
        <v>497</v>
      </c>
      <c r="D260" s="218" t="s">
        <v>14</v>
      </c>
      <c r="E260" s="219" t="s">
        <v>99</v>
      </c>
      <c r="F260" s="219" t="s">
        <v>499</v>
      </c>
      <c r="G260" s="224" t="s">
        <v>283</v>
      </c>
      <c r="H260" s="220" t="s">
        <v>283</v>
      </c>
      <c r="I260" s="220" t="s">
        <v>283</v>
      </c>
      <c r="J260" s="220" t="s">
        <v>283</v>
      </c>
      <c r="K260" s="220" t="s">
        <v>283</v>
      </c>
      <c r="L260" s="220" t="s">
        <v>283</v>
      </c>
      <c r="M260" s="220" t="s">
        <v>283</v>
      </c>
      <c r="N260" s="220" t="s">
        <v>283</v>
      </c>
      <c r="O260" s="221" t="s">
        <v>283</v>
      </c>
      <c r="P260" s="221" t="s">
        <v>283</v>
      </c>
      <c r="Q260" s="221" t="s">
        <v>283</v>
      </c>
      <c r="R260" s="221" t="s">
        <v>283</v>
      </c>
      <c r="S260" s="221" t="s">
        <v>283</v>
      </c>
      <c r="T260" s="221" t="s">
        <v>283</v>
      </c>
      <c r="U260" s="221" t="s">
        <v>283</v>
      </c>
      <c r="V260" s="221" t="s">
        <v>283</v>
      </c>
      <c r="W260" s="222" t="s">
        <v>283</v>
      </c>
      <c r="X260" s="222" t="s">
        <v>283</v>
      </c>
      <c r="Y260" s="223" t="s">
        <v>283</v>
      </c>
    </row>
    <row r="261" spans="1:25">
      <c r="A261" s="217">
        <v>5</v>
      </c>
      <c r="B261" s="218" t="str">
        <f>VLOOKUP(Tabel10[[#This Row],[Code]],Ruimtegroepen[[Code]:[Ruimte omschrijving]],2,FALSE)</f>
        <v>Sanitair</v>
      </c>
      <c r="C261" s="219" t="s">
        <v>497</v>
      </c>
      <c r="D261" s="218" t="s">
        <v>14</v>
      </c>
      <c r="E261" s="219" t="s">
        <v>1313</v>
      </c>
      <c r="F261" s="219" t="s">
        <v>1398</v>
      </c>
      <c r="G261" s="224" t="s">
        <v>283</v>
      </c>
      <c r="H261" s="220" t="s">
        <v>283</v>
      </c>
      <c r="I261" s="220" t="s">
        <v>283</v>
      </c>
      <c r="J261" s="220" t="s">
        <v>15</v>
      </c>
      <c r="K261" s="220" t="s">
        <v>15</v>
      </c>
      <c r="L261" s="220" t="s">
        <v>283</v>
      </c>
      <c r="M261" s="220" t="s">
        <v>283</v>
      </c>
      <c r="N261" s="220" t="s">
        <v>283</v>
      </c>
      <c r="O261" s="221" t="s">
        <v>283</v>
      </c>
      <c r="P261" s="221" t="s">
        <v>283</v>
      </c>
      <c r="Q261" s="221" t="s">
        <v>283</v>
      </c>
      <c r="R261" s="221" t="s">
        <v>283</v>
      </c>
      <c r="S261" s="221" t="s">
        <v>283</v>
      </c>
      <c r="T261" s="221" t="s">
        <v>283</v>
      </c>
      <c r="U261" s="221" t="s">
        <v>283</v>
      </c>
      <c r="V261" s="221" t="s">
        <v>283</v>
      </c>
      <c r="W261" s="222" t="s">
        <v>15</v>
      </c>
      <c r="X261" s="222" t="s">
        <v>15</v>
      </c>
      <c r="Y261" s="223" t="s">
        <v>283</v>
      </c>
    </row>
    <row r="262" spans="1:25">
      <c r="A262" s="217">
        <v>5</v>
      </c>
      <c r="B262" s="218" t="str">
        <f>VLOOKUP(Tabel10[[#This Row],[Code]],Ruimtegroepen[[Code]:[Ruimte omschrijving]],2,FALSE)</f>
        <v>Sanitair</v>
      </c>
      <c r="C262" s="219" t="s">
        <v>502</v>
      </c>
      <c r="D262" s="218" t="s">
        <v>13</v>
      </c>
      <c r="E262" s="219" t="s">
        <v>100</v>
      </c>
      <c r="F262" s="219" t="s">
        <v>503</v>
      </c>
      <c r="G262" s="224" t="s">
        <v>283</v>
      </c>
      <c r="H262" s="220" t="s">
        <v>283</v>
      </c>
      <c r="I262" s="220" t="s">
        <v>283</v>
      </c>
      <c r="J262" s="220" t="s">
        <v>283</v>
      </c>
      <c r="K262" s="220" t="s">
        <v>15</v>
      </c>
      <c r="L262" s="220" t="s">
        <v>283</v>
      </c>
      <c r="M262" s="220" t="s">
        <v>283</v>
      </c>
      <c r="N262" s="220" t="s">
        <v>283</v>
      </c>
      <c r="O262" s="221" t="s">
        <v>283</v>
      </c>
      <c r="P262" s="221" t="s">
        <v>283</v>
      </c>
      <c r="Q262" s="221" t="s">
        <v>283</v>
      </c>
      <c r="R262" s="221" t="s">
        <v>283</v>
      </c>
      <c r="S262" s="221" t="s">
        <v>283</v>
      </c>
      <c r="T262" s="221" t="s">
        <v>283</v>
      </c>
      <c r="U262" s="221" t="s">
        <v>283</v>
      </c>
      <c r="V262" s="221" t="s">
        <v>283</v>
      </c>
      <c r="W262" s="222" t="s">
        <v>283</v>
      </c>
      <c r="X262" s="222" t="s">
        <v>15</v>
      </c>
      <c r="Y262" s="223" t="s">
        <v>283</v>
      </c>
    </row>
    <row r="263" spans="1:25">
      <c r="A263" s="217">
        <v>5</v>
      </c>
      <c r="B263" s="218" t="str">
        <f>VLOOKUP(Tabel10[[#This Row],[Code]],Ruimtegroepen[[Code]:[Ruimte omschrijving]],2,FALSE)</f>
        <v>Sanitair</v>
      </c>
      <c r="C263" s="219" t="s">
        <v>502</v>
      </c>
      <c r="D263" s="218" t="s">
        <v>13</v>
      </c>
      <c r="E263" s="219" t="s">
        <v>99</v>
      </c>
      <c r="F263" s="219" t="s">
        <v>504</v>
      </c>
      <c r="G263" s="224" t="s">
        <v>283</v>
      </c>
      <c r="H263" s="220" t="s">
        <v>283</v>
      </c>
      <c r="I263" s="220" t="s">
        <v>283</v>
      </c>
      <c r="J263" s="220" t="s">
        <v>283</v>
      </c>
      <c r="K263" s="220" t="s">
        <v>283</v>
      </c>
      <c r="L263" s="220" t="s">
        <v>283</v>
      </c>
      <c r="M263" s="220" t="s">
        <v>283</v>
      </c>
      <c r="N263" s="220" t="s">
        <v>283</v>
      </c>
      <c r="O263" s="221" t="s">
        <v>283</v>
      </c>
      <c r="P263" s="221" t="s">
        <v>283</v>
      </c>
      <c r="Q263" s="221" t="s">
        <v>283</v>
      </c>
      <c r="R263" s="221" t="s">
        <v>283</v>
      </c>
      <c r="S263" s="221" t="s">
        <v>283</v>
      </c>
      <c r="T263" s="221" t="s">
        <v>283</v>
      </c>
      <c r="U263" s="221" t="s">
        <v>283</v>
      </c>
      <c r="V263" s="221" t="s">
        <v>283</v>
      </c>
      <c r="W263" s="222" t="s">
        <v>283</v>
      </c>
      <c r="X263" s="222" t="s">
        <v>283</v>
      </c>
      <c r="Y263" s="223" t="s">
        <v>283</v>
      </c>
    </row>
    <row r="264" spans="1:25">
      <c r="A264" s="217">
        <v>5</v>
      </c>
      <c r="B264" s="218" t="str">
        <f>VLOOKUP(Tabel10[[#This Row],[Code]],Ruimtegroepen[[Code]:[Ruimte omschrijving]],2,FALSE)</f>
        <v>Sanitair</v>
      </c>
      <c r="C264" s="219" t="s">
        <v>502</v>
      </c>
      <c r="D264" s="218" t="s">
        <v>13</v>
      </c>
      <c r="E264" s="219" t="s">
        <v>101</v>
      </c>
      <c r="F264" s="219" t="s">
        <v>505</v>
      </c>
      <c r="G264" s="224" t="s">
        <v>283</v>
      </c>
      <c r="H264" s="220" t="s">
        <v>283</v>
      </c>
      <c r="I264" s="220" t="s">
        <v>283</v>
      </c>
      <c r="J264" s="220" t="s">
        <v>283</v>
      </c>
      <c r="K264" s="220" t="s">
        <v>15</v>
      </c>
      <c r="L264" s="220" t="s">
        <v>283</v>
      </c>
      <c r="M264" s="220" t="s">
        <v>283</v>
      </c>
      <c r="N264" s="220" t="s">
        <v>283</v>
      </c>
      <c r="O264" s="221" t="s">
        <v>283</v>
      </c>
      <c r="P264" s="221" t="s">
        <v>283</v>
      </c>
      <c r="Q264" s="221" t="s">
        <v>283</v>
      </c>
      <c r="R264" s="221" t="s">
        <v>283</v>
      </c>
      <c r="S264" s="221" t="s">
        <v>283</v>
      </c>
      <c r="T264" s="221" t="s">
        <v>283</v>
      </c>
      <c r="U264" s="221" t="s">
        <v>283</v>
      </c>
      <c r="V264" s="221" t="s">
        <v>283</v>
      </c>
      <c r="W264" s="222" t="s">
        <v>283</v>
      </c>
      <c r="X264" s="222" t="s">
        <v>15</v>
      </c>
      <c r="Y264" s="223" t="s">
        <v>283</v>
      </c>
    </row>
    <row r="265" spans="1:25">
      <c r="A265" s="217">
        <v>5</v>
      </c>
      <c r="B265" s="218" t="str">
        <f>VLOOKUP(Tabel10[[#This Row],[Code]],Ruimtegroepen[[Code]:[Ruimte omschrijving]],2,FALSE)</f>
        <v>Sanitair</v>
      </c>
      <c r="C265" s="219" t="s">
        <v>502</v>
      </c>
      <c r="D265" s="218" t="s">
        <v>13</v>
      </c>
      <c r="E265" s="219" t="s">
        <v>102</v>
      </c>
      <c r="F265" s="219" t="s">
        <v>506</v>
      </c>
      <c r="G265" s="224" t="s">
        <v>283</v>
      </c>
      <c r="H265" s="220" t="s">
        <v>283</v>
      </c>
      <c r="I265" s="220" t="s">
        <v>283</v>
      </c>
      <c r="J265" s="220" t="s">
        <v>283</v>
      </c>
      <c r="K265" s="220" t="s">
        <v>15</v>
      </c>
      <c r="L265" s="220" t="s">
        <v>283</v>
      </c>
      <c r="M265" s="220" t="s">
        <v>283</v>
      </c>
      <c r="N265" s="220" t="s">
        <v>283</v>
      </c>
      <c r="O265" s="221" t="s">
        <v>283</v>
      </c>
      <c r="P265" s="221" t="s">
        <v>283</v>
      </c>
      <c r="Q265" s="221" t="s">
        <v>283</v>
      </c>
      <c r="R265" s="221" t="s">
        <v>283</v>
      </c>
      <c r="S265" s="221" t="s">
        <v>283</v>
      </c>
      <c r="T265" s="221" t="s">
        <v>283</v>
      </c>
      <c r="U265" s="221" t="s">
        <v>283</v>
      </c>
      <c r="V265" s="221" t="s">
        <v>283</v>
      </c>
      <c r="W265" s="222" t="s">
        <v>283</v>
      </c>
      <c r="X265" s="222" t="s">
        <v>15</v>
      </c>
      <c r="Y265" s="223" t="s">
        <v>283</v>
      </c>
    </row>
    <row r="266" spans="1:25">
      <c r="A266" s="217">
        <v>5</v>
      </c>
      <c r="B266" s="218" t="str">
        <f>VLOOKUP(Tabel10[[#This Row],[Code]],Ruimtegroepen[[Code]:[Ruimte omschrijving]],2,FALSE)</f>
        <v>Sanitair</v>
      </c>
      <c r="C266" s="219" t="s">
        <v>502</v>
      </c>
      <c r="D266" s="218" t="s">
        <v>13</v>
      </c>
      <c r="E266" s="219" t="s">
        <v>99</v>
      </c>
      <c r="F266" s="219" t="s">
        <v>504</v>
      </c>
      <c r="G266" s="224" t="s">
        <v>283</v>
      </c>
      <c r="H266" s="220" t="s">
        <v>283</v>
      </c>
      <c r="I266" s="220" t="s">
        <v>283</v>
      </c>
      <c r="J266" s="220" t="s">
        <v>283</v>
      </c>
      <c r="K266" s="220" t="s">
        <v>283</v>
      </c>
      <c r="L266" s="220" t="s">
        <v>283</v>
      </c>
      <c r="M266" s="220" t="s">
        <v>283</v>
      </c>
      <c r="N266" s="220" t="s">
        <v>283</v>
      </c>
      <c r="O266" s="221" t="s">
        <v>283</v>
      </c>
      <c r="P266" s="221" t="s">
        <v>283</v>
      </c>
      <c r="Q266" s="221" t="s">
        <v>283</v>
      </c>
      <c r="R266" s="221" t="s">
        <v>283</v>
      </c>
      <c r="S266" s="221" t="s">
        <v>283</v>
      </c>
      <c r="T266" s="221" t="s">
        <v>283</v>
      </c>
      <c r="U266" s="221" t="s">
        <v>283</v>
      </c>
      <c r="V266" s="221" t="s">
        <v>283</v>
      </c>
      <c r="W266" s="222" t="s">
        <v>283</v>
      </c>
      <c r="X266" s="222" t="s">
        <v>283</v>
      </c>
      <c r="Y266" s="223" t="s">
        <v>283</v>
      </c>
    </row>
    <row r="267" spans="1:25">
      <c r="A267" s="217">
        <v>5</v>
      </c>
      <c r="B267" s="218" t="str">
        <f>VLOOKUP(Tabel10[[#This Row],[Code]],Ruimtegroepen[[Code]:[Ruimte omschrijving]],2,FALSE)</f>
        <v>Sanitair</v>
      </c>
      <c r="C267" s="219" t="s">
        <v>502</v>
      </c>
      <c r="D267" s="218" t="s">
        <v>13</v>
      </c>
      <c r="E267" s="219" t="s">
        <v>1313</v>
      </c>
      <c r="F267" s="219" t="s">
        <v>1365</v>
      </c>
      <c r="G267" s="224" t="s">
        <v>283</v>
      </c>
      <c r="H267" s="220" t="s">
        <v>283</v>
      </c>
      <c r="I267" s="220" t="s">
        <v>283</v>
      </c>
      <c r="J267" s="220" t="s">
        <v>283</v>
      </c>
      <c r="K267" s="220" t="s">
        <v>15</v>
      </c>
      <c r="L267" s="220" t="s">
        <v>283</v>
      </c>
      <c r="M267" s="220" t="s">
        <v>283</v>
      </c>
      <c r="N267" s="220" t="s">
        <v>283</v>
      </c>
      <c r="O267" s="221" t="s">
        <v>283</v>
      </c>
      <c r="P267" s="221" t="s">
        <v>283</v>
      </c>
      <c r="Q267" s="221" t="s">
        <v>283</v>
      </c>
      <c r="R267" s="221" t="s">
        <v>283</v>
      </c>
      <c r="S267" s="221" t="s">
        <v>283</v>
      </c>
      <c r="T267" s="221" t="s">
        <v>283</v>
      </c>
      <c r="U267" s="221" t="s">
        <v>283</v>
      </c>
      <c r="V267" s="221" t="s">
        <v>283</v>
      </c>
      <c r="W267" s="222" t="s">
        <v>283</v>
      </c>
      <c r="X267" s="222" t="s">
        <v>15</v>
      </c>
      <c r="Y267" s="223" t="s">
        <v>283</v>
      </c>
    </row>
    <row r="268" spans="1:25">
      <c r="A268" s="217">
        <v>5</v>
      </c>
      <c r="B268" s="218" t="str">
        <f>VLOOKUP(Tabel10[[#This Row],[Code]],Ruimtegroepen[[Code]:[Ruimte omschrijving]],2,FALSE)</f>
        <v>Sanitair</v>
      </c>
      <c r="C268" s="219" t="s">
        <v>507</v>
      </c>
      <c r="D268" s="218" t="s">
        <v>0</v>
      </c>
      <c r="E268" s="219" t="s">
        <v>100</v>
      </c>
      <c r="F268" s="219" t="s">
        <v>508</v>
      </c>
      <c r="G268" s="224" t="s">
        <v>283</v>
      </c>
      <c r="H268" s="220" t="s">
        <v>283</v>
      </c>
      <c r="I268" s="220" t="s">
        <v>283</v>
      </c>
      <c r="J268" s="220" t="s">
        <v>283</v>
      </c>
      <c r="K268" s="220" t="s">
        <v>16</v>
      </c>
      <c r="L268" s="220" t="s">
        <v>283</v>
      </c>
      <c r="M268" s="220" t="s">
        <v>283</v>
      </c>
      <c r="N268" s="220" t="s">
        <v>283</v>
      </c>
      <c r="O268" s="221" t="s">
        <v>283</v>
      </c>
      <c r="P268" s="221" t="s">
        <v>283</v>
      </c>
      <c r="Q268" s="221" t="s">
        <v>283</v>
      </c>
      <c r="R268" s="221" t="s">
        <v>283</v>
      </c>
      <c r="S268" s="221" t="s">
        <v>283</v>
      </c>
      <c r="T268" s="221" t="s">
        <v>283</v>
      </c>
      <c r="U268" s="221" t="s">
        <v>283</v>
      </c>
      <c r="V268" s="221" t="s">
        <v>283</v>
      </c>
      <c r="W268" s="222" t="s">
        <v>283</v>
      </c>
      <c r="X268" s="222" t="s">
        <v>16</v>
      </c>
      <c r="Y268" s="223" t="s">
        <v>283</v>
      </c>
    </row>
    <row r="269" spans="1:25">
      <c r="A269" s="217">
        <v>5</v>
      </c>
      <c r="B269" s="218" t="str">
        <f>VLOOKUP(Tabel10[[#This Row],[Code]],Ruimtegroepen[[Code]:[Ruimte omschrijving]],2,FALSE)</f>
        <v>Sanitair</v>
      </c>
      <c r="C269" s="219" t="s">
        <v>507</v>
      </c>
      <c r="D269" s="218" t="s">
        <v>0</v>
      </c>
      <c r="E269" s="219" t="s">
        <v>99</v>
      </c>
      <c r="F269" s="219" t="s">
        <v>509</v>
      </c>
      <c r="G269" s="224" t="s">
        <v>283</v>
      </c>
      <c r="H269" s="220" t="s">
        <v>283</v>
      </c>
      <c r="I269" s="220" t="s">
        <v>283</v>
      </c>
      <c r="J269" s="220" t="s">
        <v>283</v>
      </c>
      <c r="K269" s="220" t="s">
        <v>283</v>
      </c>
      <c r="L269" s="220" t="s">
        <v>283</v>
      </c>
      <c r="M269" s="220" t="s">
        <v>283</v>
      </c>
      <c r="N269" s="220" t="s">
        <v>283</v>
      </c>
      <c r="O269" s="221" t="s">
        <v>283</v>
      </c>
      <c r="P269" s="221" t="s">
        <v>283</v>
      </c>
      <c r="Q269" s="221" t="s">
        <v>283</v>
      </c>
      <c r="R269" s="221" t="s">
        <v>283</v>
      </c>
      <c r="S269" s="221" t="s">
        <v>283</v>
      </c>
      <c r="T269" s="221" t="s">
        <v>283</v>
      </c>
      <c r="U269" s="221" t="s">
        <v>283</v>
      </c>
      <c r="V269" s="221" t="s">
        <v>283</v>
      </c>
      <c r="W269" s="222" t="s">
        <v>283</v>
      </c>
      <c r="X269" s="222" t="s">
        <v>283</v>
      </c>
      <c r="Y269" s="223" t="s">
        <v>283</v>
      </c>
    </row>
    <row r="270" spans="1:25">
      <c r="A270" s="217">
        <v>5</v>
      </c>
      <c r="B270" s="218" t="str">
        <f>VLOOKUP(Tabel10[[#This Row],[Code]],Ruimtegroepen[[Code]:[Ruimte omschrijving]],2,FALSE)</f>
        <v>Sanitair</v>
      </c>
      <c r="C270" s="219" t="s">
        <v>507</v>
      </c>
      <c r="D270" s="218" t="s">
        <v>0</v>
      </c>
      <c r="E270" s="219" t="s">
        <v>101</v>
      </c>
      <c r="F270" s="219" t="s">
        <v>510</v>
      </c>
      <c r="G270" s="224" t="s">
        <v>283</v>
      </c>
      <c r="H270" s="220" t="s">
        <v>283</v>
      </c>
      <c r="I270" s="220" t="s">
        <v>283</v>
      </c>
      <c r="J270" s="220" t="s">
        <v>283</v>
      </c>
      <c r="K270" s="220" t="s">
        <v>16</v>
      </c>
      <c r="L270" s="220" t="s">
        <v>283</v>
      </c>
      <c r="M270" s="220" t="s">
        <v>283</v>
      </c>
      <c r="N270" s="220" t="s">
        <v>283</v>
      </c>
      <c r="O270" s="221" t="s">
        <v>283</v>
      </c>
      <c r="P270" s="221" t="s">
        <v>283</v>
      </c>
      <c r="Q270" s="221" t="s">
        <v>283</v>
      </c>
      <c r="R270" s="221" t="s">
        <v>283</v>
      </c>
      <c r="S270" s="221" t="s">
        <v>283</v>
      </c>
      <c r="T270" s="221" t="s">
        <v>283</v>
      </c>
      <c r="U270" s="221" t="s">
        <v>283</v>
      </c>
      <c r="V270" s="221" t="s">
        <v>283</v>
      </c>
      <c r="W270" s="222" t="s">
        <v>283</v>
      </c>
      <c r="X270" s="222" t="s">
        <v>16</v>
      </c>
      <c r="Y270" s="223" t="s">
        <v>283</v>
      </c>
    </row>
    <row r="271" spans="1:25">
      <c r="A271" s="217">
        <v>5</v>
      </c>
      <c r="B271" s="218" t="str">
        <f>VLOOKUP(Tabel10[[#This Row],[Code]],Ruimtegroepen[[Code]:[Ruimte omschrijving]],2,FALSE)</f>
        <v>Sanitair</v>
      </c>
      <c r="C271" s="219" t="s">
        <v>507</v>
      </c>
      <c r="D271" s="218" t="s">
        <v>0</v>
      </c>
      <c r="E271" s="219" t="s">
        <v>102</v>
      </c>
      <c r="F271" s="219" t="s">
        <v>511</v>
      </c>
      <c r="G271" s="224" t="s">
        <v>283</v>
      </c>
      <c r="H271" s="220" t="s">
        <v>283</v>
      </c>
      <c r="I271" s="220" t="s">
        <v>283</v>
      </c>
      <c r="J271" s="220" t="s">
        <v>283</v>
      </c>
      <c r="K271" s="220" t="s">
        <v>16</v>
      </c>
      <c r="L271" s="220" t="s">
        <v>283</v>
      </c>
      <c r="M271" s="220" t="s">
        <v>283</v>
      </c>
      <c r="N271" s="220" t="s">
        <v>283</v>
      </c>
      <c r="O271" s="221" t="s">
        <v>283</v>
      </c>
      <c r="P271" s="221" t="s">
        <v>283</v>
      </c>
      <c r="Q271" s="221" t="s">
        <v>283</v>
      </c>
      <c r="R271" s="221" t="s">
        <v>283</v>
      </c>
      <c r="S271" s="221" t="s">
        <v>283</v>
      </c>
      <c r="T271" s="221" t="s">
        <v>283</v>
      </c>
      <c r="U271" s="221" t="s">
        <v>283</v>
      </c>
      <c r="V271" s="221" t="s">
        <v>283</v>
      </c>
      <c r="W271" s="222" t="s">
        <v>283</v>
      </c>
      <c r="X271" s="222" t="s">
        <v>16</v>
      </c>
      <c r="Y271" s="223" t="s">
        <v>283</v>
      </c>
    </row>
    <row r="272" spans="1:25">
      <c r="A272" s="217">
        <v>5</v>
      </c>
      <c r="B272" s="218" t="str">
        <f>VLOOKUP(Tabel10[[#This Row],[Code]],Ruimtegroepen[[Code]:[Ruimte omschrijving]],2,FALSE)</f>
        <v>Sanitair</v>
      </c>
      <c r="C272" s="219" t="s">
        <v>507</v>
      </c>
      <c r="D272" s="218" t="s">
        <v>0</v>
      </c>
      <c r="E272" s="219" t="s">
        <v>99</v>
      </c>
      <c r="F272" s="219" t="s">
        <v>509</v>
      </c>
      <c r="G272" s="224" t="s">
        <v>283</v>
      </c>
      <c r="H272" s="220" t="s">
        <v>283</v>
      </c>
      <c r="I272" s="220" t="s">
        <v>283</v>
      </c>
      <c r="J272" s="220" t="s">
        <v>283</v>
      </c>
      <c r="K272" s="220" t="s">
        <v>283</v>
      </c>
      <c r="L272" s="220" t="s">
        <v>283</v>
      </c>
      <c r="M272" s="220" t="s">
        <v>283</v>
      </c>
      <c r="N272" s="220" t="s">
        <v>283</v>
      </c>
      <c r="O272" s="221" t="s">
        <v>283</v>
      </c>
      <c r="P272" s="221" t="s">
        <v>283</v>
      </c>
      <c r="Q272" s="221" t="s">
        <v>283</v>
      </c>
      <c r="R272" s="221" t="s">
        <v>283</v>
      </c>
      <c r="S272" s="221" t="s">
        <v>283</v>
      </c>
      <c r="T272" s="221" t="s">
        <v>283</v>
      </c>
      <c r="U272" s="221" t="s">
        <v>283</v>
      </c>
      <c r="V272" s="221" t="s">
        <v>283</v>
      </c>
      <c r="W272" s="222" t="s">
        <v>283</v>
      </c>
      <c r="X272" s="222" t="s">
        <v>283</v>
      </c>
      <c r="Y272" s="223" t="s">
        <v>283</v>
      </c>
    </row>
    <row r="273" spans="1:25">
      <c r="A273" s="217">
        <v>5</v>
      </c>
      <c r="B273" s="218" t="str">
        <f>VLOOKUP(Tabel10[[#This Row],[Code]],Ruimtegroepen[[Code]:[Ruimte omschrijving]],2,FALSE)</f>
        <v>Sanitair</v>
      </c>
      <c r="C273" s="219" t="s">
        <v>507</v>
      </c>
      <c r="D273" s="218" t="s">
        <v>0</v>
      </c>
      <c r="E273" s="219" t="s">
        <v>1313</v>
      </c>
      <c r="F273" s="219" t="s">
        <v>1349</v>
      </c>
      <c r="G273" s="224" t="s">
        <v>283</v>
      </c>
      <c r="H273" s="220" t="s">
        <v>283</v>
      </c>
      <c r="I273" s="220" t="s">
        <v>283</v>
      </c>
      <c r="J273" s="220" t="s">
        <v>283</v>
      </c>
      <c r="K273" s="220" t="s">
        <v>16</v>
      </c>
      <c r="L273" s="220" t="s">
        <v>283</v>
      </c>
      <c r="M273" s="220" t="s">
        <v>283</v>
      </c>
      <c r="N273" s="220" t="s">
        <v>283</v>
      </c>
      <c r="O273" s="221" t="s">
        <v>283</v>
      </c>
      <c r="P273" s="221" t="s">
        <v>283</v>
      </c>
      <c r="Q273" s="221" t="s">
        <v>283</v>
      </c>
      <c r="R273" s="221" t="s">
        <v>283</v>
      </c>
      <c r="S273" s="221" t="s">
        <v>283</v>
      </c>
      <c r="T273" s="221" t="s">
        <v>283</v>
      </c>
      <c r="U273" s="221" t="s">
        <v>283</v>
      </c>
      <c r="V273" s="221" t="s">
        <v>283</v>
      </c>
      <c r="W273" s="222" t="s">
        <v>283</v>
      </c>
      <c r="X273" s="222" t="s">
        <v>16</v>
      </c>
      <c r="Y273" s="223" t="s">
        <v>283</v>
      </c>
    </row>
    <row r="274" spans="1:25">
      <c r="A274" s="217">
        <v>5</v>
      </c>
      <c r="B274" s="218" t="str">
        <f>VLOOKUP(Tabel10[[#This Row],[Code]],Ruimtegroepen[[Code]:[Ruimte omschrijving]],2,FALSE)</f>
        <v>Sanitair</v>
      </c>
      <c r="C274" s="219" t="s">
        <v>512</v>
      </c>
      <c r="D274" s="218" t="s">
        <v>27</v>
      </c>
      <c r="E274" s="219" t="s">
        <v>100</v>
      </c>
      <c r="F274" s="219" t="s">
        <v>513</v>
      </c>
      <c r="G274" s="224" t="s">
        <v>283</v>
      </c>
      <c r="H274" s="220" t="s">
        <v>283</v>
      </c>
      <c r="I274" s="220" t="s">
        <v>283</v>
      </c>
      <c r="J274" s="220" t="s">
        <v>15</v>
      </c>
      <c r="K274" s="220" t="s">
        <v>283</v>
      </c>
      <c r="L274" s="220" t="s">
        <v>283</v>
      </c>
      <c r="M274" s="220" t="s">
        <v>283</v>
      </c>
      <c r="N274" s="220" t="s">
        <v>283</v>
      </c>
      <c r="O274" s="221" t="s">
        <v>283</v>
      </c>
      <c r="P274" s="221" t="s">
        <v>283</v>
      </c>
      <c r="Q274" s="221" t="s">
        <v>283</v>
      </c>
      <c r="R274" s="221" t="s">
        <v>283</v>
      </c>
      <c r="S274" s="221" t="s">
        <v>283</v>
      </c>
      <c r="T274" s="221" t="s">
        <v>283</v>
      </c>
      <c r="U274" s="221" t="s">
        <v>283</v>
      </c>
      <c r="V274" s="221" t="s">
        <v>283</v>
      </c>
      <c r="W274" s="222" t="s">
        <v>15</v>
      </c>
      <c r="X274" s="222" t="s">
        <v>15</v>
      </c>
      <c r="Y274" s="223" t="s">
        <v>283</v>
      </c>
    </row>
    <row r="275" spans="1:25">
      <c r="A275" s="217">
        <v>5</v>
      </c>
      <c r="B275" s="218" t="str">
        <f>VLOOKUP(Tabel10[[#This Row],[Code]],Ruimtegroepen[[Code]:[Ruimte omschrijving]],2,FALSE)</f>
        <v>Sanitair</v>
      </c>
      <c r="C275" s="219" t="s">
        <v>512</v>
      </c>
      <c r="D275" s="218" t="s">
        <v>27</v>
      </c>
      <c r="E275" s="219" t="s">
        <v>99</v>
      </c>
      <c r="F275" s="219" t="s">
        <v>514</v>
      </c>
      <c r="G275" s="224" t="s">
        <v>283</v>
      </c>
      <c r="H275" s="220" t="s">
        <v>283</v>
      </c>
      <c r="I275" s="220" t="s">
        <v>283</v>
      </c>
      <c r="J275" s="220" t="s">
        <v>283</v>
      </c>
      <c r="K275" s="220" t="s">
        <v>283</v>
      </c>
      <c r="L275" s="220" t="s">
        <v>283</v>
      </c>
      <c r="M275" s="220" t="s">
        <v>283</v>
      </c>
      <c r="N275" s="220" t="s">
        <v>283</v>
      </c>
      <c r="O275" s="221" t="s">
        <v>283</v>
      </c>
      <c r="P275" s="221" t="s">
        <v>283</v>
      </c>
      <c r="Q275" s="221" t="s">
        <v>283</v>
      </c>
      <c r="R275" s="221" t="s">
        <v>283</v>
      </c>
      <c r="S275" s="221" t="s">
        <v>283</v>
      </c>
      <c r="T275" s="221" t="s">
        <v>283</v>
      </c>
      <c r="U275" s="221" t="s">
        <v>283</v>
      </c>
      <c r="V275" s="221" t="s">
        <v>283</v>
      </c>
      <c r="W275" s="222" t="s">
        <v>283</v>
      </c>
      <c r="X275" s="222" t="s">
        <v>283</v>
      </c>
      <c r="Y275" s="223" t="s">
        <v>283</v>
      </c>
    </row>
    <row r="276" spans="1:25">
      <c r="A276" s="217">
        <v>5</v>
      </c>
      <c r="B276" s="218" t="str">
        <f>VLOOKUP(Tabel10[[#This Row],[Code]],Ruimtegroepen[[Code]:[Ruimte omschrijving]],2,FALSE)</f>
        <v>Sanitair</v>
      </c>
      <c r="C276" s="219" t="s">
        <v>512</v>
      </c>
      <c r="D276" s="218" t="s">
        <v>27</v>
      </c>
      <c r="E276" s="219" t="s">
        <v>101</v>
      </c>
      <c r="F276" s="219" t="s">
        <v>515</v>
      </c>
      <c r="G276" s="224" t="s">
        <v>283</v>
      </c>
      <c r="H276" s="220" t="s">
        <v>283</v>
      </c>
      <c r="I276" s="220" t="s">
        <v>283</v>
      </c>
      <c r="J276" s="220" t="s">
        <v>15</v>
      </c>
      <c r="K276" s="220" t="s">
        <v>283</v>
      </c>
      <c r="L276" s="220" t="s">
        <v>283</v>
      </c>
      <c r="M276" s="220" t="s">
        <v>283</v>
      </c>
      <c r="N276" s="220" t="s">
        <v>283</v>
      </c>
      <c r="O276" s="221" t="s">
        <v>283</v>
      </c>
      <c r="P276" s="221" t="s">
        <v>283</v>
      </c>
      <c r="Q276" s="221" t="s">
        <v>283</v>
      </c>
      <c r="R276" s="221" t="s">
        <v>283</v>
      </c>
      <c r="S276" s="221" t="s">
        <v>283</v>
      </c>
      <c r="T276" s="221" t="s">
        <v>283</v>
      </c>
      <c r="U276" s="221" t="s">
        <v>283</v>
      </c>
      <c r="V276" s="221" t="s">
        <v>283</v>
      </c>
      <c r="W276" s="222" t="s">
        <v>15</v>
      </c>
      <c r="X276" s="222" t="s">
        <v>15</v>
      </c>
      <c r="Y276" s="223" t="s">
        <v>283</v>
      </c>
    </row>
    <row r="277" spans="1:25">
      <c r="A277" s="217">
        <v>5</v>
      </c>
      <c r="B277" s="218" t="str">
        <f>VLOOKUP(Tabel10[[#This Row],[Code]],Ruimtegroepen[[Code]:[Ruimte omschrijving]],2,FALSE)</f>
        <v>Sanitair</v>
      </c>
      <c r="C277" s="219" t="s">
        <v>512</v>
      </c>
      <c r="D277" s="218" t="s">
        <v>27</v>
      </c>
      <c r="E277" s="219" t="s">
        <v>102</v>
      </c>
      <c r="F277" s="219" t="s">
        <v>516</v>
      </c>
      <c r="G277" s="224" t="s">
        <v>283</v>
      </c>
      <c r="H277" s="220" t="s">
        <v>283</v>
      </c>
      <c r="I277" s="220" t="s">
        <v>283</v>
      </c>
      <c r="J277" s="220" t="s">
        <v>15</v>
      </c>
      <c r="K277" s="220" t="s">
        <v>283</v>
      </c>
      <c r="L277" s="220" t="s">
        <v>283</v>
      </c>
      <c r="M277" s="220" t="s">
        <v>283</v>
      </c>
      <c r="N277" s="220" t="s">
        <v>283</v>
      </c>
      <c r="O277" s="221" t="s">
        <v>283</v>
      </c>
      <c r="P277" s="221" t="s">
        <v>283</v>
      </c>
      <c r="Q277" s="221" t="s">
        <v>283</v>
      </c>
      <c r="R277" s="221" t="s">
        <v>283</v>
      </c>
      <c r="S277" s="221" t="s">
        <v>283</v>
      </c>
      <c r="T277" s="221" t="s">
        <v>283</v>
      </c>
      <c r="U277" s="221" t="s">
        <v>283</v>
      </c>
      <c r="V277" s="221" t="s">
        <v>283</v>
      </c>
      <c r="W277" s="222" t="s">
        <v>15</v>
      </c>
      <c r="X277" s="222" t="s">
        <v>15</v>
      </c>
      <c r="Y277" s="223" t="s">
        <v>283</v>
      </c>
    </row>
    <row r="278" spans="1:25">
      <c r="A278" s="217">
        <v>5</v>
      </c>
      <c r="B278" s="218" t="str">
        <f>VLOOKUP(Tabel10[[#This Row],[Code]],Ruimtegroepen[[Code]:[Ruimte omschrijving]],2,FALSE)</f>
        <v>Sanitair</v>
      </c>
      <c r="C278" s="219" t="s">
        <v>512</v>
      </c>
      <c r="D278" s="218" t="s">
        <v>27</v>
      </c>
      <c r="E278" s="219" t="s">
        <v>99</v>
      </c>
      <c r="F278" s="219" t="s">
        <v>514</v>
      </c>
      <c r="G278" s="224" t="s">
        <v>283</v>
      </c>
      <c r="H278" s="220" t="s">
        <v>283</v>
      </c>
      <c r="I278" s="220" t="s">
        <v>283</v>
      </c>
      <c r="J278" s="220" t="s">
        <v>283</v>
      </c>
      <c r="K278" s="220" t="s">
        <v>283</v>
      </c>
      <c r="L278" s="220" t="s">
        <v>283</v>
      </c>
      <c r="M278" s="220" t="s">
        <v>283</v>
      </c>
      <c r="N278" s="220" t="s">
        <v>283</v>
      </c>
      <c r="O278" s="221" t="s">
        <v>283</v>
      </c>
      <c r="P278" s="221" t="s">
        <v>283</v>
      </c>
      <c r="Q278" s="221" t="s">
        <v>283</v>
      </c>
      <c r="R278" s="221" t="s">
        <v>283</v>
      </c>
      <c r="S278" s="221" t="s">
        <v>283</v>
      </c>
      <c r="T278" s="221" t="s">
        <v>283</v>
      </c>
      <c r="U278" s="221" t="s">
        <v>283</v>
      </c>
      <c r="V278" s="221" t="s">
        <v>283</v>
      </c>
      <c r="W278" s="222" t="s">
        <v>283</v>
      </c>
      <c r="X278" s="222" t="s">
        <v>283</v>
      </c>
      <c r="Y278" s="223" t="s">
        <v>283</v>
      </c>
    </row>
    <row r="279" spans="1:25">
      <c r="A279" s="217">
        <v>5</v>
      </c>
      <c r="B279" s="218" t="str">
        <f>VLOOKUP(Tabel10[[#This Row],[Code]],Ruimtegroepen[[Code]:[Ruimte omschrijving]],2,FALSE)</f>
        <v>Sanitair</v>
      </c>
      <c r="C279" s="219" t="s">
        <v>512</v>
      </c>
      <c r="D279" s="218" t="s">
        <v>27</v>
      </c>
      <c r="E279" s="219" t="s">
        <v>1313</v>
      </c>
      <c r="F279" s="219" t="s">
        <v>1382</v>
      </c>
      <c r="G279" s="224" t="s">
        <v>283</v>
      </c>
      <c r="H279" s="220" t="s">
        <v>283</v>
      </c>
      <c r="I279" s="220" t="s">
        <v>283</v>
      </c>
      <c r="J279" s="220" t="s">
        <v>15</v>
      </c>
      <c r="K279" s="220" t="s">
        <v>283</v>
      </c>
      <c r="L279" s="220" t="s">
        <v>283</v>
      </c>
      <c r="M279" s="220" t="s">
        <v>283</v>
      </c>
      <c r="N279" s="220" t="s">
        <v>283</v>
      </c>
      <c r="O279" s="221" t="s">
        <v>283</v>
      </c>
      <c r="P279" s="221" t="s">
        <v>283</v>
      </c>
      <c r="Q279" s="221" t="s">
        <v>283</v>
      </c>
      <c r="R279" s="221" t="s">
        <v>283</v>
      </c>
      <c r="S279" s="221" t="s">
        <v>283</v>
      </c>
      <c r="T279" s="221" t="s">
        <v>283</v>
      </c>
      <c r="U279" s="221" t="s">
        <v>283</v>
      </c>
      <c r="V279" s="221" t="s">
        <v>283</v>
      </c>
      <c r="W279" s="222" t="s">
        <v>15</v>
      </c>
      <c r="X279" s="222" t="s">
        <v>15</v>
      </c>
      <c r="Y279" s="223" t="s">
        <v>283</v>
      </c>
    </row>
    <row r="280" spans="1:25">
      <c r="A280" s="217">
        <v>5</v>
      </c>
      <c r="B280" s="218" t="str">
        <f>VLOOKUP(Tabel10[[#This Row],[Code]],Ruimtegroepen[[Code]:[Ruimte omschrijving]],2,FALSE)</f>
        <v>Sanitair</v>
      </c>
      <c r="C280" s="219" t="s">
        <v>517</v>
      </c>
      <c r="D280" s="218" t="s">
        <v>28</v>
      </c>
      <c r="E280" s="219" t="s">
        <v>100</v>
      </c>
      <c r="F280" s="219" t="s">
        <v>518</v>
      </c>
      <c r="G280" s="224" t="s">
        <v>283</v>
      </c>
      <c r="H280" s="220" t="s">
        <v>283</v>
      </c>
      <c r="I280" s="220" t="s">
        <v>283</v>
      </c>
      <c r="J280" s="220" t="s">
        <v>17</v>
      </c>
      <c r="K280" s="220" t="s">
        <v>283</v>
      </c>
      <c r="L280" s="220" t="s">
        <v>283</v>
      </c>
      <c r="M280" s="220" t="s">
        <v>283</v>
      </c>
      <c r="N280" s="220" t="s">
        <v>283</v>
      </c>
      <c r="O280" s="221" t="s">
        <v>283</v>
      </c>
      <c r="P280" s="221" t="s">
        <v>283</v>
      </c>
      <c r="Q280" s="221" t="s">
        <v>283</v>
      </c>
      <c r="R280" s="221" t="s">
        <v>283</v>
      </c>
      <c r="S280" s="221" t="s">
        <v>283</v>
      </c>
      <c r="T280" s="221" t="s">
        <v>283</v>
      </c>
      <c r="U280" s="221" t="s">
        <v>283</v>
      </c>
      <c r="V280" s="221" t="s">
        <v>283</v>
      </c>
      <c r="W280" s="222" t="s">
        <v>17</v>
      </c>
      <c r="X280" s="222" t="s">
        <v>17</v>
      </c>
      <c r="Y280" s="223" t="s">
        <v>283</v>
      </c>
    </row>
    <row r="281" spans="1:25">
      <c r="A281" s="217">
        <v>5</v>
      </c>
      <c r="B281" s="218" t="str">
        <f>VLOOKUP(Tabel10[[#This Row],[Code]],Ruimtegroepen[[Code]:[Ruimte omschrijving]],2,FALSE)</f>
        <v>Sanitair</v>
      </c>
      <c r="C281" s="219" t="s">
        <v>517</v>
      </c>
      <c r="D281" s="218" t="s">
        <v>28</v>
      </c>
      <c r="E281" s="219" t="s">
        <v>99</v>
      </c>
      <c r="F281" s="219" t="s">
        <v>519</v>
      </c>
      <c r="G281" s="224" t="s">
        <v>283</v>
      </c>
      <c r="H281" s="220" t="s">
        <v>283</v>
      </c>
      <c r="I281" s="220" t="s">
        <v>283</v>
      </c>
      <c r="J281" s="220" t="s">
        <v>283</v>
      </c>
      <c r="K281" s="220" t="s">
        <v>283</v>
      </c>
      <c r="L281" s="220" t="s">
        <v>283</v>
      </c>
      <c r="M281" s="220" t="s">
        <v>283</v>
      </c>
      <c r="N281" s="220" t="s">
        <v>283</v>
      </c>
      <c r="O281" s="221" t="s">
        <v>283</v>
      </c>
      <c r="P281" s="221" t="s">
        <v>283</v>
      </c>
      <c r="Q281" s="221" t="s">
        <v>283</v>
      </c>
      <c r="R281" s="221" t="s">
        <v>283</v>
      </c>
      <c r="S281" s="221" t="s">
        <v>283</v>
      </c>
      <c r="T281" s="221" t="s">
        <v>283</v>
      </c>
      <c r="U281" s="221" t="s">
        <v>283</v>
      </c>
      <c r="V281" s="221" t="s">
        <v>283</v>
      </c>
      <c r="W281" s="222" t="s">
        <v>283</v>
      </c>
      <c r="X281" s="222" t="s">
        <v>283</v>
      </c>
      <c r="Y281" s="223" t="s">
        <v>283</v>
      </c>
    </row>
    <row r="282" spans="1:25">
      <c r="A282" s="217">
        <v>5</v>
      </c>
      <c r="B282" s="218" t="str">
        <f>VLOOKUP(Tabel10[[#This Row],[Code]],Ruimtegroepen[[Code]:[Ruimte omschrijving]],2,FALSE)</f>
        <v>Sanitair</v>
      </c>
      <c r="C282" s="219" t="s">
        <v>517</v>
      </c>
      <c r="D282" s="218" t="s">
        <v>28</v>
      </c>
      <c r="E282" s="219" t="s">
        <v>101</v>
      </c>
      <c r="F282" s="219" t="s">
        <v>520</v>
      </c>
      <c r="G282" s="224" t="s">
        <v>283</v>
      </c>
      <c r="H282" s="220" t="s">
        <v>283</v>
      </c>
      <c r="I282" s="220" t="s">
        <v>283</v>
      </c>
      <c r="J282" s="220" t="s">
        <v>17</v>
      </c>
      <c r="K282" s="220" t="s">
        <v>283</v>
      </c>
      <c r="L282" s="220" t="s">
        <v>283</v>
      </c>
      <c r="M282" s="220" t="s">
        <v>283</v>
      </c>
      <c r="N282" s="220" t="s">
        <v>283</v>
      </c>
      <c r="O282" s="221" t="s">
        <v>283</v>
      </c>
      <c r="P282" s="221" t="s">
        <v>283</v>
      </c>
      <c r="Q282" s="221" t="s">
        <v>283</v>
      </c>
      <c r="R282" s="221" t="s">
        <v>283</v>
      </c>
      <c r="S282" s="221" t="s">
        <v>283</v>
      </c>
      <c r="T282" s="221" t="s">
        <v>283</v>
      </c>
      <c r="U282" s="221" t="s">
        <v>283</v>
      </c>
      <c r="V282" s="221" t="s">
        <v>283</v>
      </c>
      <c r="W282" s="222" t="s">
        <v>17</v>
      </c>
      <c r="X282" s="222" t="s">
        <v>17</v>
      </c>
      <c r="Y282" s="223" t="s">
        <v>283</v>
      </c>
    </row>
    <row r="283" spans="1:25">
      <c r="A283" s="217">
        <v>5</v>
      </c>
      <c r="B283" s="218" t="str">
        <f>VLOOKUP(Tabel10[[#This Row],[Code]],Ruimtegroepen[[Code]:[Ruimte omschrijving]],2,FALSE)</f>
        <v>Sanitair</v>
      </c>
      <c r="C283" s="219" t="s">
        <v>517</v>
      </c>
      <c r="D283" s="218" t="s">
        <v>28</v>
      </c>
      <c r="E283" s="219" t="s">
        <v>102</v>
      </c>
      <c r="F283" s="219" t="s">
        <v>521</v>
      </c>
      <c r="G283" s="224" t="s">
        <v>283</v>
      </c>
      <c r="H283" s="220" t="s">
        <v>283</v>
      </c>
      <c r="I283" s="220" t="s">
        <v>283</v>
      </c>
      <c r="J283" s="220" t="s">
        <v>17</v>
      </c>
      <c r="K283" s="220" t="s">
        <v>283</v>
      </c>
      <c r="L283" s="220" t="s">
        <v>283</v>
      </c>
      <c r="M283" s="220" t="s">
        <v>283</v>
      </c>
      <c r="N283" s="220" t="s">
        <v>283</v>
      </c>
      <c r="O283" s="221" t="s">
        <v>283</v>
      </c>
      <c r="P283" s="221" t="s">
        <v>283</v>
      </c>
      <c r="Q283" s="221" t="s">
        <v>283</v>
      </c>
      <c r="R283" s="221" t="s">
        <v>283</v>
      </c>
      <c r="S283" s="221" t="s">
        <v>283</v>
      </c>
      <c r="T283" s="221" t="s">
        <v>283</v>
      </c>
      <c r="U283" s="221" t="s">
        <v>283</v>
      </c>
      <c r="V283" s="221" t="s">
        <v>283</v>
      </c>
      <c r="W283" s="222" t="s">
        <v>17</v>
      </c>
      <c r="X283" s="222" t="s">
        <v>17</v>
      </c>
      <c r="Y283" s="223" t="s">
        <v>283</v>
      </c>
    </row>
    <row r="284" spans="1:25">
      <c r="A284" s="217">
        <v>5</v>
      </c>
      <c r="B284" s="218" t="str">
        <f>VLOOKUP(Tabel10[[#This Row],[Code]],Ruimtegroepen[[Code]:[Ruimte omschrijving]],2,FALSE)</f>
        <v>Sanitair</v>
      </c>
      <c r="C284" s="219" t="s">
        <v>517</v>
      </c>
      <c r="D284" s="218" t="s">
        <v>28</v>
      </c>
      <c r="E284" s="219" t="s">
        <v>99</v>
      </c>
      <c r="F284" s="219" t="s">
        <v>519</v>
      </c>
      <c r="G284" s="224" t="s">
        <v>283</v>
      </c>
      <c r="H284" s="220" t="s">
        <v>283</v>
      </c>
      <c r="I284" s="220" t="s">
        <v>283</v>
      </c>
      <c r="J284" s="220" t="s">
        <v>283</v>
      </c>
      <c r="K284" s="220" t="s">
        <v>283</v>
      </c>
      <c r="L284" s="220" t="s">
        <v>283</v>
      </c>
      <c r="M284" s="220" t="s">
        <v>283</v>
      </c>
      <c r="N284" s="220" t="s">
        <v>283</v>
      </c>
      <c r="O284" s="221" t="s">
        <v>283</v>
      </c>
      <c r="P284" s="221" t="s">
        <v>283</v>
      </c>
      <c r="Q284" s="221" t="s">
        <v>283</v>
      </c>
      <c r="R284" s="221" t="s">
        <v>283</v>
      </c>
      <c r="S284" s="221" t="s">
        <v>283</v>
      </c>
      <c r="T284" s="221" t="s">
        <v>283</v>
      </c>
      <c r="U284" s="221" t="s">
        <v>283</v>
      </c>
      <c r="V284" s="221" t="s">
        <v>283</v>
      </c>
      <c r="W284" s="222" t="s">
        <v>283</v>
      </c>
      <c r="X284" s="222" t="s">
        <v>283</v>
      </c>
      <c r="Y284" s="223" t="s">
        <v>283</v>
      </c>
    </row>
    <row r="285" spans="1:25">
      <c r="A285" s="217">
        <v>5</v>
      </c>
      <c r="B285" s="218" t="str">
        <f>VLOOKUP(Tabel10[[#This Row],[Code]],Ruimtegroepen[[Code]:[Ruimte omschrijving]],2,FALSE)</f>
        <v>Sanitair</v>
      </c>
      <c r="C285" s="219" t="s">
        <v>517</v>
      </c>
      <c r="D285" s="218" t="s">
        <v>28</v>
      </c>
      <c r="E285" s="219" t="s">
        <v>1313</v>
      </c>
      <c r="F285" s="219" t="s">
        <v>1415</v>
      </c>
      <c r="G285" s="224" t="s">
        <v>283</v>
      </c>
      <c r="H285" s="220" t="s">
        <v>283</v>
      </c>
      <c r="I285" s="220" t="s">
        <v>283</v>
      </c>
      <c r="J285" s="220" t="s">
        <v>17</v>
      </c>
      <c r="K285" s="220" t="s">
        <v>283</v>
      </c>
      <c r="L285" s="220" t="s">
        <v>283</v>
      </c>
      <c r="M285" s="220" t="s">
        <v>283</v>
      </c>
      <c r="N285" s="220" t="s">
        <v>283</v>
      </c>
      <c r="O285" s="221" t="s">
        <v>283</v>
      </c>
      <c r="P285" s="221" t="s">
        <v>283</v>
      </c>
      <c r="Q285" s="221" t="s">
        <v>283</v>
      </c>
      <c r="R285" s="221" t="s">
        <v>283</v>
      </c>
      <c r="S285" s="221" t="s">
        <v>283</v>
      </c>
      <c r="T285" s="221" t="s">
        <v>283</v>
      </c>
      <c r="U285" s="221" t="s">
        <v>283</v>
      </c>
      <c r="V285" s="221" t="s">
        <v>283</v>
      </c>
      <c r="W285" s="222" t="s">
        <v>17</v>
      </c>
      <c r="X285" s="222" t="s">
        <v>17</v>
      </c>
      <c r="Y285" s="223" t="s">
        <v>283</v>
      </c>
    </row>
    <row r="286" spans="1:25">
      <c r="A286" s="217">
        <v>5</v>
      </c>
      <c r="B286" s="218" t="str">
        <f>VLOOKUP(Tabel10[[#This Row],[Code]],Ruimtegroepen[[Code]:[Ruimte omschrijving]],2,FALSE)</f>
        <v>Sanitair</v>
      </c>
      <c r="C286" s="219" t="s">
        <v>522</v>
      </c>
      <c r="D286" s="218" t="s">
        <v>523</v>
      </c>
      <c r="E286" s="219" t="s">
        <v>100</v>
      </c>
      <c r="F286" s="219" t="s">
        <v>524</v>
      </c>
      <c r="G286" s="224" t="s">
        <v>283</v>
      </c>
      <c r="H286" s="220" t="s">
        <v>283</v>
      </c>
      <c r="I286" s="220" t="s">
        <v>283</v>
      </c>
      <c r="J286" s="220" t="s">
        <v>20</v>
      </c>
      <c r="K286" s="220" t="s">
        <v>283</v>
      </c>
      <c r="L286" s="220" t="s">
        <v>283</v>
      </c>
      <c r="M286" s="220" t="s">
        <v>283</v>
      </c>
      <c r="N286" s="220" t="s">
        <v>283</v>
      </c>
      <c r="O286" s="221" t="s">
        <v>283</v>
      </c>
      <c r="P286" s="221" t="s">
        <v>283</v>
      </c>
      <c r="Q286" s="221" t="s">
        <v>283</v>
      </c>
      <c r="R286" s="221" t="s">
        <v>283</v>
      </c>
      <c r="S286" s="221" t="s">
        <v>283</v>
      </c>
      <c r="T286" s="221" t="s">
        <v>283</v>
      </c>
      <c r="U286" s="221" t="s">
        <v>283</v>
      </c>
      <c r="V286" s="221" t="s">
        <v>283</v>
      </c>
      <c r="W286" s="222" t="s">
        <v>18</v>
      </c>
      <c r="X286" s="222" t="s">
        <v>15</v>
      </c>
      <c r="Y286" s="223" t="s">
        <v>283</v>
      </c>
    </row>
    <row r="287" spans="1:25">
      <c r="A287" s="217">
        <v>5</v>
      </c>
      <c r="B287" s="218" t="str">
        <f>VLOOKUP(Tabel10[[#This Row],[Code]],Ruimtegroepen[[Code]:[Ruimte omschrijving]],2,FALSE)</f>
        <v>Sanitair</v>
      </c>
      <c r="C287" s="219" t="s">
        <v>522</v>
      </c>
      <c r="D287" s="218" t="s">
        <v>523</v>
      </c>
      <c r="E287" s="219" t="s">
        <v>99</v>
      </c>
      <c r="F287" s="219" t="s">
        <v>525</v>
      </c>
      <c r="G287" s="224" t="s">
        <v>283</v>
      </c>
      <c r="H287" s="220" t="s">
        <v>283</v>
      </c>
      <c r="I287" s="220" t="s">
        <v>283</v>
      </c>
      <c r="J287" s="220" t="s">
        <v>283</v>
      </c>
      <c r="K287" s="220" t="s">
        <v>283</v>
      </c>
      <c r="L287" s="220" t="s">
        <v>283</v>
      </c>
      <c r="M287" s="220" t="s">
        <v>283</v>
      </c>
      <c r="N287" s="220" t="s">
        <v>283</v>
      </c>
      <c r="O287" s="221" t="s">
        <v>283</v>
      </c>
      <c r="P287" s="221" t="s">
        <v>283</v>
      </c>
      <c r="Q287" s="221" t="s">
        <v>283</v>
      </c>
      <c r="R287" s="221" t="s">
        <v>283</v>
      </c>
      <c r="S287" s="221" t="s">
        <v>283</v>
      </c>
      <c r="T287" s="221" t="s">
        <v>283</v>
      </c>
      <c r="U287" s="221" t="s">
        <v>283</v>
      </c>
      <c r="V287" s="221" t="s">
        <v>283</v>
      </c>
      <c r="W287" s="222" t="s">
        <v>283</v>
      </c>
      <c r="X287" s="222" t="s">
        <v>283</v>
      </c>
      <c r="Y287" s="223" t="s">
        <v>283</v>
      </c>
    </row>
    <row r="288" spans="1:25">
      <c r="A288" s="217">
        <v>5</v>
      </c>
      <c r="B288" s="218" t="str">
        <f>VLOOKUP(Tabel10[[#This Row],[Code]],Ruimtegroepen[[Code]:[Ruimte omschrijving]],2,FALSE)</f>
        <v>Sanitair</v>
      </c>
      <c r="C288" s="219" t="s">
        <v>522</v>
      </c>
      <c r="D288" s="218" t="s">
        <v>523</v>
      </c>
      <c r="E288" s="219" t="s">
        <v>101</v>
      </c>
      <c r="F288" s="219" t="s">
        <v>526</v>
      </c>
      <c r="G288" s="224" t="s">
        <v>283</v>
      </c>
      <c r="H288" s="220" t="s">
        <v>283</v>
      </c>
      <c r="I288" s="220" t="s">
        <v>283</v>
      </c>
      <c r="J288" s="220" t="s">
        <v>20</v>
      </c>
      <c r="K288" s="220" t="s">
        <v>283</v>
      </c>
      <c r="L288" s="220" t="s">
        <v>283</v>
      </c>
      <c r="M288" s="220" t="s">
        <v>283</v>
      </c>
      <c r="N288" s="220" t="s">
        <v>283</v>
      </c>
      <c r="O288" s="221" t="s">
        <v>283</v>
      </c>
      <c r="P288" s="221" t="s">
        <v>283</v>
      </c>
      <c r="Q288" s="221" t="s">
        <v>283</v>
      </c>
      <c r="R288" s="221" t="s">
        <v>283</v>
      </c>
      <c r="S288" s="221" t="s">
        <v>283</v>
      </c>
      <c r="T288" s="221" t="s">
        <v>283</v>
      </c>
      <c r="U288" s="221" t="s">
        <v>283</v>
      </c>
      <c r="V288" s="221" t="s">
        <v>283</v>
      </c>
      <c r="W288" s="222" t="s">
        <v>18</v>
      </c>
      <c r="X288" s="222" t="s">
        <v>15</v>
      </c>
      <c r="Y288" s="223" t="s">
        <v>283</v>
      </c>
    </row>
    <row r="289" spans="1:25">
      <c r="A289" s="217">
        <v>5</v>
      </c>
      <c r="B289" s="218" t="str">
        <f>VLOOKUP(Tabel10[[#This Row],[Code]],Ruimtegroepen[[Code]:[Ruimte omschrijving]],2,FALSE)</f>
        <v>Sanitair</v>
      </c>
      <c r="C289" s="219" t="s">
        <v>522</v>
      </c>
      <c r="D289" s="218" t="s">
        <v>523</v>
      </c>
      <c r="E289" s="219" t="s">
        <v>102</v>
      </c>
      <c r="F289" s="219" t="s">
        <v>527</v>
      </c>
      <c r="G289" s="224" t="s">
        <v>283</v>
      </c>
      <c r="H289" s="220" t="s">
        <v>283</v>
      </c>
      <c r="I289" s="220" t="s">
        <v>283</v>
      </c>
      <c r="J289" s="220" t="s">
        <v>20</v>
      </c>
      <c r="K289" s="220" t="s">
        <v>283</v>
      </c>
      <c r="L289" s="220" t="s">
        <v>283</v>
      </c>
      <c r="M289" s="220" t="s">
        <v>283</v>
      </c>
      <c r="N289" s="220" t="s">
        <v>283</v>
      </c>
      <c r="O289" s="221" t="s">
        <v>283</v>
      </c>
      <c r="P289" s="221" t="s">
        <v>283</v>
      </c>
      <c r="Q289" s="221" t="s">
        <v>283</v>
      </c>
      <c r="R289" s="221" t="s">
        <v>283</v>
      </c>
      <c r="S289" s="221" t="s">
        <v>283</v>
      </c>
      <c r="T289" s="221" t="s">
        <v>283</v>
      </c>
      <c r="U289" s="221" t="s">
        <v>283</v>
      </c>
      <c r="V289" s="221" t="s">
        <v>283</v>
      </c>
      <c r="W289" s="222" t="s">
        <v>18</v>
      </c>
      <c r="X289" s="222" t="s">
        <v>15</v>
      </c>
      <c r="Y289" s="223" t="s">
        <v>283</v>
      </c>
    </row>
    <row r="290" spans="1:25">
      <c r="A290" s="217">
        <v>5</v>
      </c>
      <c r="B290" s="218" t="str">
        <f>VLOOKUP(Tabel10[[#This Row],[Code]],Ruimtegroepen[[Code]:[Ruimte omschrijving]],2,FALSE)</f>
        <v>Sanitair</v>
      </c>
      <c r="C290" s="219" t="s">
        <v>522</v>
      </c>
      <c r="D290" s="218" t="s">
        <v>523</v>
      </c>
      <c r="E290" s="219" t="s">
        <v>99</v>
      </c>
      <c r="F290" s="219" t="s">
        <v>525</v>
      </c>
      <c r="G290" s="224" t="s">
        <v>283</v>
      </c>
      <c r="H290" s="220" t="s">
        <v>283</v>
      </c>
      <c r="I290" s="220" t="s">
        <v>283</v>
      </c>
      <c r="J290" s="220" t="s">
        <v>283</v>
      </c>
      <c r="K290" s="220" t="s">
        <v>283</v>
      </c>
      <c r="L290" s="220" t="s">
        <v>283</v>
      </c>
      <c r="M290" s="220" t="s">
        <v>283</v>
      </c>
      <c r="N290" s="220" t="s">
        <v>283</v>
      </c>
      <c r="O290" s="221" t="s">
        <v>283</v>
      </c>
      <c r="P290" s="221" t="s">
        <v>283</v>
      </c>
      <c r="Q290" s="221" t="s">
        <v>283</v>
      </c>
      <c r="R290" s="221" t="s">
        <v>283</v>
      </c>
      <c r="S290" s="221" t="s">
        <v>283</v>
      </c>
      <c r="T290" s="221" t="s">
        <v>283</v>
      </c>
      <c r="U290" s="221" t="s">
        <v>283</v>
      </c>
      <c r="V290" s="221" t="s">
        <v>283</v>
      </c>
      <c r="W290" s="222" t="s">
        <v>283</v>
      </c>
      <c r="X290" s="222" t="s">
        <v>283</v>
      </c>
      <c r="Y290" s="223" t="s">
        <v>283</v>
      </c>
    </row>
    <row r="291" spans="1:25">
      <c r="A291" s="217">
        <v>5</v>
      </c>
      <c r="B291" s="218" t="str">
        <f>VLOOKUP(Tabel10[[#This Row],[Code]],Ruimtegroepen[[Code]:[Ruimte omschrijving]],2,FALSE)</f>
        <v>Sanitair</v>
      </c>
      <c r="C291" s="219" t="s">
        <v>522</v>
      </c>
      <c r="D291" s="218" t="s">
        <v>523</v>
      </c>
      <c r="E291" s="219" t="s">
        <v>1313</v>
      </c>
      <c r="F291" s="219" t="s">
        <v>1464</v>
      </c>
      <c r="G291" s="224" t="s">
        <v>283</v>
      </c>
      <c r="H291" s="220" t="s">
        <v>283</v>
      </c>
      <c r="I291" s="220" t="s">
        <v>283</v>
      </c>
      <c r="J291" s="220" t="s">
        <v>20</v>
      </c>
      <c r="K291" s="220" t="s">
        <v>283</v>
      </c>
      <c r="L291" s="220" t="s">
        <v>283</v>
      </c>
      <c r="M291" s="220" t="s">
        <v>283</v>
      </c>
      <c r="N291" s="220" t="s">
        <v>283</v>
      </c>
      <c r="O291" s="221" t="s">
        <v>283</v>
      </c>
      <c r="P291" s="221" t="s">
        <v>283</v>
      </c>
      <c r="Q291" s="221" t="s">
        <v>283</v>
      </c>
      <c r="R291" s="221" t="s">
        <v>283</v>
      </c>
      <c r="S291" s="221" t="s">
        <v>283</v>
      </c>
      <c r="T291" s="221" t="s">
        <v>283</v>
      </c>
      <c r="U291" s="221" t="s">
        <v>283</v>
      </c>
      <c r="V291" s="221" t="s">
        <v>283</v>
      </c>
      <c r="W291" s="222" t="s">
        <v>18</v>
      </c>
      <c r="X291" s="222" t="s">
        <v>15</v>
      </c>
      <c r="Y291" s="223" t="s">
        <v>283</v>
      </c>
    </row>
    <row r="292" spans="1:25">
      <c r="A292" s="217">
        <v>6</v>
      </c>
      <c r="B292" s="218" t="str">
        <f>VLOOKUP(Tabel10[[#This Row],[Code]],Ruimtegroepen[[Code]:[Ruimte omschrijving]],2,FALSE)</f>
        <v>Gangen/hallen</v>
      </c>
      <c r="C292" s="219" t="s">
        <v>528</v>
      </c>
      <c r="D292" s="218" t="s">
        <v>29</v>
      </c>
      <c r="E292" s="219" t="s">
        <v>100</v>
      </c>
      <c r="F292" s="219" t="s">
        <v>529</v>
      </c>
      <c r="G292" s="224" t="s">
        <v>283</v>
      </c>
      <c r="H292" s="220" t="s">
        <v>283</v>
      </c>
      <c r="I292" s="220" t="s">
        <v>283</v>
      </c>
      <c r="J292" s="220" t="s">
        <v>2</v>
      </c>
      <c r="K292" s="220" t="s">
        <v>283</v>
      </c>
      <c r="L292" s="220" t="s">
        <v>283</v>
      </c>
      <c r="M292" s="220" t="s">
        <v>283</v>
      </c>
      <c r="N292" s="220" t="s">
        <v>2</v>
      </c>
      <c r="O292" s="221" t="s">
        <v>2</v>
      </c>
      <c r="P292" s="221" t="s">
        <v>2</v>
      </c>
      <c r="Q292" s="221" t="s">
        <v>15</v>
      </c>
      <c r="R292" s="221" t="s">
        <v>15</v>
      </c>
      <c r="S292" s="221" t="s">
        <v>16</v>
      </c>
      <c r="T292" s="221" t="s">
        <v>330</v>
      </c>
      <c r="U292" s="221" t="s">
        <v>250</v>
      </c>
      <c r="V292" s="221" t="s">
        <v>2</v>
      </c>
      <c r="W292" s="222" t="s">
        <v>283</v>
      </c>
      <c r="X292" s="222" t="s">
        <v>283</v>
      </c>
      <c r="Y292" s="223" t="s">
        <v>283</v>
      </c>
    </row>
    <row r="293" spans="1:25">
      <c r="A293" s="217">
        <v>6</v>
      </c>
      <c r="B293" s="218" t="str">
        <f>VLOOKUP(Tabel10[[#This Row],[Code]],Ruimtegroepen[[Code]:[Ruimte omschrijving]],2,FALSE)</f>
        <v>Gangen/hallen</v>
      </c>
      <c r="C293" s="219" t="s">
        <v>528</v>
      </c>
      <c r="D293" s="218" t="s">
        <v>29</v>
      </c>
      <c r="E293" s="219" t="s">
        <v>99</v>
      </c>
      <c r="F293" s="219" t="s">
        <v>530</v>
      </c>
      <c r="G293" s="224" t="s">
        <v>283</v>
      </c>
      <c r="H293" s="220" t="s">
        <v>2</v>
      </c>
      <c r="I293" s="220" t="s">
        <v>283</v>
      </c>
      <c r="J293" s="220" t="s">
        <v>283</v>
      </c>
      <c r="K293" s="220" t="s">
        <v>283</v>
      </c>
      <c r="L293" s="220" t="s">
        <v>283</v>
      </c>
      <c r="M293" s="220" t="s">
        <v>283</v>
      </c>
      <c r="N293" s="220" t="s">
        <v>2</v>
      </c>
      <c r="O293" s="221" t="s">
        <v>2</v>
      </c>
      <c r="P293" s="221" t="s">
        <v>2</v>
      </c>
      <c r="Q293" s="221" t="s">
        <v>15</v>
      </c>
      <c r="R293" s="221" t="s">
        <v>15</v>
      </c>
      <c r="S293" s="221" t="s">
        <v>16</v>
      </c>
      <c r="T293" s="221" t="s">
        <v>330</v>
      </c>
      <c r="U293" s="221" t="s">
        <v>250</v>
      </c>
      <c r="V293" s="221" t="s">
        <v>2</v>
      </c>
      <c r="W293" s="222" t="s">
        <v>283</v>
      </c>
      <c r="X293" s="222" t="s">
        <v>283</v>
      </c>
      <c r="Y293" s="223" t="s">
        <v>283</v>
      </c>
    </row>
    <row r="294" spans="1:25">
      <c r="A294" s="217">
        <v>6</v>
      </c>
      <c r="B294" s="218" t="str">
        <f>VLOOKUP(Tabel10[[#This Row],[Code]],Ruimtegroepen[[Code]:[Ruimte omschrijving]],2,FALSE)</f>
        <v>Gangen/hallen</v>
      </c>
      <c r="C294" s="219" t="s">
        <v>528</v>
      </c>
      <c r="D294" s="218" t="s">
        <v>29</v>
      </c>
      <c r="E294" s="219" t="s">
        <v>101</v>
      </c>
      <c r="F294" s="219" t="s">
        <v>531</v>
      </c>
      <c r="G294" s="224" t="s">
        <v>283</v>
      </c>
      <c r="H294" s="220" t="s">
        <v>283</v>
      </c>
      <c r="I294" s="220" t="s">
        <v>2</v>
      </c>
      <c r="J294" s="220" t="s">
        <v>283</v>
      </c>
      <c r="K294" s="220" t="s">
        <v>2</v>
      </c>
      <c r="L294" s="220" t="s">
        <v>283</v>
      </c>
      <c r="M294" s="220" t="s">
        <v>283</v>
      </c>
      <c r="N294" s="220" t="s">
        <v>2</v>
      </c>
      <c r="O294" s="221" t="s">
        <v>2</v>
      </c>
      <c r="P294" s="221" t="s">
        <v>2</v>
      </c>
      <c r="Q294" s="221" t="s">
        <v>15</v>
      </c>
      <c r="R294" s="221" t="s">
        <v>15</v>
      </c>
      <c r="S294" s="221" t="s">
        <v>16</v>
      </c>
      <c r="T294" s="221" t="s">
        <v>330</v>
      </c>
      <c r="U294" s="221" t="s">
        <v>250</v>
      </c>
      <c r="V294" s="221" t="s">
        <v>2</v>
      </c>
      <c r="W294" s="222" t="s">
        <v>283</v>
      </c>
      <c r="X294" s="222" t="s">
        <v>283</v>
      </c>
      <c r="Y294" s="223" t="s">
        <v>283</v>
      </c>
    </row>
    <row r="295" spans="1:25">
      <c r="A295" s="217">
        <v>6</v>
      </c>
      <c r="B295" s="218" t="str">
        <f>VLOOKUP(Tabel10[[#This Row],[Code]],Ruimtegroepen[[Code]:[Ruimte omschrijving]],2,FALSE)</f>
        <v>Gangen/hallen</v>
      </c>
      <c r="C295" s="219" t="s">
        <v>528</v>
      </c>
      <c r="D295" s="218" t="s">
        <v>29</v>
      </c>
      <c r="E295" s="219" t="s">
        <v>102</v>
      </c>
      <c r="F295" s="219" t="s">
        <v>532</v>
      </c>
      <c r="G295" s="224" t="s">
        <v>283</v>
      </c>
      <c r="H295" s="220" t="s">
        <v>283</v>
      </c>
      <c r="I295" s="220" t="s">
        <v>2</v>
      </c>
      <c r="J295" s="220" t="s">
        <v>283</v>
      </c>
      <c r="K295" s="220" t="s">
        <v>2</v>
      </c>
      <c r="L295" s="220" t="s">
        <v>283</v>
      </c>
      <c r="M295" s="220" t="s">
        <v>283</v>
      </c>
      <c r="N295" s="220" t="s">
        <v>2</v>
      </c>
      <c r="O295" s="221" t="s">
        <v>2</v>
      </c>
      <c r="P295" s="221" t="s">
        <v>2</v>
      </c>
      <c r="Q295" s="221" t="s">
        <v>15</v>
      </c>
      <c r="R295" s="221" t="s">
        <v>15</v>
      </c>
      <c r="S295" s="221" t="s">
        <v>16</v>
      </c>
      <c r="T295" s="221" t="s">
        <v>330</v>
      </c>
      <c r="U295" s="221" t="s">
        <v>250</v>
      </c>
      <c r="V295" s="221" t="s">
        <v>2</v>
      </c>
      <c r="W295" s="222" t="s">
        <v>283</v>
      </c>
      <c r="X295" s="222" t="s">
        <v>283</v>
      </c>
      <c r="Y295" s="223" t="s">
        <v>283</v>
      </c>
    </row>
    <row r="296" spans="1:25">
      <c r="A296" s="217">
        <v>6</v>
      </c>
      <c r="B296" s="218" t="str">
        <f>VLOOKUP(Tabel10[[#This Row],[Code]],Ruimtegroepen[[Code]:[Ruimte omschrijving]],2,FALSE)</f>
        <v>Gangen/hallen</v>
      </c>
      <c r="C296" s="219" t="s">
        <v>528</v>
      </c>
      <c r="D296" s="218" t="s">
        <v>29</v>
      </c>
      <c r="E296" s="219" t="s">
        <v>99</v>
      </c>
      <c r="F296" s="219" t="s">
        <v>530</v>
      </c>
      <c r="G296" s="224" t="s">
        <v>283</v>
      </c>
      <c r="H296" s="220" t="s">
        <v>2</v>
      </c>
      <c r="I296" s="220" t="s">
        <v>283</v>
      </c>
      <c r="J296" s="220" t="s">
        <v>283</v>
      </c>
      <c r="K296" s="220" t="s">
        <v>283</v>
      </c>
      <c r="L296" s="220" t="s">
        <v>283</v>
      </c>
      <c r="M296" s="220" t="s">
        <v>283</v>
      </c>
      <c r="N296" s="220" t="s">
        <v>2</v>
      </c>
      <c r="O296" s="221" t="s">
        <v>2</v>
      </c>
      <c r="P296" s="221" t="s">
        <v>2</v>
      </c>
      <c r="Q296" s="221" t="s">
        <v>15</v>
      </c>
      <c r="R296" s="221" t="s">
        <v>15</v>
      </c>
      <c r="S296" s="221" t="s">
        <v>16</v>
      </c>
      <c r="T296" s="221" t="s">
        <v>330</v>
      </c>
      <c r="U296" s="221" t="s">
        <v>250</v>
      </c>
      <c r="V296" s="221" t="s">
        <v>2</v>
      </c>
      <c r="W296" s="222" t="s">
        <v>283</v>
      </c>
      <c r="X296" s="222" t="s">
        <v>283</v>
      </c>
      <c r="Y296" s="223" t="s">
        <v>283</v>
      </c>
    </row>
    <row r="297" spans="1:25">
      <c r="A297" s="217">
        <v>6</v>
      </c>
      <c r="B297" s="218" t="str">
        <f>VLOOKUP(Tabel10[[#This Row],[Code]],Ruimtegroepen[[Code]:[Ruimte omschrijving]],2,FALSE)</f>
        <v>Gangen/hallen</v>
      </c>
      <c r="C297" s="219" t="s">
        <v>528</v>
      </c>
      <c r="D297" s="218" t="s">
        <v>29</v>
      </c>
      <c r="E297" s="219" t="s">
        <v>1313</v>
      </c>
      <c r="F297" s="219" t="s">
        <v>1483</v>
      </c>
      <c r="G297" s="224" t="s">
        <v>283</v>
      </c>
      <c r="H297" s="220" t="s">
        <v>283</v>
      </c>
      <c r="I297" s="220" t="s">
        <v>2</v>
      </c>
      <c r="J297" s="220" t="s">
        <v>283</v>
      </c>
      <c r="K297" s="220" t="s">
        <v>2</v>
      </c>
      <c r="L297" s="220" t="s">
        <v>283</v>
      </c>
      <c r="M297" s="220" t="s">
        <v>283</v>
      </c>
      <c r="N297" s="220" t="s">
        <v>2</v>
      </c>
      <c r="O297" s="221" t="s">
        <v>2</v>
      </c>
      <c r="P297" s="221" t="s">
        <v>2</v>
      </c>
      <c r="Q297" s="221" t="s">
        <v>15</v>
      </c>
      <c r="R297" s="221" t="s">
        <v>15</v>
      </c>
      <c r="S297" s="221" t="s">
        <v>16</v>
      </c>
      <c r="T297" s="221" t="s">
        <v>330</v>
      </c>
      <c r="U297" s="221" t="s">
        <v>250</v>
      </c>
      <c r="V297" s="221" t="s">
        <v>2</v>
      </c>
      <c r="W297" s="222" t="s">
        <v>283</v>
      </c>
      <c r="X297" s="222" t="s">
        <v>283</v>
      </c>
      <c r="Y297" s="223" t="s">
        <v>283</v>
      </c>
    </row>
    <row r="298" spans="1:25">
      <c r="A298" s="217">
        <v>6</v>
      </c>
      <c r="B298" s="218" t="str">
        <f>VLOOKUP(Tabel10[[#This Row],[Code]],Ruimtegroepen[[Code]:[Ruimte omschrijving]],2,FALSE)</f>
        <v>Gangen/hallen</v>
      </c>
      <c r="C298" s="219" t="s">
        <v>533</v>
      </c>
      <c r="D298" s="218" t="s">
        <v>1</v>
      </c>
      <c r="E298" s="219" t="s">
        <v>100</v>
      </c>
      <c r="F298" s="219" t="s">
        <v>534</v>
      </c>
      <c r="G298" s="224" t="s">
        <v>283</v>
      </c>
      <c r="H298" s="220" t="s">
        <v>283</v>
      </c>
      <c r="I298" s="220" t="s">
        <v>283</v>
      </c>
      <c r="J298" s="220" t="s">
        <v>2</v>
      </c>
      <c r="K298" s="220" t="s">
        <v>283</v>
      </c>
      <c r="L298" s="220" t="s">
        <v>283</v>
      </c>
      <c r="M298" s="220" t="s">
        <v>283</v>
      </c>
      <c r="N298" s="220" t="s">
        <v>283</v>
      </c>
      <c r="O298" s="221" t="s">
        <v>2</v>
      </c>
      <c r="P298" s="221" t="s">
        <v>2</v>
      </c>
      <c r="Q298" s="221" t="s">
        <v>15</v>
      </c>
      <c r="R298" s="221" t="s">
        <v>15</v>
      </c>
      <c r="S298" s="221" t="s">
        <v>16</v>
      </c>
      <c r="T298" s="221" t="s">
        <v>330</v>
      </c>
      <c r="U298" s="221" t="s">
        <v>250</v>
      </c>
      <c r="V298" s="221" t="s">
        <v>283</v>
      </c>
      <c r="W298" s="222" t="s">
        <v>283</v>
      </c>
      <c r="X298" s="222" t="s">
        <v>283</v>
      </c>
      <c r="Y298" s="223" t="s">
        <v>283</v>
      </c>
    </row>
    <row r="299" spans="1:25">
      <c r="A299" s="217">
        <v>6</v>
      </c>
      <c r="B299" s="218" t="str">
        <f>VLOOKUP(Tabel10[[#This Row],[Code]],Ruimtegroepen[[Code]:[Ruimte omschrijving]],2,FALSE)</f>
        <v>Gangen/hallen</v>
      </c>
      <c r="C299" s="219" t="s">
        <v>533</v>
      </c>
      <c r="D299" s="218" t="s">
        <v>1</v>
      </c>
      <c r="E299" s="219" t="s">
        <v>99</v>
      </c>
      <c r="F299" s="219" t="s">
        <v>535</v>
      </c>
      <c r="G299" s="224" t="s">
        <v>283</v>
      </c>
      <c r="H299" s="220" t="s">
        <v>2</v>
      </c>
      <c r="I299" s="220" t="s">
        <v>283</v>
      </c>
      <c r="J299" s="220" t="s">
        <v>283</v>
      </c>
      <c r="K299" s="220" t="s">
        <v>283</v>
      </c>
      <c r="L299" s="220" t="s">
        <v>283</v>
      </c>
      <c r="M299" s="220" t="s">
        <v>283</v>
      </c>
      <c r="N299" s="220" t="s">
        <v>283</v>
      </c>
      <c r="O299" s="221" t="s">
        <v>2</v>
      </c>
      <c r="P299" s="221" t="s">
        <v>2</v>
      </c>
      <c r="Q299" s="221" t="s">
        <v>15</v>
      </c>
      <c r="R299" s="221" t="s">
        <v>15</v>
      </c>
      <c r="S299" s="221" t="s">
        <v>16</v>
      </c>
      <c r="T299" s="221" t="s">
        <v>330</v>
      </c>
      <c r="U299" s="221" t="s">
        <v>250</v>
      </c>
      <c r="V299" s="221" t="s">
        <v>283</v>
      </c>
      <c r="W299" s="222" t="s">
        <v>283</v>
      </c>
      <c r="X299" s="222" t="s">
        <v>283</v>
      </c>
      <c r="Y299" s="223" t="s">
        <v>283</v>
      </c>
    </row>
    <row r="300" spans="1:25">
      <c r="A300" s="217">
        <v>6</v>
      </c>
      <c r="B300" s="218" t="str">
        <f>VLOOKUP(Tabel10[[#This Row],[Code]],Ruimtegroepen[[Code]:[Ruimte omschrijving]],2,FALSE)</f>
        <v>Gangen/hallen</v>
      </c>
      <c r="C300" s="219" t="s">
        <v>533</v>
      </c>
      <c r="D300" s="218" t="s">
        <v>1</v>
      </c>
      <c r="E300" s="219" t="s">
        <v>101</v>
      </c>
      <c r="F300" s="219" t="s">
        <v>536</v>
      </c>
      <c r="G300" s="224" t="s">
        <v>283</v>
      </c>
      <c r="H300" s="220" t="s">
        <v>283</v>
      </c>
      <c r="I300" s="220" t="s">
        <v>2</v>
      </c>
      <c r="J300" s="220" t="s">
        <v>283</v>
      </c>
      <c r="K300" s="220" t="s">
        <v>2</v>
      </c>
      <c r="L300" s="220" t="s">
        <v>283</v>
      </c>
      <c r="M300" s="220" t="s">
        <v>283</v>
      </c>
      <c r="N300" s="220" t="s">
        <v>283</v>
      </c>
      <c r="O300" s="221" t="s">
        <v>2</v>
      </c>
      <c r="P300" s="221" t="s">
        <v>2</v>
      </c>
      <c r="Q300" s="221" t="s">
        <v>15</v>
      </c>
      <c r="R300" s="221" t="s">
        <v>15</v>
      </c>
      <c r="S300" s="221" t="s">
        <v>16</v>
      </c>
      <c r="T300" s="221" t="s">
        <v>330</v>
      </c>
      <c r="U300" s="221" t="s">
        <v>250</v>
      </c>
      <c r="V300" s="221" t="s">
        <v>283</v>
      </c>
      <c r="W300" s="222" t="s">
        <v>283</v>
      </c>
      <c r="X300" s="222" t="s">
        <v>283</v>
      </c>
      <c r="Y300" s="223" t="s">
        <v>283</v>
      </c>
    </row>
    <row r="301" spans="1:25">
      <c r="A301" s="217">
        <v>6</v>
      </c>
      <c r="B301" s="218" t="str">
        <f>VLOOKUP(Tabel10[[#This Row],[Code]],Ruimtegroepen[[Code]:[Ruimte omschrijving]],2,FALSE)</f>
        <v>Gangen/hallen</v>
      </c>
      <c r="C301" s="219" t="s">
        <v>533</v>
      </c>
      <c r="D301" s="218" t="s">
        <v>1</v>
      </c>
      <c r="E301" s="219" t="s">
        <v>102</v>
      </c>
      <c r="F301" s="219" t="s">
        <v>537</v>
      </c>
      <c r="G301" s="224" t="s">
        <v>283</v>
      </c>
      <c r="H301" s="220" t="s">
        <v>283</v>
      </c>
      <c r="I301" s="220" t="s">
        <v>2</v>
      </c>
      <c r="J301" s="220" t="s">
        <v>283</v>
      </c>
      <c r="K301" s="220" t="s">
        <v>2</v>
      </c>
      <c r="L301" s="220" t="s">
        <v>283</v>
      </c>
      <c r="M301" s="220" t="s">
        <v>283</v>
      </c>
      <c r="N301" s="220" t="s">
        <v>283</v>
      </c>
      <c r="O301" s="221" t="s">
        <v>2</v>
      </c>
      <c r="P301" s="221" t="s">
        <v>2</v>
      </c>
      <c r="Q301" s="221" t="s">
        <v>15</v>
      </c>
      <c r="R301" s="221" t="s">
        <v>15</v>
      </c>
      <c r="S301" s="221" t="s">
        <v>16</v>
      </c>
      <c r="T301" s="221" t="s">
        <v>330</v>
      </c>
      <c r="U301" s="221" t="s">
        <v>250</v>
      </c>
      <c r="V301" s="221" t="s">
        <v>283</v>
      </c>
      <c r="W301" s="222" t="s">
        <v>283</v>
      </c>
      <c r="X301" s="222" t="s">
        <v>283</v>
      </c>
      <c r="Y301" s="223" t="s">
        <v>283</v>
      </c>
    </row>
    <row r="302" spans="1:25">
      <c r="A302" s="217">
        <v>6</v>
      </c>
      <c r="B302" s="218" t="str">
        <f>VLOOKUP(Tabel10[[#This Row],[Code]],Ruimtegroepen[[Code]:[Ruimte omschrijving]],2,FALSE)</f>
        <v>Gangen/hallen</v>
      </c>
      <c r="C302" s="219" t="s">
        <v>533</v>
      </c>
      <c r="D302" s="218" t="s">
        <v>1</v>
      </c>
      <c r="E302" s="219" t="s">
        <v>99</v>
      </c>
      <c r="F302" s="219" t="s">
        <v>535</v>
      </c>
      <c r="G302" s="224" t="s">
        <v>283</v>
      </c>
      <c r="H302" s="220" t="s">
        <v>2</v>
      </c>
      <c r="I302" s="220" t="s">
        <v>283</v>
      </c>
      <c r="J302" s="220" t="s">
        <v>283</v>
      </c>
      <c r="K302" s="220" t="s">
        <v>283</v>
      </c>
      <c r="L302" s="220" t="s">
        <v>283</v>
      </c>
      <c r="M302" s="220" t="s">
        <v>283</v>
      </c>
      <c r="N302" s="220" t="s">
        <v>283</v>
      </c>
      <c r="O302" s="221" t="s">
        <v>2</v>
      </c>
      <c r="P302" s="221" t="s">
        <v>2</v>
      </c>
      <c r="Q302" s="221" t="s">
        <v>15</v>
      </c>
      <c r="R302" s="221" t="s">
        <v>15</v>
      </c>
      <c r="S302" s="221" t="s">
        <v>16</v>
      </c>
      <c r="T302" s="221" t="s">
        <v>330</v>
      </c>
      <c r="U302" s="221" t="s">
        <v>250</v>
      </c>
      <c r="V302" s="221" t="s">
        <v>283</v>
      </c>
      <c r="W302" s="222" t="s">
        <v>283</v>
      </c>
      <c r="X302" s="222" t="s">
        <v>283</v>
      </c>
      <c r="Y302" s="223" t="s">
        <v>283</v>
      </c>
    </row>
    <row r="303" spans="1:25">
      <c r="A303" s="217">
        <v>6</v>
      </c>
      <c r="B303" s="218" t="str">
        <f>VLOOKUP(Tabel10[[#This Row],[Code]],Ruimtegroepen[[Code]:[Ruimte omschrijving]],2,FALSE)</f>
        <v>Gangen/hallen</v>
      </c>
      <c r="C303" s="219" t="s">
        <v>533</v>
      </c>
      <c r="D303" s="218" t="s">
        <v>1</v>
      </c>
      <c r="E303" s="219" t="s">
        <v>1313</v>
      </c>
      <c r="F303" s="219" t="s">
        <v>1467</v>
      </c>
      <c r="G303" s="224" t="s">
        <v>283</v>
      </c>
      <c r="H303" s="220" t="s">
        <v>283</v>
      </c>
      <c r="I303" s="220" t="s">
        <v>2</v>
      </c>
      <c r="J303" s="220" t="s">
        <v>283</v>
      </c>
      <c r="K303" s="220" t="s">
        <v>2</v>
      </c>
      <c r="L303" s="220" t="s">
        <v>283</v>
      </c>
      <c r="M303" s="220" t="s">
        <v>283</v>
      </c>
      <c r="N303" s="220" t="s">
        <v>283</v>
      </c>
      <c r="O303" s="221" t="s">
        <v>2</v>
      </c>
      <c r="P303" s="221" t="s">
        <v>2</v>
      </c>
      <c r="Q303" s="221" t="s">
        <v>15</v>
      </c>
      <c r="R303" s="221" t="s">
        <v>15</v>
      </c>
      <c r="S303" s="221" t="s">
        <v>16</v>
      </c>
      <c r="T303" s="221" t="s">
        <v>330</v>
      </c>
      <c r="U303" s="221" t="s">
        <v>250</v>
      </c>
      <c r="V303" s="221" t="s">
        <v>283</v>
      </c>
      <c r="W303" s="222" t="s">
        <v>283</v>
      </c>
      <c r="X303" s="222" t="s">
        <v>283</v>
      </c>
      <c r="Y303" s="223" t="s">
        <v>283</v>
      </c>
    </row>
    <row r="304" spans="1:25">
      <c r="A304" s="217">
        <v>6</v>
      </c>
      <c r="B304" s="218" t="str">
        <f>VLOOKUP(Tabel10[[#This Row],[Code]],Ruimtegroepen[[Code]:[Ruimte omschrijving]],2,FALSE)</f>
        <v>Gangen/hallen</v>
      </c>
      <c r="C304" s="219" t="s">
        <v>538</v>
      </c>
      <c r="D304" s="218" t="s">
        <v>21</v>
      </c>
      <c r="E304" s="219" t="s">
        <v>100</v>
      </c>
      <c r="F304" s="219" t="s">
        <v>539</v>
      </c>
      <c r="G304" s="224" t="s">
        <v>283</v>
      </c>
      <c r="H304" s="220" t="s">
        <v>283</v>
      </c>
      <c r="I304" s="220" t="s">
        <v>283</v>
      </c>
      <c r="J304" s="220" t="s">
        <v>20</v>
      </c>
      <c r="K304" s="220" t="s">
        <v>283</v>
      </c>
      <c r="L304" s="220" t="s">
        <v>283</v>
      </c>
      <c r="M304" s="220" t="s">
        <v>283</v>
      </c>
      <c r="N304" s="220" t="s">
        <v>283</v>
      </c>
      <c r="O304" s="221" t="s">
        <v>20</v>
      </c>
      <c r="P304" s="221" t="s">
        <v>20</v>
      </c>
      <c r="Q304" s="221" t="s">
        <v>15</v>
      </c>
      <c r="R304" s="221" t="s">
        <v>15</v>
      </c>
      <c r="S304" s="221" t="s">
        <v>16</v>
      </c>
      <c r="T304" s="221" t="s">
        <v>330</v>
      </c>
      <c r="U304" s="221" t="s">
        <v>250</v>
      </c>
      <c r="V304" s="221" t="s">
        <v>283</v>
      </c>
      <c r="W304" s="222" t="s">
        <v>283</v>
      </c>
      <c r="X304" s="222" t="s">
        <v>283</v>
      </c>
      <c r="Y304" s="223" t="s">
        <v>283</v>
      </c>
    </row>
    <row r="305" spans="1:25">
      <c r="A305" s="217">
        <v>6</v>
      </c>
      <c r="B305" s="218" t="str">
        <f>VLOOKUP(Tabel10[[#This Row],[Code]],Ruimtegroepen[[Code]:[Ruimte omschrijving]],2,FALSE)</f>
        <v>Gangen/hallen</v>
      </c>
      <c r="C305" s="219" t="s">
        <v>538</v>
      </c>
      <c r="D305" s="218" t="s">
        <v>21</v>
      </c>
      <c r="E305" s="219" t="s">
        <v>99</v>
      </c>
      <c r="F305" s="219" t="s">
        <v>540</v>
      </c>
      <c r="G305" s="224" t="s">
        <v>283</v>
      </c>
      <c r="H305" s="220" t="s">
        <v>20</v>
      </c>
      <c r="I305" s="220" t="s">
        <v>283</v>
      </c>
      <c r="J305" s="220" t="s">
        <v>283</v>
      </c>
      <c r="K305" s="220" t="s">
        <v>283</v>
      </c>
      <c r="L305" s="220" t="s">
        <v>283</v>
      </c>
      <c r="M305" s="220" t="s">
        <v>283</v>
      </c>
      <c r="N305" s="220" t="s">
        <v>283</v>
      </c>
      <c r="O305" s="221" t="s">
        <v>20</v>
      </c>
      <c r="P305" s="221" t="s">
        <v>20</v>
      </c>
      <c r="Q305" s="221" t="s">
        <v>15</v>
      </c>
      <c r="R305" s="221" t="s">
        <v>15</v>
      </c>
      <c r="S305" s="221" t="s">
        <v>16</v>
      </c>
      <c r="T305" s="221" t="s">
        <v>330</v>
      </c>
      <c r="U305" s="221" t="s">
        <v>250</v>
      </c>
      <c r="V305" s="221" t="s">
        <v>283</v>
      </c>
      <c r="W305" s="222" t="s">
        <v>283</v>
      </c>
      <c r="X305" s="222" t="s">
        <v>283</v>
      </c>
      <c r="Y305" s="223" t="s">
        <v>283</v>
      </c>
    </row>
    <row r="306" spans="1:25">
      <c r="A306" s="217">
        <v>6</v>
      </c>
      <c r="B306" s="218" t="str">
        <f>VLOOKUP(Tabel10[[#This Row],[Code]],Ruimtegroepen[[Code]:[Ruimte omschrijving]],2,FALSE)</f>
        <v>Gangen/hallen</v>
      </c>
      <c r="C306" s="219" t="s">
        <v>538</v>
      </c>
      <c r="D306" s="218" t="s">
        <v>21</v>
      </c>
      <c r="E306" s="219" t="s">
        <v>101</v>
      </c>
      <c r="F306" s="219" t="s">
        <v>541</v>
      </c>
      <c r="G306" s="224" t="s">
        <v>283</v>
      </c>
      <c r="H306" s="220" t="s">
        <v>283</v>
      </c>
      <c r="I306" s="220" t="s">
        <v>20</v>
      </c>
      <c r="J306" s="220" t="s">
        <v>283</v>
      </c>
      <c r="K306" s="220" t="s">
        <v>20</v>
      </c>
      <c r="L306" s="220" t="s">
        <v>283</v>
      </c>
      <c r="M306" s="220" t="s">
        <v>283</v>
      </c>
      <c r="N306" s="220" t="s">
        <v>283</v>
      </c>
      <c r="O306" s="221" t="s">
        <v>20</v>
      </c>
      <c r="P306" s="221" t="s">
        <v>20</v>
      </c>
      <c r="Q306" s="221" t="s">
        <v>15</v>
      </c>
      <c r="R306" s="221" t="s">
        <v>15</v>
      </c>
      <c r="S306" s="221" t="s">
        <v>16</v>
      </c>
      <c r="T306" s="221" t="s">
        <v>330</v>
      </c>
      <c r="U306" s="221" t="s">
        <v>250</v>
      </c>
      <c r="V306" s="221" t="s">
        <v>283</v>
      </c>
      <c r="W306" s="222" t="s">
        <v>283</v>
      </c>
      <c r="X306" s="222" t="s">
        <v>283</v>
      </c>
      <c r="Y306" s="223" t="s">
        <v>283</v>
      </c>
    </row>
    <row r="307" spans="1:25">
      <c r="A307" s="217">
        <v>6</v>
      </c>
      <c r="B307" s="218" t="str">
        <f>VLOOKUP(Tabel10[[#This Row],[Code]],Ruimtegroepen[[Code]:[Ruimte omschrijving]],2,FALSE)</f>
        <v>Gangen/hallen</v>
      </c>
      <c r="C307" s="219" t="s">
        <v>538</v>
      </c>
      <c r="D307" s="218" t="s">
        <v>21</v>
      </c>
      <c r="E307" s="219" t="s">
        <v>102</v>
      </c>
      <c r="F307" s="219" t="s">
        <v>542</v>
      </c>
      <c r="G307" s="224" t="s">
        <v>283</v>
      </c>
      <c r="H307" s="220" t="s">
        <v>283</v>
      </c>
      <c r="I307" s="220" t="s">
        <v>20</v>
      </c>
      <c r="J307" s="220" t="s">
        <v>283</v>
      </c>
      <c r="K307" s="220" t="s">
        <v>20</v>
      </c>
      <c r="L307" s="220" t="s">
        <v>283</v>
      </c>
      <c r="M307" s="220" t="s">
        <v>283</v>
      </c>
      <c r="N307" s="220" t="s">
        <v>283</v>
      </c>
      <c r="O307" s="221" t="s">
        <v>20</v>
      </c>
      <c r="P307" s="221" t="s">
        <v>20</v>
      </c>
      <c r="Q307" s="221" t="s">
        <v>15</v>
      </c>
      <c r="R307" s="221" t="s">
        <v>15</v>
      </c>
      <c r="S307" s="221" t="s">
        <v>16</v>
      </c>
      <c r="T307" s="221" t="s">
        <v>330</v>
      </c>
      <c r="U307" s="221" t="s">
        <v>250</v>
      </c>
      <c r="V307" s="221" t="s">
        <v>283</v>
      </c>
      <c r="W307" s="222" t="s">
        <v>283</v>
      </c>
      <c r="X307" s="222" t="s">
        <v>283</v>
      </c>
      <c r="Y307" s="223" t="s">
        <v>283</v>
      </c>
    </row>
    <row r="308" spans="1:25">
      <c r="A308" s="217">
        <v>6</v>
      </c>
      <c r="B308" s="218" t="str">
        <f>VLOOKUP(Tabel10[[#This Row],[Code]],Ruimtegroepen[[Code]:[Ruimte omschrijving]],2,FALSE)</f>
        <v>Gangen/hallen</v>
      </c>
      <c r="C308" s="219" t="s">
        <v>538</v>
      </c>
      <c r="D308" s="218" t="s">
        <v>21</v>
      </c>
      <c r="E308" s="219" t="s">
        <v>99</v>
      </c>
      <c r="F308" s="219" t="s">
        <v>540</v>
      </c>
      <c r="G308" s="224" t="s">
        <v>283</v>
      </c>
      <c r="H308" s="220" t="s">
        <v>20</v>
      </c>
      <c r="I308" s="220" t="s">
        <v>283</v>
      </c>
      <c r="J308" s="220" t="s">
        <v>283</v>
      </c>
      <c r="K308" s="220" t="s">
        <v>283</v>
      </c>
      <c r="L308" s="220" t="s">
        <v>283</v>
      </c>
      <c r="M308" s="220" t="s">
        <v>283</v>
      </c>
      <c r="N308" s="220" t="s">
        <v>283</v>
      </c>
      <c r="O308" s="221" t="s">
        <v>20</v>
      </c>
      <c r="P308" s="221" t="s">
        <v>20</v>
      </c>
      <c r="Q308" s="221" t="s">
        <v>15</v>
      </c>
      <c r="R308" s="221" t="s">
        <v>15</v>
      </c>
      <c r="S308" s="221" t="s">
        <v>16</v>
      </c>
      <c r="T308" s="221" t="s">
        <v>330</v>
      </c>
      <c r="U308" s="221" t="s">
        <v>250</v>
      </c>
      <c r="V308" s="221" t="s">
        <v>283</v>
      </c>
      <c r="W308" s="222" t="s">
        <v>283</v>
      </c>
      <c r="X308" s="222" t="s">
        <v>283</v>
      </c>
      <c r="Y308" s="223" t="s">
        <v>283</v>
      </c>
    </row>
    <row r="309" spans="1:25">
      <c r="A309" s="217">
        <v>6</v>
      </c>
      <c r="B309" s="218" t="str">
        <f>VLOOKUP(Tabel10[[#This Row],[Code]],Ruimtegroepen[[Code]:[Ruimte omschrijving]],2,FALSE)</f>
        <v>Gangen/hallen</v>
      </c>
      <c r="C309" s="219" t="s">
        <v>538</v>
      </c>
      <c r="D309" s="218" t="s">
        <v>21</v>
      </c>
      <c r="E309" s="219" t="s">
        <v>1313</v>
      </c>
      <c r="F309" s="219" t="s">
        <v>1450</v>
      </c>
      <c r="G309" s="224" t="s">
        <v>283</v>
      </c>
      <c r="H309" s="220" t="s">
        <v>283</v>
      </c>
      <c r="I309" s="220" t="s">
        <v>20</v>
      </c>
      <c r="J309" s="220" t="s">
        <v>283</v>
      </c>
      <c r="K309" s="220" t="s">
        <v>20</v>
      </c>
      <c r="L309" s="220" t="s">
        <v>283</v>
      </c>
      <c r="M309" s="220" t="s">
        <v>283</v>
      </c>
      <c r="N309" s="220" t="s">
        <v>283</v>
      </c>
      <c r="O309" s="221" t="s">
        <v>20</v>
      </c>
      <c r="P309" s="221" t="s">
        <v>20</v>
      </c>
      <c r="Q309" s="221" t="s">
        <v>15</v>
      </c>
      <c r="R309" s="221" t="s">
        <v>15</v>
      </c>
      <c r="S309" s="221" t="s">
        <v>16</v>
      </c>
      <c r="T309" s="221" t="s">
        <v>330</v>
      </c>
      <c r="U309" s="221" t="s">
        <v>250</v>
      </c>
      <c r="V309" s="221" t="s">
        <v>283</v>
      </c>
      <c r="W309" s="222" t="s">
        <v>283</v>
      </c>
      <c r="X309" s="222" t="s">
        <v>283</v>
      </c>
      <c r="Y309" s="223" t="s">
        <v>283</v>
      </c>
    </row>
    <row r="310" spans="1:25">
      <c r="A310" s="217">
        <v>6</v>
      </c>
      <c r="B310" s="218" t="str">
        <f>VLOOKUP(Tabel10[[#This Row],[Code]],Ruimtegroepen[[Code]:[Ruimte omschrijving]],2,FALSE)</f>
        <v>Gangen/hallen</v>
      </c>
      <c r="C310" s="219" t="s">
        <v>543</v>
      </c>
      <c r="D310" s="218" t="s">
        <v>12</v>
      </c>
      <c r="E310" s="219" t="s">
        <v>100</v>
      </c>
      <c r="F310" s="219" t="s">
        <v>544</v>
      </c>
      <c r="G310" s="224" t="s">
        <v>283</v>
      </c>
      <c r="H310" s="220" t="s">
        <v>283</v>
      </c>
      <c r="I310" s="220" t="s">
        <v>283</v>
      </c>
      <c r="J310" s="220" t="s">
        <v>18</v>
      </c>
      <c r="K310" s="220" t="s">
        <v>283</v>
      </c>
      <c r="L310" s="220" t="s">
        <v>283</v>
      </c>
      <c r="M310" s="220" t="s">
        <v>283</v>
      </c>
      <c r="N310" s="220" t="s">
        <v>283</v>
      </c>
      <c r="O310" s="221" t="s">
        <v>18</v>
      </c>
      <c r="P310" s="221" t="s">
        <v>18</v>
      </c>
      <c r="Q310" s="221" t="s">
        <v>15</v>
      </c>
      <c r="R310" s="221" t="s">
        <v>15</v>
      </c>
      <c r="S310" s="221" t="s">
        <v>16</v>
      </c>
      <c r="T310" s="221" t="s">
        <v>330</v>
      </c>
      <c r="U310" s="221" t="s">
        <v>250</v>
      </c>
      <c r="V310" s="221" t="s">
        <v>283</v>
      </c>
      <c r="W310" s="222" t="s">
        <v>283</v>
      </c>
      <c r="X310" s="222" t="s">
        <v>283</v>
      </c>
      <c r="Y310" s="223" t="s">
        <v>283</v>
      </c>
    </row>
    <row r="311" spans="1:25">
      <c r="A311" s="217">
        <v>6</v>
      </c>
      <c r="B311" s="218" t="str">
        <f>VLOOKUP(Tabel10[[#This Row],[Code]],Ruimtegroepen[[Code]:[Ruimte omschrijving]],2,FALSE)</f>
        <v>Gangen/hallen</v>
      </c>
      <c r="C311" s="219" t="s">
        <v>543</v>
      </c>
      <c r="D311" s="218" t="s">
        <v>12</v>
      </c>
      <c r="E311" s="219" t="s">
        <v>99</v>
      </c>
      <c r="F311" s="219" t="s">
        <v>545</v>
      </c>
      <c r="G311" s="224" t="s">
        <v>283</v>
      </c>
      <c r="H311" s="220" t="s">
        <v>18</v>
      </c>
      <c r="I311" s="220" t="s">
        <v>283</v>
      </c>
      <c r="J311" s="220" t="s">
        <v>283</v>
      </c>
      <c r="K311" s="220" t="s">
        <v>283</v>
      </c>
      <c r="L311" s="220" t="s">
        <v>283</v>
      </c>
      <c r="M311" s="220" t="s">
        <v>283</v>
      </c>
      <c r="N311" s="220" t="s">
        <v>283</v>
      </c>
      <c r="O311" s="221" t="s">
        <v>18</v>
      </c>
      <c r="P311" s="221" t="s">
        <v>18</v>
      </c>
      <c r="Q311" s="221" t="s">
        <v>15</v>
      </c>
      <c r="R311" s="221" t="s">
        <v>15</v>
      </c>
      <c r="S311" s="221" t="s">
        <v>16</v>
      </c>
      <c r="T311" s="221" t="s">
        <v>330</v>
      </c>
      <c r="U311" s="221" t="s">
        <v>250</v>
      </c>
      <c r="V311" s="221" t="s">
        <v>283</v>
      </c>
      <c r="W311" s="222" t="s">
        <v>283</v>
      </c>
      <c r="X311" s="222" t="s">
        <v>283</v>
      </c>
      <c r="Y311" s="223" t="s">
        <v>283</v>
      </c>
    </row>
    <row r="312" spans="1:25">
      <c r="A312" s="217">
        <v>6</v>
      </c>
      <c r="B312" s="218" t="str">
        <f>VLOOKUP(Tabel10[[#This Row],[Code]],Ruimtegroepen[[Code]:[Ruimte omschrijving]],2,FALSE)</f>
        <v>Gangen/hallen</v>
      </c>
      <c r="C312" s="219" t="s">
        <v>543</v>
      </c>
      <c r="D312" s="218" t="s">
        <v>12</v>
      </c>
      <c r="E312" s="219" t="s">
        <v>101</v>
      </c>
      <c r="F312" s="219" t="s">
        <v>546</v>
      </c>
      <c r="G312" s="224" t="s">
        <v>283</v>
      </c>
      <c r="H312" s="220" t="s">
        <v>283</v>
      </c>
      <c r="I312" s="220" t="s">
        <v>18</v>
      </c>
      <c r="J312" s="220" t="s">
        <v>283</v>
      </c>
      <c r="K312" s="220" t="s">
        <v>18</v>
      </c>
      <c r="L312" s="220" t="s">
        <v>283</v>
      </c>
      <c r="M312" s="220" t="s">
        <v>283</v>
      </c>
      <c r="N312" s="220" t="s">
        <v>283</v>
      </c>
      <c r="O312" s="221" t="s">
        <v>18</v>
      </c>
      <c r="P312" s="221" t="s">
        <v>18</v>
      </c>
      <c r="Q312" s="221" t="s">
        <v>15</v>
      </c>
      <c r="R312" s="221" t="s">
        <v>15</v>
      </c>
      <c r="S312" s="221" t="s">
        <v>16</v>
      </c>
      <c r="T312" s="221" t="s">
        <v>330</v>
      </c>
      <c r="U312" s="221" t="s">
        <v>250</v>
      </c>
      <c r="V312" s="221" t="s">
        <v>283</v>
      </c>
      <c r="W312" s="222" t="s">
        <v>283</v>
      </c>
      <c r="X312" s="222" t="s">
        <v>283</v>
      </c>
      <c r="Y312" s="223" t="s">
        <v>283</v>
      </c>
    </row>
    <row r="313" spans="1:25">
      <c r="A313" s="217">
        <v>6</v>
      </c>
      <c r="B313" s="218" t="str">
        <f>VLOOKUP(Tabel10[[#This Row],[Code]],Ruimtegroepen[[Code]:[Ruimte omschrijving]],2,FALSE)</f>
        <v>Gangen/hallen</v>
      </c>
      <c r="C313" s="219" t="s">
        <v>543</v>
      </c>
      <c r="D313" s="218" t="s">
        <v>12</v>
      </c>
      <c r="E313" s="219" t="s">
        <v>102</v>
      </c>
      <c r="F313" s="219" t="s">
        <v>547</v>
      </c>
      <c r="G313" s="224" t="s">
        <v>283</v>
      </c>
      <c r="H313" s="220" t="s">
        <v>283</v>
      </c>
      <c r="I313" s="220" t="s">
        <v>18</v>
      </c>
      <c r="J313" s="220" t="s">
        <v>283</v>
      </c>
      <c r="K313" s="220" t="s">
        <v>18</v>
      </c>
      <c r="L313" s="220" t="s">
        <v>283</v>
      </c>
      <c r="M313" s="220" t="s">
        <v>283</v>
      </c>
      <c r="N313" s="220" t="s">
        <v>283</v>
      </c>
      <c r="O313" s="221" t="s">
        <v>18</v>
      </c>
      <c r="P313" s="221" t="s">
        <v>18</v>
      </c>
      <c r="Q313" s="221" t="s">
        <v>15</v>
      </c>
      <c r="R313" s="221" t="s">
        <v>15</v>
      </c>
      <c r="S313" s="221" t="s">
        <v>16</v>
      </c>
      <c r="T313" s="221" t="s">
        <v>330</v>
      </c>
      <c r="U313" s="221" t="s">
        <v>250</v>
      </c>
      <c r="V313" s="221" t="s">
        <v>283</v>
      </c>
      <c r="W313" s="222" t="s">
        <v>283</v>
      </c>
      <c r="X313" s="222" t="s">
        <v>283</v>
      </c>
      <c r="Y313" s="223" t="s">
        <v>283</v>
      </c>
    </row>
    <row r="314" spans="1:25">
      <c r="A314" s="217">
        <v>6</v>
      </c>
      <c r="B314" s="218" t="str">
        <f>VLOOKUP(Tabel10[[#This Row],[Code]],Ruimtegroepen[[Code]:[Ruimte omschrijving]],2,FALSE)</f>
        <v>Gangen/hallen</v>
      </c>
      <c r="C314" s="219" t="s">
        <v>543</v>
      </c>
      <c r="D314" s="218" t="s">
        <v>12</v>
      </c>
      <c r="E314" s="219" t="s">
        <v>99</v>
      </c>
      <c r="F314" s="219" t="s">
        <v>545</v>
      </c>
      <c r="G314" s="224" t="s">
        <v>283</v>
      </c>
      <c r="H314" s="220" t="s">
        <v>18</v>
      </c>
      <c r="I314" s="220" t="s">
        <v>283</v>
      </c>
      <c r="J314" s="220" t="s">
        <v>283</v>
      </c>
      <c r="K314" s="220" t="s">
        <v>283</v>
      </c>
      <c r="L314" s="220" t="s">
        <v>283</v>
      </c>
      <c r="M314" s="220" t="s">
        <v>283</v>
      </c>
      <c r="N314" s="220" t="s">
        <v>283</v>
      </c>
      <c r="O314" s="221" t="s">
        <v>18</v>
      </c>
      <c r="P314" s="221" t="s">
        <v>18</v>
      </c>
      <c r="Q314" s="221" t="s">
        <v>15</v>
      </c>
      <c r="R314" s="221" t="s">
        <v>15</v>
      </c>
      <c r="S314" s="221" t="s">
        <v>16</v>
      </c>
      <c r="T314" s="221" t="s">
        <v>330</v>
      </c>
      <c r="U314" s="221" t="s">
        <v>250</v>
      </c>
      <c r="V314" s="221" t="s">
        <v>283</v>
      </c>
      <c r="W314" s="222" t="s">
        <v>283</v>
      </c>
      <c r="X314" s="222" t="s">
        <v>283</v>
      </c>
      <c r="Y314" s="223" t="s">
        <v>283</v>
      </c>
    </row>
    <row r="315" spans="1:25">
      <c r="A315" s="217">
        <v>6</v>
      </c>
      <c r="B315" s="218" t="str">
        <f>VLOOKUP(Tabel10[[#This Row],[Code]],Ruimtegroepen[[Code]:[Ruimte omschrijving]],2,FALSE)</f>
        <v>Gangen/hallen</v>
      </c>
      <c r="C315" s="219" t="s">
        <v>543</v>
      </c>
      <c r="D315" s="218" t="s">
        <v>12</v>
      </c>
      <c r="E315" s="219" t="s">
        <v>1313</v>
      </c>
      <c r="F315" s="219" t="s">
        <v>1432</v>
      </c>
      <c r="G315" s="224" t="s">
        <v>283</v>
      </c>
      <c r="H315" s="220" t="s">
        <v>283</v>
      </c>
      <c r="I315" s="220" t="s">
        <v>18</v>
      </c>
      <c r="J315" s="220" t="s">
        <v>283</v>
      </c>
      <c r="K315" s="220" t="s">
        <v>18</v>
      </c>
      <c r="L315" s="220" t="s">
        <v>283</v>
      </c>
      <c r="M315" s="220" t="s">
        <v>283</v>
      </c>
      <c r="N315" s="220" t="s">
        <v>283</v>
      </c>
      <c r="O315" s="221" t="s">
        <v>18</v>
      </c>
      <c r="P315" s="221" t="s">
        <v>18</v>
      </c>
      <c r="Q315" s="221" t="s">
        <v>15</v>
      </c>
      <c r="R315" s="221" t="s">
        <v>15</v>
      </c>
      <c r="S315" s="221" t="s">
        <v>16</v>
      </c>
      <c r="T315" s="221" t="s">
        <v>330</v>
      </c>
      <c r="U315" s="221" t="s">
        <v>250</v>
      </c>
      <c r="V315" s="221" t="s">
        <v>283</v>
      </c>
      <c r="W315" s="222" t="s">
        <v>283</v>
      </c>
      <c r="X315" s="222" t="s">
        <v>283</v>
      </c>
      <c r="Y315" s="223" t="s">
        <v>283</v>
      </c>
    </row>
    <row r="316" spans="1:25">
      <c r="A316" s="217">
        <v>6</v>
      </c>
      <c r="B316" s="218" t="str">
        <f>VLOOKUP(Tabel10[[#This Row],[Code]],Ruimtegroepen[[Code]:[Ruimte omschrijving]],2,FALSE)</f>
        <v>Gangen/hallen</v>
      </c>
      <c r="C316" s="219" t="s">
        <v>548</v>
      </c>
      <c r="D316" s="218" t="s">
        <v>14</v>
      </c>
      <c r="E316" s="219" t="s">
        <v>100</v>
      </c>
      <c r="F316" s="219" t="s">
        <v>549</v>
      </c>
      <c r="G316" s="224" t="s">
        <v>283</v>
      </c>
      <c r="H316" s="220" t="s">
        <v>283</v>
      </c>
      <c r="I316" s="220" t="s">
        <v>283</v>
      </c>
      <c r="J316" s="220" t="s">
        <v>17</v>
      </c>
      <c r="K316" s="220" t="s">
        <v>283</v>
      </c>
      <c r="L316" s="220" t="s">
        <v>283</v>
      </c>
      <c r="M316" s="220" t="s">
        <v>283</v>
      </c>
      <c r="N316" s="220" t="s">
        <v>283</v>
      </c>
      <c r="O316" s="221" t="s">
        <v>17</v>
      </c>
      <c r="P316" s="221" t="s">
        <v>17</v>
      </c>
      <c r="Q316" s="221" t="s">
        <v>15</v>
      </c>
      <c r="R316" s="221" t="s">
        <v>15</v>
      </c>
      <c r="S316" s="221" t="s">
        <v>16</v>
      </c>
      <c r="T316" s="221" t="s">
        <v>330</v>
      </c>
      <c r="U316" s="221" t="s">
        <v>250</v>
      </c>
      <c r="V316" s="221" t="s">
        <v>283</v>
      </c>
      <c r="W316" s="222" t="s">
        <v>283</v>
      </c>
      <c r="X316" s="222" t="s">
        <v>283</v>
      </c>
      <c r="Y316" s="223" t="s">
        <v>283</v>
      </c>
    </row>
    <row r="317" spans="1:25">
      <c r="A317" s="217">
        <v>6</v>
      </c>
      <c r="B317" s="218" t="str">
        <f>VLOOKUP(Tabel10[[#This Row],[Code]],Ruimtegroepen[[Code]:[Ruimte omschrijving]],2,FALSE)</f>
        <v>Gangen/hallen</v>
      </c>
      <c r="C317" s="219" t="s">
        <v>548</v>
      </c>
      <c r="D317" s="218" t="s">
        <v>14</v>
      </c>
      <c r="E317" s="219" t="s">
        <v>99</v>
      </c>
      <c r="F317" s="219" t="s">
        <v>550</v>
      </c>
      <c r="G317" s="224" t="s">
        <v>283</v>
      </c>
      <c r="H317" s="220" t="s">
        <v>17</v>
      </c>
      <c r="I317" s="220" t="s">
        <v>283</v>
      </c>
      <c r="J317" s="220" t="s">
        <v>283</v>
      </c>
      <c r="K317" s="220" t="s">
        <v>283</v>
      </c>
      <c r="L317" s="220" t="s">
        <v>283</v>
      </c>
      <c r="M317" s="220" t="s">
        <v>283</v>
      </c>
      <c r="N317" s="220" t="s">
        <v>283</v>
      </c>
      <c r="O317" s="221" t="s">
        <v>17</v>
      </c>
      <c r="P317" s="221" t="s">
        <v>17</v>
      </c>
      <c r="Q317" s="221" t="s">
        <v>15</v>
      </c>
      <c r="R317" s="221" t="s">
        <v>15</v>
      </c>
      <c r="S317" s="221" t="s">
        <v>16</v>
      </c>
      <c r="T317" s="221" t="s">
        <v>330</v>
      </c>
      <c r="U317" s="221" t="s">
        <v>250</v>
      </c>
      <c r="V317" s="221" t="s">
        <v>283</v>
      </c>
      <c r="W317" s="222" t="s">
        <v>283</v>
      </c>
      <c r="X317" s="222" t="s">
        <v>283</v>
      </c>
      <c r="Y317" s="223" t="s">
        <v>283</v>
      </c>
    </row>
    <row r="318" spans="1:25">
      <c r="A318" s="217">
        <v>6</v>
      </c>
      <c r="B318" s="218" t="str">
        <f>VLOOKUP(Tabel10[[#This Row],[Code]],Ruimtegroepen[[Code]:[Ruimte omschrijving]],2,FALSE)</f>
        <v>Gangen/hallen</v>
      </c>
      <c r="C318" s="219" t="s">
        <v>548</v>
      </c>
      <c r="D318" s="218" t="s">
        <v>14</v>
      </c>
      <c r="E318" s="219" t="s">
        <v>101</v>
      </c>
      <c r="F318" s="219" t="s">
        <v>551</v>
      </c>
      <c r="G318" s="224" t="s">
        <v>283</v>
      </c>
      <c r="H318" s="220" t="s">
        <v>283</v>
      </c>
      <c r="I318" s="220" t="s">
        <v>17</v>
      </c>
      <c r="J318" s="220" t="s">
        <v>283</v>
      </c>
      <c r="K318" s="220" t="s">
        <v>17</v>
      </c>
      <c r="L318" s="220" t="s">
        <v>283</v>
      </c>
      <c r="M318" s="220" t="s">
        <v>283</v>
      </c>
      <c r="N318" s="220" t="s">
        <v>283</v>
      </c>
      <c r="O318" s="221" t="s">
        <v>17</v>
      </c>
      <c r="P318" s="221" t="s">
        <v>17</v>
      </c>
      <c r="Q318" s="221" t="s">
        <v>15</v>
      </c>
      <c r="R318" s="221" t="s">
        <v>15</v>
      </c>
      <c r="S318" s="221" t="s">
        <v>16</v>
      </c>
      <c r="T318" s="221" t="s">
        <v>330</v>
      </c>
      <c r="U318" s="221" t="s">
        <v>250</v>
      </c>
      <c r="V318" s="221" t="s">
        <v>283</v>
      </c>
      <c r="W318" s="222" t="s">
        <v>283</v>
      </c>
      <c r="X318" s="222" t="s">
        <v>283</v>
      </c>
      <c r="Y318" s="223" t="s">
        <v>283</v>
      </c>
    </row>
    <row r="319" spans="1:25">
      <c r="A319" s="217">
        <v>6</v>
      </c>
      <c r="B319" s="218" t="str">
        <f>VLOOKUP(Tabel10[[#This Row],[Code]],Ruimtegroepen[[Code]:[Ruimte omschrijving]],2,FALSE)</f>
        <v>Gangen/hallen</v>
      </c>
      <c r="C319" s="219" t="s">
        <v>548</v>
      </c>
      <c r="D319" s="218" t="s">
        <v>14</v>
      </c>
      <c r="E319" s="219" t="s">
        <v>102</v>
      </c>
      <c r="F319" s="219" t="s">
        <v>552</v>
      </c>
      <c r="G319" s="224" t="s">
        <v>283</v>
      </c>
      <c r="H319" s="220" t="s">
        <v>283</v>
      </c>
      <c r="I319" s="220" t="s">
        <v>17</v>
      </c>
      <c r="J319" s="220" t="s">
        <v>283</v>
      </c>
      <c r="K319" s="220" t="s">
        <v>17</v>
      </c>
      <c r="L319" s="220" t="s">
        <v>283</v>
      </c>
      <c r="M319" s="220" t="s">
        <v>283</v>
      </c>
      <c r="N319" s="220" t="s">
        <v>283</v>
      </c>
      <c r="O319" s="221" t="s">
        <v>17</v>
      </c>
      <c r="P319" s="221" t="s">
        <v>17</v>
      </c>
      <c r="Q319" s="221" t="s">
        <v>15</v>
      </c>
      <c r="R319" s="221" t="s">
        <v>15</v>
      </c>
      <c r="S319" s="221" t="s">
        <v>16</v>
      </c>
      <c r="T319" s="221" t="s">
        <v>330</v>
      </c>
      <c r="U319" s="221" t="s">
        <v>250</v>
      </c>
      <c r="V319" s="221" t="s">
        <v>283</v>
      </c>
      <c r="W319" s="222" t="s">
        <v>283</v>
      </c>
      <c r="X319" s="222" t="s">
        <v>283</v>
      </c>
      <c r="Y319" s="223" t="s">
        <v>283</v>
      </c>
    </row>
    <row r="320" spans="1:25">
      <c r="A320" s="217">
        <v>6</v>
      </c>
      <c r="B320" s="218" t="str">
        <f>VLOOKUP(Tabel10[[#This Row],[Code]],Ruimtegroepen[[Code]:[Ruimte omschrijving]],2,FALSE)</f>
        <v>Gangen/hallen</v>
      </c>
      <c r="C320" s="219" t="s">
        <v>548</v>
      </c>
      <c r="D320" s="218" t="s">
        <v>14</v>
      </c>
      <c r="E320" s="219" t="s">
        <v>99</v>
      </c>
      <c r="F320" s="219" t="s">
        <v>550</v>
      </c>
      <c r="G320" s="224" t="s">
        <v>283</v>
      </c>
      <c r="H320" s="220" t="s">
        <v>17</v>
      </c>
      <c r="I320" s="220" t="s">
        <v>283</v>
      </c>
      <c r="J320" s="220" t="s">
        <v>283</v>
      </c>
      <c r="K320" s="220" t="s">
        <v>283</v>
      </c>
      <c r="L320" s="220" t="s">
        <v>283</v>
      </c>
      <c r="M320" s="220" t="s">
        <v>283</v>
      </c>
      <c r="N320" s="220" t="s">
        <v>283</v>
      </c>
      <c r="O320" s="221" t="s">
        <v>17</v>
      </c>
      <c r="P320" s="221" t="s">
        <v>17</v>
      </c>
      <c r="Q320" s="221" t="s">
        <v>15</v>
      </c>
      <c r="R320" s="221" t="s">
        <v>15</v>
      </c>
      <c r="S320" s="221" t="s">
        <v>16</v>
      </c>
      <c r="T320" s="221" t="s">
        <v>330</v>
      </c>
      <c r="U320" s="221" t="s">
        <v>250</v>
      </c>
      <c r="V320" s="221" t="s">
        <v>283</v>
      </c>
      <c r="W320" s="222" t="s">
        <v>283</v>
      </c>
      <c r="X320" s="222" t="s">
        <v>283</v>
      </c>
      <c r="Y320" s="223" t="s">
        <v>283</v>
      </c>
    </row>
    <row r="321" spans="1:25">
      <c r="A321" s="217">
        <v>6</v>
      </c>
      <c r="B321" s="218" t="str">
        <f>VLOOKUP(Tabel10[[#This Row],[Code]],Ruimtegroepen[[Code]:[Ruimte omschrijving]],2,FALSE)</f>
        <v>Gangen/hallen</v>
      </c>
      <c r="C321" s="219" t="s">
        <v>548</v>
      </c>
      <c r="D321" s="218" t="s">
        <v>14</v>
      </c>
      <c r="E321" s="219" t="s">
        <v>1313</v>
      </c>
      <c r="F321" s="219" t="s">
        <v>1399</v>
      </c>
      <c r="G321" s="224" t="s">
        <v>283</v>
      </c>
      <c r="H321" s="220" t="s">
        <v>283</v>
      </c>
      <c r="I321" s="220" t="s">
        <v>17</v>
      </c>
      <c r="J321" s="220" t="s">
        <v>283</v>
      </c>
      <c r="K321" s="220" t="s">
        <v>17</v>
      </c>
      <c r="L321" s="220" t="s">
        <v>283</v>
      </c>
      <c r="M321" s="220" t="s">
        <v>283</v>
      </c>
      <c r="N321" s="220" t="s">
        <v>283</v>
      </c>
      <c r="O321" s="221" t="s">
        <v>17</v>
      </c>
      <c r="P321" s="221" t="s">
        <v>17</v>
      </c>
      <c r="Q321" s="221" t="s">
        <v>15</v>
      </c>
      <c r="R321" s="221" t="s">
        <v>15</v>
      </c>
      <c r="S321" s="221" t="s">
        <v>16</v>
      </c>
      <c r="T321" s="221" t="s">
        <v>330</v>
      </c>
      <c r="U321" s="221" t="s">
        <v>250</v>
      </c>
      <c r="V321" s="221" t="s">
        <v>283</v>
      </c>
      <c r="W321" s="222" t="s">
        <v>283</v>
      </c>
      <c r="X321" s="222" t="s">
        <v>283</v>
      </c>
      <c r="Y321" s="223" t="s">
        <v>283</v>
      </c>
    </row>
    <row r="322" spans="1:25">
      <c r="A322" s="217">
        <v>6</v>
      </c>
      <c r="B322" s="218" t="str">
        <f>VLOOKUP(Tabel10[[#This Row],[Code]],Ruimtegroepen[[Code]:[Ruimte omschrijving]],2,FALSE)</f>
        <v>Gangen/hallen</v>
      </c>
      <c r="C322" s="219" t="s">
        <v>553</v>
      </c>
      <c r="D322" s="218" t="s">
        <v>13</v>
      </c>
      <c r="E322" s="219" t="s">
        <v>100</v>
      </c>
      <c r="F322" s="219" t="s">
        <v>554</v>
      </c>
      <c r="G322" s="224" t="s">
        <v>283</v>
      </c>
      <c r="H322" s="220" t="s">
        <v>283</v>
      </c>
      <c r="I322" s="220" t="s">
        <v>283</v>
      </c>
      <c r="J322" s="220" t="s">
        <v>15</v>
      </c>
      <c r="K322" s="220" t="s">
        <v>283</v>
      </c>
      <c r="L322" s="220" t="s">
        <v>283</v>
      </c>
      <c r="M322" s="220" t="s">
        <v>283</v>
      </c>
      <c r="N322" s="220" t="s">
        <v>283</v>
      </c>
      <c r="O322" s="221" t="s">
        <v>15</v>
      </c>
      <c r="P322" s="221" t="s">
        <v>15</v>
      </c>
      <c r="Q322" s="221" t="s">
        <v>15</v>
      </c>
      <c r="R322" s="221" t="s">
        <v>15</v>
      </c>
      <c r="S322" s="221" t="s">
        <v>16</v>
      </c>
      <c r="T322" s="221" t="s">
        <v>330</v>
      </c>
      <c r="U322" s="221" t="s">
        <v>250</v>
      </c>
      <c r="V322" s="221" t="s">
        <v>283</v>
      </c>
      <c r="W322" s="222" t="s">
        <v>283</v>
      </c>
      <c r="X322" s="222" t="s">
        <v>283</v>
      </c>
      <c r="Y322" s="223" t="s">
        <v>283</v>
      </c>
    </row>
    <row r="323" spans="1:25">
      <c r="A323" s="217">
        <v>6</v>
      </c>
      <c r="B323" s="218" t="str">
        <f>VLOOKUP(Tabel10[[#This Row],[Code]],Ruimtegroepen[[Code]:[Ruimte omschrijving]],2,FALSE)</f>
        <v>Gangen/hallen</v>
      </c>
      <c r="C323" s="219" t="s">
        <v>553</v>
      </c>
      <c r="D323" s="218" t="s">
        <v>13</v>
      </c>
      <c r="E323" s="219" t="s">
        <v>99</v>
      </c>
      <c r="F323" s="219" t="s">
        <v>555</v>
      </c>
      <c r="G323" s="224" t="s">
        <v>283</v>
      </c>
      <c r="H323" s="220" t="s">
        <v>15</v>
      </c>
      <c r="I323" s="220" t="s">
        <v>283</v>
      </c>
      <c r="J323" s="220" t="s">
        <v>283</v>
      </c>
      <c r="K323" s="220" t="s">
        <v>283</v>
      </c>
      <c r="L323" s="220" t="s">
        <v>283</v>
      </c>
      <c r="M323" s="220" t="s">
        <v>283</v>
      </c>
      <c r="N323" s="220" t="s">
        <v>283</v>
      </c>
      <c r="O323" s="221" t="s">
        <v>15</v>
      </c>
      <c r="P323" s="221" t="s">
        <v>15</v>
      </c>
      <c r="Q323" s="221" t="s">
        <v>15</v>
      </c>
      <c r="R323" s="221" t="s">
        <v>15</v>
      </c>
      <c r="S323" s="221" t="s">
        <v>16</v>
      </c>
      <c r="T323" s="221" t="s">
        <v>330</v>
      </c>
      <c r="U323" s="221" t="s">
        <v>250</v>
      </c>
      <c r="V323" s="221" t="s">
        <v>283</v>
      </c>
      <c r="W323" s="222" t="s">
        <v>283</v>
      </c>
      <c r="X323" s="222" t="s">
        <v>283</v>
      </c>
      <c r="Y323" s="223" t="s">
        <v>283</v>
      </c>
    </row>
    <row r="324" spans="1:25">
      <c r="A324" s="217">
        <v>6</v>
      </c>
      <c r="B324" s="218" t="str">
        <f>VLOOKUP(Tabel10[[#This Row],[Code]],Ruimtegroepen[[Code]:[Ruimte omschrijving]],2,FALSE)</f>
        <v>Gangen/hallen</v>
      </c>
      <c r="C324" s="219" t="s">
        <v>553</v>
      </c>
      <c r="D324" s="218" t="s">
        <v>13</v>
      </c>
      <c r="E324" s="219" t="s">
        <v>101</v>
      </c>
      <c r="F324" s="219" t="s">
        <v>556</v>
      </c>
      <c r="G324" s="224" t="s">
        <v>283</v>
      </c>
      <c r="H324" s="220" t="s">
        <v>283</v>
      </c>
      <c r="I324" s="220" t="s">
        <v>15</v>
      </c>
      <c r="J324" s="220" t="s">
        <v>283</v>
      </c>
      <c r="K324" s="220" t="s">
        <v>15</v>
      </c>
      <c r="L324" s="220" t="s">
        <v>283</v>
      </c>
      <c r="M324" s="220" t="s">
        <v>283</v>
      </c>
      <c r="N324" s="220" t="s">
        <v>283</v>
      </c>
      <c r="O324" s="221" t="s">
        <v>15</v>
      </c>
      <c r="P324" s="221" t="s">
        <v>15</v>
      </c>
      <c r="Q324" s="221" t="s">
        <v>15</v>
      </c>
      <c r="R324" s="221" t="s">
        <v>15</v>
      </c>
      <c r="S324" s="221" t="s">
        <v>16</v>
      </c>
      <c r="T324" s="221" t="s">
        <v>330</v>
      </c>
      <c r="U324" s="221" t="s">
        <v>250</v>
      </c>
      <c r="V324" s="221" t="s">
        <v>283</v>
      </c>
      <c r="W324" s="222" t="s">
        <v>283</v>
      </c>
      <c r="X324" s="222" t="s">
        <v>283</v>
      </c>
      <c r="Y324" s="223" t="s">
        <v>283</v>
      </c>
    </row>
    <row r="325" spans="1:25">
      <c r="A325" s="217">
        <v>6</v>
      </c>
      <c r="B325" s="218" t="str">
        <f>VLOOKUP(Tabel10[[#This Row],[Code]],Ruimtegroepen[[Code]:[Ruimte omschrijving]],2,FALSE)</f>
        <v>Gangen/hallen</v>
      </c>
      <c r="C325" s="219" t="s">
        <v>553</v>
      </c>
      <c r="D325" s="218" t="s">
        <v>13</v>
      </c>
      <c r="E325" s="219" t="s">
        <v>102</v>
      </c>
      <c r="F325" s="219" t="s">
        <v>557</v>
      </c>
      <c r="G325" s="224" t="s">
        <v>283</v>
      </c>
      <c r="H325" s="220" t="s">
        <v>283</v>
      </c>
      <c r="I325" s="220" t="s">
        <v>15</v>
      </c>
      <c r="J325" s="220" t="s">
        <v>283</v>
      </c>
      <c r="K325" s="220" t="s">
        <v>15</v>
      </c>
      <c r="L325" s="220" t="s">
        <v>283</v>
      </c>
      <c r="M325" s="220" t="s">
        <v>283</v>
      </c>
      <c r="N325" s="220" t="s">
        <v>283</v>
      </c>
      <c r="O325" s="221" t="s">
        <v>15</v>
      </c>
      <c r="P325" s="221" t="s">
        <v>15</v>
      </c>
      <c r="Q325" s="221" t="s">
        <v>15</v>
      </c>
      <c r="R325" s="221" t="s">
        <v>15</v>
      </c>
      <c r="S325" s="221" t="s">
        <v>16</v>
      </c>
      <c r="T325" s="221" t="s">
        <v>330</v>
      </c>
      <c r="U325" s="221" t="s">
        <v>250</v>
      </c>
      <c r="V325" s="221" t="s">
        <v>283</v>
      </c>
      <c r="W325" s="222" t="s">
        <v>283</v>
      </c>
      <c r="X325" s="222" t="s">
        <v>283</v>
      </c>
      <c r="Y325" s="223" t="s">
        <v>283</v>
      </c>
    </row>
    <row r="326" spans="1:25">
      <c r="A326" s="217">
        <v>6</v>
      </c>
      <c r="B326" s="218" t="str">
        <f>VLOOKUP(Tabel10[[#This Row],[Code]],Ruimtegroepen[[Code]:[Ruimte omschrijving]],2,FALSE)</f>
        <v>Gangen/hallen</v>
      </c>
      <c r="C326" s="219" t="s">
        <v>553</v>
      </c>
      <c r="D326" s="218" t="s">
        <v>13</v>
      </c>
      <c r="E326" s="219" t="s">
        <v>99</v>
      </c>
      <c r="F326" s="219" t="s">
        <v>555</v>
      </c>
      <c r="G326" s="224" t="s">
        <v>283</v>
      </c>
      <c r="H326" s="220" t="s">
        <v>15</v>
      </c>
      <c r="I326" s="220" t="s">
        <v>283</v>
      </c>
      <c r="J326" s="220" t="s">
        <v>283</v>
      </c>
      <c r="K326" s="220" t="s">
        <v>283</v>
      </c>
      <c r="L326" s="220" t="s">
        <v>283</v>
      </c>
      <c r="M326" s="220" t="s">
        <v>283</v>
      </c>
      <c r="N326" s="220" t="s">
        <v>283</v>
      </c>
      <c r="O326" s="221" t="s">
        <v>15</v>
      </c>
      <c r="P326" s="221" t="s">
        <v>15</v>
      </c>
      <c r="Q326" s="221" t="s">
        <v>15</v>
      </c>
      <c r="R326" s="221" t="s">
        <v>15</v>
      </c>
      <c r="S326" s="221" t="s">
        <v>16</v>
      </c>
      <c r="T326" s="221" t="s">
        <v>330</v>
      </c>
      <c r="U326" s="221" t="s">
        <v>250</v>
      </c>
      <c r="V326" s="221" t="s">
        <v>283</v>
      </c>
      <c r="W326" s="222" t="s">
        <v>283</v>
      </c>
      <c r="X326" s="222" t="s">
        <v>283</v>
      </c>
      <c r="Y326" s="223" t="s">
        <v>283</v>
      </c>
    </row>
    <row r="327" spans="1:25">
      <c r="A327" s="217">
        <v>6</v>
      </c>
      <c r="B327" s="218" t="str">
        <f>VLOOKUP(Tabel10[[#This Row],[Code]],Ruimtegroepen[[Code]:[Ruimte omschrijving]],2,FALSE)</f>
        <v>Gangen/hallen</v>
      </c>
      <c r="C327" s="219" t="s">
        <v>553</v>
      </c>
      <c r="D327" s="218" t="s">
        <v>13</v>
      </c>
      <c r="E327" s="219" t="s">
        <v>1313</v>
      </c>
      <c r="F327" s="219" t="s">
        <v>1366</v>
      </c>
      <c r="G327" s="224" t="s">
        <v>283</v>
      </c>
      <c r="H327" s="220" t="s">
        <v>283</v>
      </c>
      <c r="I327" s="220" t="s">
        <v>15</v>
      </c>
      <c r="J327" s="220" t="s">
        <v>283</v>
      </c>
      <c r="K327" s="220" t="s">
        <v>15</v>
      </c>
      <c r="L327" s="220" t="s">
        <v>283</v>
      </c>
      <c r="M327" s="220" t="s">
        <v>283</v>
      </c>
      <c r="N327" s="220" t="s">
        <v>283</v>
      </c>
      <c r="O327" s="221" t="s">
        <v>15</v>
      </c>
      <c r="P327" s="221" t="s">
        <v>15</v>
      </c>
      <c r="Q327" s="221" t="s">
        <v>15</v>
      </c>
      <c r="R327" s="221" t="s">
        <v>15</v>
      </c>
      <c r="S327" s="221" t="s">
        <v>16</v>
      </c>
      <c r="T327" s="221" t="s">
        <v>330</v>
      </c>
      <c r="U327" s="221" t="s">
        <v>250</v>
      </c>
      <c r="V327" s="221" t="s">
        <v>283</v>
      </c>
      <c r="W327" s="222" t="s">
        <v>283</v>
      </c>
      <c r="X327" s="222" t="s">
        <v>283</v>
      </c>
      <c r="Y327" s="223" t="s">
        <v>283</v>
      </c>
    </row>
    <row r="328" spans="1:25">
      <c r="A328" s="217">
        <v>6</v>
      </c>
      <c r="B328" s="218" t="str">
        <f>VLOOKUP(Tabel10[[#This Row],[Code]],Ruimtegroepen[[Code]:[Ruimte omschrijving]],2,FALSE)</f>
        <v>Gangen/hallen</v>
      </c>
      <c r="C328" s="219" t="s">
        <v>558</v>
      </c>
      <c r="D328" s="218" t="s">
        <v>0</v>
      </c>
      <c r="E328" s="219" t="s">
        <v>100</v>
      </c>
      <c r="F328" s="219" t="s">
        <v>559</v>
      </c>
      <c r="G328" s="224" t="s">
        <v>283</v>
      </c>
      <c r="H328" s="220" t="s">
        <v>283</v>
      </c>
      <c r="I328" s="220" t="s">
        <v>283</v>
      </c>
      <c r="J328" s="220" t="s">
        <v>16</v>
      </c>
      <c r="K328" s="220" t="s">
        <v>283</v>
      </c>
      <c r="L328" s="220" t="s">
        <v>283</v>
      </c>
      <c r="M328" s="220" t="s">
        <v>283</v>
      </c>
      <c r="N328" s="220" t="s">
        <v>283</v>
      </c>
      <c r="O328" s="221" t="s">
        <v>16</v>
      </c>
      <c r="P328" s="221" t="s">
        <v>16</v>
      </c>
      <c r="Q328" s="221" t="s">
        <v>16</v>
      </c>
      <c r="R328" s="221" t="s">
        <v>16</v>
      </c>
      <c r="S328" s="221" t="s">
        <v>16</v>
      </c>
      <c r="T328" s="221" t="s">
        <v>330</v>
      </c>
      <c r="U328" s="221" t="s">
        <v>250</v>
      </c>
      <c r="V328" s="221" t="s">
        <v>283</v>
      </c>
      <c r="W328" s="222" t="s">
        <v>283</v>
      </c>
      <c r="X328" s="222" t="s">
        <v>283</v>
      </c>
      <c r="Y328" s="223" t="s">
        <v>283</v>
      </c>
    </row>
    <row r="329" spans="1:25">
      <c r="A329" s="217">
        <v>6</v>
      </c>
      <c r="B329" s="218" t="str">
        <f>VLOOKUP(Tabel10[[#This Row],[Code]],Ruimtegroepen[[Code]:[Ruimte omschrijving]],2,FALSE)</f>
        <v>Gangen/hallen</v>
      </c>
      <c r="C329" s="219" t="s">
        <v>558</v>
      </c>
      <c r="D329" s="218" t="s">
        <v>0</v>
      </c>
      <c r="E329" s="219" t="s">
        <v>99</v>
      </c>
      <c r="F329" s="219" t="s">
        <v>560</v>
      </c>
      <c r="G329" s="224" t="s">
        <v>283</v>
      </c>
      <c r="H329" s="220" t="s">
        <v>16</v>
      </c>
      <c r="I329" s="220" t="s">
        <v>283</v>
      </c>
      <c r="J329" s="220" t="s">
        <v>283</v>
      </c>
      <c r="K329" s="220" t="s">
        <v>283</v>
      </c>
      <c r="L329" s="220" t="s">
        <v>283</v>
      </c>
      <c r="M329" s="220" t="s">
        <v>283</v>
      </c>
      <c r="N329" s="220" t="s">
        <v>283</v>
      </c>
      <c r="O329" s="221" t="s">
        <v>16</v>
      </c>
      <c r="P329" s="221" t="s">
        <v>16</v>
      </c>
      <c r="Q329" s="221" t="s">
        <v>16</v>
      </c>
      <c r="R329" s="221" t="s">
        <v>16</v>
      </c>
      <c r="S329" s="221" t="s">
        <v>16</v>
      </c>
      <c r="T329" s="221" t="s">
        <v>330</v>
      </c>
      <c r="U329" s="221" t="s">
        <v>250</v>
      </c>
      <c r="V329" s="221" t="s">
        <v>283</v>
      </c>
      <c r="W329" s="222" t="s">
        <v>283</v>
      </c>
      <c r="X329" s="222" t="s">
        <v>283</v>
      </c>
      <c r="Y329" s="223" t="s">
        <v>283</v>
      </c>
    </row>
    <row r="330" spans="1:25">
      <c r="A330" s="217">
        <v>6</v>
      </c>
      <c r="B330" s="218" t="str">
        <f>VLOOKUP(Tabel10[[#This Row],[Code]],Ruimtegroepen[[Code]:[Ruimte omschrijving]],2,FALSE)</f>
        <v>Gangen/hallen</v>
      </c>
      <c r="C330" s="219" t="s">
        <v>558</v>
      </c>
      <c r="D330" s="218" t="s">
        <v>0</v>
      </c>
      <c r="E330" s="219" t="s">
        <v>101</v>
      </c>
      <c r="F330" s="219" t="s">
        <v>561</v>
      </c>
      <c r="G330" s="224" t="s">
        <v>283</v>
      </c>
      <c r="H330" s="220" t="s">
        <v>283</v>
      </c>
      <c r="I330" s="220" t="s">
        <v>16</v>
      </c>
      <c r="J330" s="220" t="s">
        <v>362</v>
      </c>
      <c r="K330" s="220" t="s">
        <v>16</v>
      </c>
      <c r="L330" s="220" t="s">
        <v>283</v>
      </c>
      <c r="M330" s="220" t="s">
        <v>283</v>
      </c>
      <c r="N330" s="220" t="s">
        <v>283</v>
      </c>
      <c r="O330" s="221" t="s">
        <v>16</v>
      </c>
      <c r="P330" s="221" t="s">
        <v>16</v>
      </c>
      <c r="Q330" s="221" t="s">
        <v>16</v>
      </c>
      <c r="R330" s="221" t="s">
        <v>16</v>
      </c>
      <c r="S330" s="221" t="s">
        <v>16</v>
      </c>
      <c r="T330" s="221" t="s">
        <v>330</v>
      </c>
      <c r="U330" s="221" t="s">
        <v>250</v>
      </c>
      <c r="V330" s="221" t="s">
        <v>283</v>
      </c>
      <c r="W330" s="222" t="s">
        <v>283</v>
      </c>
      <c r="X330" s="222" t="s">
        <v>283</v>
      </c>
      <c r="Y330" s="223" t="s">
        <v>283</v>
      </c>
    </row>
    <row r="331" spans="1:25">
      <c r="A331" s="217">
        <v>6</v>
      </c>
      <c r="B331" s="218" t="str">
        <f>VLOOKUP(Tabel10[[#This Row],[Code]],Ruimtegroepen[[Code]:[Ruimte omschrijving]],2,FALSE)</f>
        <v>Gangen/hallen</v>
      </c>
      <c r="C331" s="219" t="s">
        <v>558</v>
      </c>
      <c r="D331" s="218" t="s">
        <v>0</v>
      </c>
      <c r="E331" s="219" t="s">
        <v>102</v>
      </c>
      <c r="F331" s="219" t="s">
        <v>562</v>
      </c>
      <c r="G331" s="224" t="s">
        <v>283</v>
      </c>
      <c r="H331" s="220" t="s">
        <v>283</v>
      </c>
      <c r="I331" s="220" t="s">
        <v>16</v>
      </c>
      <c r="J331" s="220" t="s">
        <v>283</v>
      </c>
      <c r="K331" s="220" t="s">
        <v>16</v>
      </c>
      <c r="L331" s="220" t="s">
        <v>283</v>
      </c>
      <c r="M331" s="220" t="s">
        <v>283</v>
      </c>
      <c r="N331" s="220" t="s">
        <v>283</v>
      </c>
      <c r="O331" s="221" t="s">
        <v>16</v>
      </c>
      <c r="P331" s="221" t="s">
        <v>16</v>
      </c>
      <c r="Q331" s="221" t="s">
        <v>16</v>
      </c>
      <c r="R331" s="221" t="s">
        <v>16</v>
      </c>
      <c r="S331" s="221" t="s">
        <v>16</v>
      </c>
      <c r="T331" s="221" t="s">
        <v>330</v>
      </c>
      <c r="U331" s="221" t="s">
        <v>250</v>
      </c>
      <c r="V331" s="221" t="s">
        <v>283</v>
      </c>
      <c r="W331" s="222" t="s">
        <v>283</v>
      </c>
      <c r="X331" s="222" t="s">
        <v>283</v>
      </c>
      <c r="Y331" s="223" t="s">
        <v>283</v>
      </c>
    </row>
    <row r="332" spans="1:25">
      <c r="A332" s="217">
        <v>6</v>
      </c>
      <c r="B332" s="218" t="str">
        <f>VLOOKUP(Tabel10[[#This Row],[Code]],Ruimtegroepen[[Code]:[Ruimte omschrijving]],2,FALSE)</f>
        <v>Gangen/hallen</v>
      </c>
      <c r="C332" s="219" t="s">
        <v>558</v>
      </c>
      <c r="D332" s="218" t="s">
        <v>0</v>
      </c>
      <c r="E332" s="219" t="s">
        <v>99</v>
      </c>
      <c r="F332" s="219" t="s">
        <v>560</v>
      </c>
      <c r="G332" s="224" t="s">
        <v>283</v>
      </c>
      <c r="H332" s="220" t="s">
        <v>16</v>
      </c>
      <c r="I332" s="220" t="s">
        <v>283</v>
      </c>
      <c r="J332" s="220" t="s">
        <v>283</v>
      </c>
      <c r="K332" s="220" t="s">
        <v>283</v>
      </c>
      <c r="L332" s="220" t="s">
        <v>283</v>
      </c>
      <c r="M332" s="220" t="s">
        <v>283</v>
      </c>
      <c r="N332" s="220" t="s">
        <v>283</v>
      </c>
      <c r="O332" s="221" t="s">
        <v>16</v>
      </c>
      <c r="P332" s="221" t="s">
        <v>16</v>
      </c>
      <c r="Q332" s="221" t="s">
        <v>16</v>
      </c>
      <c r="R332" s="221" t="s">
        <v>16</v>
      </c>
      <c r="S332" s="221" t="s">
        <v>16</v>
      </c>
      <c r="T332" s="221" t="s">
        <v>330</v>
      </c>
      <c r="U332" s="221" t="s">
        <v>250</v>
      </c>
      <c r="V332" s="221" t="s">
        <v>283</v>
      </c>
      <c r="W332" s="222" t="s">
        <v>283</v>
      </c>
      <c r="X332" s="222" t="s">
        <v>283</v>
      </c>
      <c r="Y332" s="223" t="s">
        <v>283</v>
      </c>
    </row>
    <row r="333" spans="1:25">
      <c r="A333" s="217">
        <v>6</v>
      </c>
      <c r="B333" s="218" t="str">
        <f>VLOOKUP(Tabel10[[#This Row],[Code]],Ruimtegroepen[[Code]:[Ruimte omschrijving]],2,FALSE)</f>
        <v>Gangen/hallen</v>
      </c>
      <c r="C333" s="219" t="s">
        <v>558</v>
      </c>
      <c r="D333" s="218" t="s">
        <v>0</v>
      </c>
      <c r="E333" s="219" t="s">
        <v>1313</v>
      </c>
      <c r="F333" s="219" t="s">
        <v>1350</v>
      </c>
      <c r="G333" s="224" t="s">
        <v>283</v>
      </c>
      <c r="H333" s="220" t="s">
        <v>283</v>
      </c>
      <c r="I333" s="220" t="s">
        <v>16</v>
      </c>
      <c r="J333" s="220" t="s">
        <v>283</v>
      </c>
      <c r="K333" s="220" t="s">
        <v>16</v>
      </c>
      <c r="L333" s="220" t="s">
        <v>283</v>
      </c>
      <c r="M333" s="220" t="s">
        <v>283</v>
      </c>
      <c r="N333" s="220" t="s">
        <v>283</v>
      </c>
      <c r="O333" s="221" t="s">
        <v>16</v>
      </c>
      <c r="P333" s="221" t="s">
        <v>16</v>
      </c>
      <c r="Q333" s="221" t="s">
        <v>16</v>
      </c>
      <c r="R333" s="221" t="s">
        <v>16</v>
      </c>
      <c r="S333" s="221" t="s">
        <v>16</v>
      </c>
      <c r="T333" s="221" t="s">
        <v>330</v>
      </c>
      <c r="U333" s="221" t="s">
        <v>250</v>
      </c>
      <c r="V333" s="221" t="s">
        <v>283</v>
      </c>
      <c r="W333" s="222" t="s">
        <v>283</v>
      </c>
      <c r="X333" s="222" t="s">
        <v>283</v>
      </c>
      <c r="Y333" s="223" t="s">
        <v>283</v>
      </c>
    </row>
    <row r="334" spans="1:25">
      <c r="A334" s="217">
        <v>6</v>
      </c>
      <c r="B334" s="218" t="str">
        <f>VLOOKUP(Tabel10[[#This Row],[Code]],Ruimtegroepen[[Code]:[Ruimte omschrijving]],2,FALSE)</f>
        <v>Gangen/hallen</v>
      </c>
      <c r="C334" s="219" t="s">
        <v>563</v>
      </c>
      <c r="D334" s="218" t="s">
        <v>27</v>
      </c>
      <c r="E334" s="219" t="s">
        <v>100</v>
      </c>
      <c r="F334" s="219" t="s">
        <v>564</v>
      </c>
      <c r="G334" s="224" t="s">
        <v>283</v>
      </c>
      <c r="H334" s="220" t="s">
        <v>283</v>
      </c>
      <c r="I334" s="220" t="s">
        <v>15</v>
      </c>
      <c r="J334" s="220" t="s">
        <v>283</v>
      </c>
      <c r="K334" s="220" t="s">
        <v>283</v>
      </c>
      <c r="L334" s="220" t="s">
        <v>283</v>
      </c>
      <c r="M334" s="220" t="s">
        <v>283</v>
      </c>
      <c r="N334" s="220" t="s">
        <v>283</v>
      </c>
      <c r="O334" s="221" t="s">
        <v>15</v>
      </c>
      <c r="P334" s="221" t="s">
        <v>15</v>
      </c>
      <c r="Q334" s="221" t="s">
        <v>15</v>
      </c>
      <c r="R334" s="221" t="s">
        <v>283</v>
      </c>
      <c r="S334" s="221" t="s">
        <v>283</v>
      </c>
      <c r="T334" s="221" t="s">
        <v>283</v>
      </c>
      <c r="U334" s="221" t="s">
        <v>283</v>
      </c>
      <c r="V334" s="221" t="s">
        <v>283</v>
      </c>
      <c r="W334" s="222" t="s">
        <v>283</v>
      </c>
      <c r="X334" s="222" t="s">
        <v>283</v>
      </c>
      <c r="Y334" s="223" t="s">
        <v>283</v>
      </c>
    </row>
    <row r="335" spans="1:25">
      <c r="A335" s="217">
        <v>6</v>
      </c>
      <c r="B335" s="218" t="str">
        <f>VLOOKUP(Tabel10[[#This Row],[Code]],Ruimtegroepen[[Code]:[Ruimte omschrijving]],2,FALSE)</f>
        <v>Gangen/hallen</v>
      </c>
      <c r="C335" s="219" t="s">
        <v>563</v>
      </c>
      <c r="D335" s="218" t="s">
        <v>27</v>
      </c>
      <c r="E335" s="219" t="s">
        <v>99</v>
      </c>
      <c r="F335" s="219" t="s">
        <v>565</v>
      </c>
      <c r="G335" s="224" t="s">
        <v>283</v>
      </c>
      <c r="H335" s="220" t="s">
        <v>15</v>
      </c>
      <c r="I335" s="220" t="s">
        <v>283</v>
      </c>
      <c r="J335" s="220" t="s">
        <v>283</v>
      </c>
      <c r="K335" s="220" t="s">
        <v>283</v>
      </c>
      <c r="L335" s="220" t="s">
        <v>283</v>
      </c>
      <c r="M335" s="220" t="s">
        <v>283</v>
      </c>
      <c r="N335" s="220" t="s">
        <v>283</v>
      </c>
      <c r="O335" s="221" t="s">
        <v>15</v>
      </c>
      <c r="P335" s="221" t="s">
        <v>15</v>
      </c>
      <c r="Q335" s="221" t="s">
        <v>15</v>
      </c>
      <c r="R335" s="221" t="s">
        <v>283</v>
      </c>
      <c r="S335" s="221" t="s">
        <v>283</v>
      </c>
      <c r="T335" s="221" t="s">
        <v>283</v>
      </c>
      <c r="U335" s="221" t="s">
        <v>283</v>
      </c>
      <c r="V335" s="221" t="s">
        <v>283</v>
      </c>
      <c r="W335" s="222" t="s">
        <v>283</v>
      </c>
      <c r="X335" s="222" t="s">
        <v>283</v>
      </c>
      <c r="Y335" s="223" t="s">
        <v>283</v>
      </c>
    </row>
    <row r="336" spans="1:25">
      <c r="A336" s="217">
        <v>6</v>
      </c>
      <c r="B336" s="218" t="str">
        <f>VLOOKUP(Tabel10[[#This Row],[Code]],Ruimtegroepen[[Code]:[Ruimte omschrijving]],2,FALSE)</f>
        <v>Gangen/hallen</v>
      </c>
      <c r="C336" s="219" t="s">
        <v>563</v>
      </c>
      <c r="D336" s="218" t="s">
        <v>27</v>
      </c>
      <c r="E336" s="219" t="s">
        <v>101</v>
      </c>
      <c r="F336" s="219" t="s">
        <v>566</v>
      </c>
      <c r="G336" s="224" t="s">
        <v>283</v>
      </c>
      <c r="H336" s="220" t="s">
        <v>283</v>
      </c>
      <c r="I336" s="220" t="s">
        <v>15</v>
      </c>
      <c r="J336" s="220" t="s">
        <v>283</v>
      </c>
      <c r="K336" s="220" t="s">
        <v>283</v>
      </c>
      <c r="L336" s="220" t="s">
        <v>283</v>
      </c>
      <c r="M336" s="220" t="s">
        <v>283</v>
      </c>
      <c r="N336" s="220" t="s">
        <v>283</v>
      </c>
      <c r="O336" s="221" t="s">
        <v>15</v>
      </c>
      <c r="P336" s="221" t="s">
        <v>15</v>
      </c>
      <c r="Q336" s="221" t="s">
        <v>15</v>
      </c>
      <c r="R336" s="221" t="s">
        <v>283</v>
      </c>
      <c r="S336" s="221" t="s">
        <v>283</v>
      </c>
      <c r="T336" s="221" t="s">
        <v>283</v>
      </c>
      <c r="U336" s="221" t="s">
        <v>283</v>
      </c>
      <c r="V336" s="221" t="s">
        <v>283</v>
      </c>
      <c r="W336" s="222" t="s">
        <v>283</v>
      </c>
      <c r="X336" s="222" t="s">
        <v>283</v>
      </c>
      <c r="Y336" s="223" t="s">
        <v>283</v>
      </c>
    </row>
    <row r="337" spans="1:25">
      <c r="A337" s="217">
        <v>6</v>
      </c>
      <c r="B337" s="218" t="str">
        <f>VLOOKUP(Tabel10[[#This Row],[Code]],Ruimtegroepen[[Code]:[Ruimte omschrijving]],2,FALSE)</f>
        <v>Gangen/hallen</v>
      </c>
      <c r="C337" s="219" t="s">
        <v>563</v>
      </c>
      <c r="D337" s="218" t="s">
        <v>27</v>
      </c>
      <c r="E337" s="219" t="s">
        <v>102</v>
      </c>
      <c r="F337" s="219" t="s">
        <v>567</v>
      </c>
      <c r="G337" s="224" t="s">
        <v>283</v>
      </c>
      <c r="H337" s="220" t="s">
        <v>283</v>
      </c>
      <c r="I337" s="220" t="s">
        <v>15</v>
      </c>
      <c r="J337" s="220" t="s">
        <v>283</v>
      </c>
      <c r="K337" s="220" t="s">
        <v>283</v>
      </c>
      <c r="L337" s="220" t="s">
        <v>283</v>
      </c>
      <c r="M337" s="220" t="s">
        <v>283</v>
      </c>
      <c r="N337" s="220" t="s">
        <v>283</v>
      </c>
      <c r="O337" s="221" t="s">
        <v>15</v>
      </c>
      <c r="P337" s="221" t="s">
        <v>15</v>
      </c>
      <c r="Q337" s="221" t="s">
        <v>15</v>
      </c>
      <c r="R337" s="221" t="s">
        <v>283</v>
      </c>
      <c r="S337" s="221" t="s">
        <v>283</v>
      </c>
      <c r="T337" s="221" t="s">
        <v>283</v>
      </c>
      <c r="U337" s="221" t="s">
        <v>283</v>
      </c>
      <c r="V337" s="221" t="s">
        <v>283</v>
      </c>
      <c r="W337" s="222" t="s">
        <v>283</v>
      </c>
      <c r="X337" s="222" t="s">
        <v>283</v>
      </c>
      <c r="Y337" s="223" t="s">
        <v>283</v>
      </c>
    </row>
    <row r="338" spans="1:25">
      <c r="A338" s="217">
        <v>6</v>
      </c>
      <c r="B338" s="218" t="str">
        <f>VLOOKUP(Tabel10[[#This Row],[Code]],Ruimtegroepen[[Code]:[Ruimte omschrijving]],2,FALSE)</f>
        <v>Gangen/hallen</v>
      </c>
      <c r="C338" s="219" t="s">
        <v>563</v>
      </c>
      <c r="D338" s="218" t="s">
        <v>27</v>
      </c>
      <c r="E338" s="219" t="s">
        <v>99</v>
      </c>
      <c r="F338" s="219" t="s">
        <v>565</v>
      </c>
      <c r="G338" s="224" t="s">
        <v>283</v>
      </c>
      <c r="H338" s="220" t="s">
        <v>15</v>
      </c>
      <c r="I338" s="220" t="s">
        <v>283</v>
      </c>
      <c r="J338" s="220" t="s">
        <v>283</v>
      </c>
      <c r="K338" s="220" t="s">
        <v>283</v>
      </c>
      <c r="L338" s="220" t="s">
        <v>283</v>
      </c>
      <c r="M338" s="220" t="s">
        <v>283</v>
      </c>
      <c r="N338" s="220" t="s">
        <v>283</v>
      </c>
      <c r="O338" s="221" t="s">
        <v>15</v>
      </c>
      <c r="P338" s="221" t="s">
        <v>15</v>
      </c>
      <c r="Q338" s="221" t="s">
        <v>15</v>
      </c>
      <c r="R338" s="221" t="s">
        <v>283</v>
      </c>
      <c r="S338" s="221" t="s">
        <v>283</v>
      </c>
      <c r="T338" s="221" t="s">
        <v>283</v>
      </c>
      <c r="U338" s="221" t="s">
        <v>283</v>
      </c>
      <c r="V338" s="221" t="s">
        <v>283</v>
      </c>
      <c r="W338" s="222" t="s">
        <v>283</v>
      </c>
      <c r="X338" s="222" t="s">
        <v>283</v>
      </c>
      <c r="Y338" s="223" t="s">
        <v>283</v>
      </c>
    </row>
    <row r="339" spans="1:25">
      <c r="A339" s="217">
        <v>6</v>
      </c>
      <c r="B339" s="218" t="str">
        <f>VLOOKUP(Tabel10[[#This Row],[Code]],Ruimtegroepen[[Code]:[Ruimte omschrijving]],2,FALSE)</f>
        <v>Gangen/hallen</v>
      </c>
      <c r="C339" s="219" t="s">
        <v>563</v>
      </c>
      <c r="D339" s="218" t="s">
        <v>27</v>
      </c>
      <c r="E339" s="219" t="s">
        <v>1313</v>
      </c>
      <c r="F339" s="219" t="s">
        <v>1383</v>
      </c>
      <c r="G339" s="224" t="s">
        <v>283</v>
      </c>
      <c r="H339" s="220" t="s">
        <v>283</v>
      </c>
      <c r="I339" s="220" t="s">
        <v>15</v>
      </c>
      <c r="J339" s="220" t="s">
        <v>283</v>
      </c>
      <c r="K339" s="220" t="s">
        <v>283</v>
      </c>
      <c r="L339" s="220" t="s">
        <v>283</v>
      </c>
      <c r="M339" s="220" t="s">
        <v>283</v>
      </c>
      <c r="N339" s="220" t="s">
        <v>283</v>
      </c>
      <c r="O339" s="221" t="s">
        <v>15</v>
      </c>
      <c r="P339" s="221" t="s">
        <v>15</v>
      </c>
      <c r="Q339" s="221" t="s">
        <v>15</v>
      </c>
      <c r="R339" s="221" t="s">
        <v>283</v>
      </c>
      <c r="S339" s="221" t="s">
        <v>283</v>
      </c>
      <c r="T339" s="221" t="s">
        <v>283</v>
      </c>
      <c r="U339" s="221" t="s">
        <v>283</v>
      </c>
      <c r="V339" s="221" t="s">
        <v>283</v>
      </c>
      <c r="W339" s="222" t="s">
        <v>283</v>
      </c>
      <c r="X339" s="222" t="s">
        <v>283</v>
      </c>
      <c r="Y339" s="223" t="s">
        <v>283</v>
      </c>
    </row>
    <row r="340" spans="1:25">
      <c r="A340" s="217">
        <v>6</v>
      </c>
      <c r="B340" s="218" t="str">
        <f>VLOOKUP(Tabel10[[#This Row],[Code]],Ruimtegroepen[[Code]:[Ruimte omschrijving]],2,FALSE)</f>
        <v>Gangen/hallen</v>
      </c>
      <c r="C340" s="219" t="s">
        <v>568</v>
      </c>
      <c r="D340" s="218" t="s">
        <v>28</v>
      </c>
      <c r="E340" s="219" t="s">
        <v>100</v>
      </c>
      <c r="F340" s="219" t="s">
        <v>569</v>
      </c>
      <c r="G340" s="224" t="s">
        <v>283</v>
      </c>
      <c r="H340" s="220" t="s">
        <v>283</v>
      </c>
      <c r="I340" s="220" t="s">
        <v>17</v>
      </c>
      <c r="J340" s="220" t="s">
        <v>283</v>
      </c>
      <c r="K340" s="220" t="s">
        <v>283</v>
      </c>
      <c r="L340" s="220" t="s">
        <v>283</v>
      </c>
      <c r="M340" s="220" t="s">
        <v>283</v>
      </c>
      <c r="N340" s="220" t="s">
        <v>283</v>
      </c>
      <c r="O340" s="221" t="s">
        <v>17</v>
      </c>
      <c r="P340" s="221" t="s">
        <v>17</v>
      </c>
      <c r="Q340" s="221" t="s">
        <v>15</v>
      </c>
      <c r="R340" s="221" t="s">
        <v>283</v>
      </c>
      <c r="S340" s="221" t="s">
        <v>283</v>
      </c>
      <c r="T340" s="221" t="s">
        <v>283</v>
      </c>
      <c r="U340" s="221" t="s">
        <v>283</v>
      </c>
      <c r="V340" s="221" t="s">
        <v>283</v>
      </c>
      <c r="W340" s="222" t="s">
        <v>283</v>
      </c>
      <c r="X340" s="222" t="s">
        <v>283</v>
      </c>
      <c r="Y340" s="223" t="s">
        <v>283</v>
      </c>
    </row>
    <row r="341" spans="1:25">
      <c r="A341" s="217">
        <v>6</v>
      </c>
      <c r="B341" s="218" t="str">
        <f>VLOOKUP(Tabel10[[#This Row],[Code]],Ruimtegroepen[[Code]:[Ruimte omschrijving]],2,FALSE)</f>
        <v>Gangen/hallen</v>
      </c>
      <c r="C341" s="219" t="s">
        <v>568</v>
      </c>
      <c r="D341" s="218" t="s">
        <v>28</v>
      </c>
      <c r="E341" s="219" t="s">
        <v>99</v>
      </c>
      <c r="F341" s="219" t="s">
        <v>570</v>
      </c>
      <c r="G341" s="224" t="s">
        <v>283</v>
      </c>
      <c r="H341" s="220" t="s">
        <v>17</v>
      </c>
      <c r="I341" s="220" t="s">
        <v>283</v>
      </c>
      <c r="J341" s="220" t="s">
        <v>283</v>
      </c>
      <c r="K341" s="220" t="s">
        <v>283</v>
      </c>
      <c r="L341" s="220" t="s">
        <v>283</v>
      </c>
      <c r="M341" s="220" t="s">
        <v>283</v>
      </c>
      <c r="N341" s="220" t="s">
        <v>283</v>
      </c>
      <c r="O341" s="221" t="s">
        <v>17</v>
      </c>
      <c r="P341" s="221" t="s">
        <v>17</v>
      </c>
      <c r="Q341" s="221" t="s">
        <v>15</v>
      </c>
      <c r="R341" s="221" t="s">
        <v>283</v>
      </c>
      <c r="S341" s="221" t="s">
        <v>283</v>
      </c>
      <c r="T341" s="221" t="s">
        <v>283</v>
      </c>
      <c r="U341" s="221" t="s">
        <v>283</v>
      </c>
      <c r="V341" s="221" t="s">
        <v>283</v>
      </c>
      <c r="W341" s="222" t="s">
        <v>283</v>
      </c>
      <c r="X341" s="222" t="s">
        <v>283</v>
      </c>
      <c r="Y341" s="223" t="s">
        <v>283</v>
      </c>
    </row>
    <row r="342" spans="1:25">
      <c r="A342" s="217">
        <v>6</v>
      </c>
      <c r="B342" s="218" t="str">
        <f>VLOOKUP(Tabel10[[#This Row],[Code]],Ruimtegroepen[[Code]:[Ruimte omschrijving]],2,FALSE)</f>
        <v>Gangen/hallen</v>
      </c>
      <c r="C342" s="219" t="s">
        <v>568</v>
      </c>
      <c r="D342" s="218" t="s">
        <v>28</v>
      </c>
      <c r="E342" s="219" t="s">
        <v>101</v>
      </c>
      <c r="F342" s="219" t="s">
        <v>571</v>
      </c>
      <c r="G342" s="224" t="s">
        <v>283</v>
      </c>
      <c r="H342" s="220" t="s">
        <v>283</v>
      </c>
      <c r="I342" s="220" t="s">
        <v>17</v>
      </c>
      <c r="J342" s="220" t="s">
        <v>283</v>
      </c>
      <c r="K342" s="220" t="s">
        <v>283</v>
      </c>
      <c r="L342" s="220" t="s">
        <v>283</v>
      </c>
      <c r="M342" s="220" t="s">
        <v>283</v>
      </c>
      <c r="N342" s="220" t="s">
        <v>283</v>
      </c>
      <c r="O342" s="221" t="s">
        <v>17</v>
      </c>
      <c r="P342" s="221" t="s">
        <v>17</v>
      </c>
      <c r="Q342" s="221" t="s">
        <v>15</v>
      </c>
      <c r="R342" s="221" t="s">
        <v>283</v>
      </c>
      <c r="S342" s="221" t="s">
        <v>283</v>
      </c>
      <c r="T342" s="221" t="s">
        <v>283</v>
      </c>
      <c r="U342" s="221" t="s">
        <v>283</v>
      </c>
      <c r="V342" s="221" t="s">
        <v>283</v>
      </c>
      <c r="W342" s="222" t="s">
        <v>283</v>
      </c>
      <c r="X342" s="222" t="s">
        <v>283</v>
      </c>
      <c r="Y342" s="223" t="s">
        <v>283</v>
      </c>
    </row>
    <row r="343" spans="1:25">
      <c r="A343" s="217">
        <v>6</v>
      </c>
      <c r="B343" s="218" t="str">
        <f>VLOOKUP(Tabel10[[#This Row],[Code]],Ruimtegroepen[[Code]:[Ruimte omschrijving]],2,FALSE)</f>
        <v>Gangen/hallen</v>
      </c>
      <c r="C343" s="219" t="s">
        <v>568</v>
      </c>
      <c r="D343" s="218" t="s">
        <v>28</v>
      </c>
      <c r="E343" s="219" t="s">
        <v>102</v>
      </c>
      <c r="F343" s="219" t="s">
        <v>572</v>
      </c>
      <c r="G343" s="224" t="s">
        <v>283</v>
      </c>
      <c r="H343" s="220" t="s">
        <v>283</v>
      </c>
      <c r="I343" s="220" t="s">
        <v>17</v>
      </c>
      <c r="J343" s="220" t="s">
        <v>283</v>
      </c>
      <c r="K343" s="220" t="s">
        <v>283</v>
      </c>
      <c r="L343" s="220" t="s">
        <v>283</v>
      </c>
      <c r="M343" s="220" t="s">
        <v>283</v>
      </c>
      <c r="N343" s="220" t="s">
        <v>283</v>
      </c>
      <c r="O343" s="221" t="s">
        <v>17</v>
      </c>
      <c r="P343" s="221" t="s">
        <v>17</v>
      </c>
      <c r="Q343" s="221" t="s">
        <v>15</v>
      </c>
      <c r="R343" s="221" t="s">
        <v>283</v>
      </c>
      <c r="S343" s="221" t="s">
        <v>283</v>
      </c>
      <c r="T343" s="221" t="s">
        <v>283</v>
      </c>
      <c r="U343" s="221" t="s">
        <v>283</v>
      </c>
      <c r="V343" s="221" t="s">
        <v>283</v>
      </c>
      <c r="W343" s="222" t="s">
        <v>283</v>
      </c>
      <c r="X343" s="222" t="s">
        <v>283</v>
      </c>
      <c r="Y343" s="223" t="s">
        <v>283</v>
      </c>
    </row>
    <row r="344" spans="1:25">
      <c r="A344" s="217">
        <v>6</v>
      </c>
      <c r="B344" s="218" t="str">
        <f>VLOOKUP(Tabel10[[#This Row],[Code]],Ruimtegroepen[[Code]:[Ruimte omschrijving]],2,FALSE)</f>
        <v>Gangen/hallen</v>
      </c>
      <c r="C344" s="219" t="s">
        <v>568</v>
      </c>
      <c r="D344" s="218" t="s">
        <v>28</v>
      </c>
      <c r="E344" s="219" t="s">
        <v>99</v>
      </c>
      <c r="F344" s="219" t="s">
        <v>570</v>
      </c>
      <c r="G344" s="224" t="s">
        <v>283</v>
      </c>
      <c r="H344" s="220" t="s">
        <v>17</v>
      </c>
      <c r="I344" s="220" t="s">
        <v>283</v>
      </c>
      <c r="J344" s="220" t="s">
        <v>283</v>
      </c>
      <c r="K344" s="220" t="s">
        <v>283</v>
      </c>
      <c r="L344" s="220" t="s">
        <v>283</v>
      </c>
      <c r="M344" s="220" t="s">
        <v>283</v>
      </c>
      <c r="N344" s="220" t="s">
        <v>283</v>
      </c>
      <c r="O344" s="221" t="s">
        <v>17</v>
      </c>
      <c r="P344" s="221" t="s">
        <v>17</v>
      </c>
      <c r="Q344" s="221" t="s">
        <v>15</v>
      </c>
      <c r="R344" s="221" t="s">
        <v>283</v>
      </c>
      <c r="S344" s="221" t="s">
        <v>283</v>
      </c>
      <c r="T344" s="221" t="s">
        <v>283</v>
      </c>
      <c r="U344" s="221" t="s">
        <v>283</v>
      </c>
      <c r="V344" s="221" t="s">
        <v>283</v>
      </c>
      <c r="W344" s="222" t="s">
        <v>283</v>
      </c>
      <c r="X344" s="222" t="s">
        <v>283</v>
      </c>
      <c r="Y344" s="223" t="s">
        <v>283</v>
      </c>
    </row>
    <row r="345" spans="1:25">
      <c r="A345" s="217">
        <v>6</v>
      </c>
      <c r="B345" s="218" t="str">
        <f>VLOOKUP(Tabel10[[#This Row],[Code]],Ruimtegroepen[[Code]:[Ruimte omschrijving]],2,FALSE)</f>
        <v>Gangen/hallen</v>
      </c>
      <c r="C345" s="219" t="s">
        <v>568</v>
      </c>
      <c r="D345" s="218" t="s">
        <v>28</v>
      </c>
      <c r="E345" s="219" t="s">
        <v>1313</v>
      </c>
      <c r="F345" s="219" t="s">
        <v>1416</v>
      </c>
      <c r="G345" s="224" t="s">
        <v>283</v>
      </c>
      <c r="H345" s="220" t="s">
        <v>283</v>
      </c>
      <c r="I345" s="220" t="s">
        <v>17</v>
      </c>
      <c r="J345" s="220" t="s">
        <v>283</v>
      </c>
      <c r="K345" s="220" t="s">
        <v>283</v>
      </c>
      <c r="L345" s="220" t="s">
        <v>283</v>
      </c>
      <c r="M345" s="220" t="s">
        <v>283</v>
      </c>
      <c r="N345" s="220" t="s">
        <v>283</v>
      </c>
      <c r="O345" s="221" t="s">
        <v>17</v>
      </c>
      <c r="P345" s="221" t="s">
        <v>17</v>
      </c>
      <c r="Q345" s="221" t="s">
        <v>15</v>
      </c>
      <c r="R345" s="221" t="s">
        <v>283</v>
      </c>
      <c r="S345" s="221" t="s">
        <v>283</v>
      </c>
      <c r="T345" s="221" t="s">
        <v>283</v>
      </c>
      <c r="U345" s="221" t="s">
        <v>283</v>
      </c>
      <c r="V345" s="221" t="s">
        <v>283</v>
      </c>
      <c r="W345" s="222" t="s">
        <v>283</v>
      </c>
      <c r="X345" s="222" t="s">
        <v>283</v>
      </c>
      <c r="Y345" s="223" t="s">
        <v>283</v>
      </c>
    </row>
    <row r="346" spans="1:25">
      <c r="A346" s="217">
        <v>7</v>
      </c>
      <c r="B346" s="218" t="str">
        <f>VLOOKUP(Tabel10[[#This Row],[Code]],Ruimtegroepen[[Code]:[Ruimte omschrijving]],2,FALSE)</f>
        <v>Entree</v>
      </c>
      <c r="C346" s="219" t="s">
        <v>573</v>
      </c>
      <c r="D346" s="218" t="s">
        <v>29</v>
      </c>
      <c r="E346" s="219" t="s">
        <v>100</v>
      </c>
      <c r="F346" s="219" t="s">
        <v>574</v>
      </c>
      <c r="G346" s="224" t="s">
        <v>283</v>
      </c>
      <c r="H346" s="220" t="s">
        <v>283</v>
      </c>
      <c r="I346" s="220" t="s">
        <v>283</v>
      </c>
      <c r="J346" s="220" t="s">
        <v>2</v>
      </c>
      <c r="K346" s="220" t="s">
        <v>283</v>
      </c>
      <c r="L346" s="220" t="s">
        <v>283</v>
      </c>
      <c r="M346" s="220" t="s">
        <v>283</v>
      </c>
      <c r="N346" s="220" t="s">
        <v>2</v>
      </c>
      <c r="O346" s="221" t="s">
        <v>2</v>
      </c>
      <c r="P346" s="221" t="s">
        <v>2</v>
      </c>
      <c r="Q346" s="221" t="s">
        <v>15</v>
      </c>
      <c r="R346" s="221" t="s">
        <v>15</v>
      </c>
      <c r="S346" s="221" t="s">
        <v>16</v>
      </c>
      <c r="T346" s="221" t="s">
        <v>330</v>
      </c>
      <c r="U346" s="221" t="s">
        <v>250</v>
      </c>
      <c r="V346" s="221" t="s">
        <v>2</v>
      </c>
      <c r="W346" s="222" t="s">
        <v>283</v>
      </c>
      <c r="X346" s="222" t="s">
        <v>283</v>
      </c>
      <c r="Y346" s="223" t="s">
        <v>283</v>
      </c>
    </row>
    <row r="347" spans="1:25">
      <c r="A347" s="217">
        <v>7</v>
      </c>
      <c r="B347" s="218" t="str">
        <f>VLOOKUP(Tabel10[[#This Row],[Code]],Ruimtegroepen[[Code]:[Ruimte omschrijving]],2,FALSE)</f>
        <v>Entree</v>
      </c>
      <c r="C347" s="219" t="s">
        <v>573</v>
      </c>
      <c r="D347" s="218" t="s">
        <v>29</v>
      </c>
      <c r="E347" s="219" t="s">
        <v>99</v>
      </c>
      <c r="F347" s="219" t="s">
        <v>575</v>
      </c>
      <c r="G347" s="224" t="s">
        <v>283</v>
      </c>
      <c r="H347" s="220" t="s">
        <v>2</v>
      </c>
      <c r="I347" s="220" t="s">
        <v>283</v>
      </c>
      <c r="J347" s="220" t="s">
        <v>283</v>
      </c>
      <c r="K347" s="220" t="s">
        <v>283</v>
      </c>
      <c r="L347" s="220" t="s">
        <v>283</v>
      </c>
      <c r="M347" s="220" t="s">
        <v>283</v>
      </c>
      <c r="N347" s="220" t="s">
        <v>2</v>
      </c>
      <c r="O347" s="221" t="s">
        <v>2</v>
      </c>
      <c r="P347" s="221" t="s">
        <v>2</v>
      </c>
      <c r="Q347" s="221" t="s">
        <v>15</v>
      </c>
      <c r="R347" s="221" t="s">
        <v>15</v>
      </c>
      <c r="S347" s="221" t="s">
        <v>16</v>
      </c>
      <c r="T347" s="221" t="s">
        <v>330</v>
      </c>
      <c r="U347" s="221" t="s">
        <v>250</v>
      </c>
      <c r="V347" s="221" t="s">
        <v>2</v>
      </c>
      <c r="W347" s="222" t="s">
        <v>283</v>
      </c>
      <c r="X347" s="222" t="s">
        <v>283</v>
      </c>
      <c r="Y347" s="223" t="s">
        <v>283</v>
      </c>
    </row>
    <row r="348" spans="1:25">
      <c r="A348" s="217">
        <v>7</v>
      </c>
      <c r="B348" s="218" t="str">
        <f>VLOOKUP(Tabel10[[#This Row],[Code]],Ruimtegroepen[[Code]:[Ruimte omschrijving]],2,FALSE)</f>
        <v>Entree</v>
      </c>
      <c r="C348" s="219" t="s">
        <v>573</v>
      </c>
      <c r="D348" s="218" t="s">
        <v>29</v>
      </c>
      <c r="E348" s="219" t="s">
        <v>101</v>
      </c>
      <c r="F348" s="219" t="s">
        <v>576</v>
      </c>
      <c r="G348" s="224" t="s">
        <v>283</v>
      </c>
      <c r="H348" s="220" t="s">
        <v>283</v>
      </c>
      <c r="I348" s="220" t="s">
        <v>2</v>
      </c>
      <c r="J348" s="220" t="s">
        <v>283</v>
      </c>
      <c r="K348" s="220" t="s">
        <v>2</v>
      </c>
      <c r="L348" s="220" t="s">
        <v>283</v>
      </c>
      <c r="M348" s="220" t="s">
        <v>283</v>
      </c>
      <c r="N348" s="220" t="s">
        <v>2</v>
      </c>
      <c r="O348" s="221" t="s">
        <v>2</v>
      </c>
      <c r="P348" s="221" t="s">
        <v>2</v>
      </c>
      <c r="Q348" s="221" t="s">
        <v>15</v>
      </c>
      <c r="R348" s="221" t="s">
        <v>15</v>
      </c>
      <c r="S348" s="221" t="s">
        <v>16</v>
      </c>
      <c r="T348" s="221" t="s">
        <v>330</v>
      </c>
      <c r="U348" s="221" t="s">
        <v>250</v>
      </c>
      <c r="V348" s="221" t="s">
        <v>2</v>
      </c>
      <c r="W348" s="222" t="s">
        <v>283</v>
      </c>
      <c r="X348" s="222" t="s">
        <v>283</v>
      </c>
      <c r="Y348" s="223" t="s">
        <v>283</v>
      </c>
    </row>
    <row r="349" spans="1:25">
      <c r="A349" s="217">
        <v>7</v>
      </c>
      <c r="B349" s="218" t="str">
        <f>VLOOKUP(Tabel10[[#This Row],[Code]],Ruimtegroepen[[Code]:[Ruimte omschrijving]],2,FALSE)</f>
        <v>Entree</v>
      </c>
      <c r="C349" s="219" t="s">
        <v>573</v>
      </c>
      <c r="D349" s="218" t="s">
        <v>29</v>
      </c>
      <c r="E349" s="219" t="s">
        <v>102</v>
      </c>
      <c r="F349" s="219" t="s">
        <v>577</v>
      </c>
      <c r="G349" s="224" t="s">
        <v>283</v>
      </c>
      <c r="H349" s="220" t="s">
        <v>283</v>
      </c>
      <c r="I349" s="220" t="s">
        <v>2</v>
      </c>
      <c r="J349" s="220" t="s">
        <v>283</v>
      </c>
      <c r="K349" s="220" t="s">
        <v>2</v>
      </c>
      <c r="L349" s="220" t="s">
        <v>283</v>
      </c>
      <c r="M349" s="220" t="s">
        <v>283</v>
      </c>
      <c r="N349" s="220" t="s">
        <v>2</v>
      </c>
      <c r="O349" s="221" t="s">
        <v>2</v>
      </c>
      <c r="P349" s="221" t="s">
        <v>2</v>
      </c>
      <c r="Q349" s="221" t="s">
        <v>15</v>
      </c>
      <c r="R349" s="221" t="s">
        <v>15</v>
      </c>
      <c r="S349" s="221" t="s">
        <v>16</v>
      </c>
      <c r="T349" s="221" t="s">
        <v>330</v>
      </c>
      <c r="U349" s="221" t="s">
        <v>250</v>
      </c>
      <c r="V349" s="221" t="s">
        <v>2</v>
      </c>
      <c r="W349" s="222" t="s">
        <v>283</v>
      </c>
      <c r="X349" s="222" t="s">
        <v>283</v>
      </c>
      <c r="Y349" s="223" t="s">
        <v>283</v>
      </c>
    </row>
    <row r="350" spans="1:25">
      <c r="A350" s="217">
        <v>7</v>
      </c>
      <c r="B350" s="218" t="str">
        <f>VLOOKUP(Tabel10[[#This Row],[Code]],Ruimtegroepen[[Code]:[Ruimte omschrijving]],2,FALSE)</f>
        <v>Entree</v>
      </c>
      <c r="C350" s="219" t="s">
        <v>573</v>
      </c>
      <c r="D350" s="218" t="s">
        <v>29</v>
      </c>
      <c r="E350" s="219" t="s">
        <v>99</v>
      </c>
      <c r="F350" s="219" t="s">
        <v>575</v>
      </c>
      <c r="G350" s="224" t="s">
        <v>283</v>
      </c>
      <c r="H350" s="220" t="s">
        <v>2</v>
      </c>
      <c r="I350" s="220" t="s">
        <v>283</v>
      </c>
      <c r="J350" s="220" t="s">
        <v>283</v>
      </c>
      <c r="K350" s="220" t="s">
        <v>283</v>
      </c>
      <c r="L350" s="220" t="s">
        <v>283</v>
      </c>
      <c r="M350" s="220" t="s">
        <v>283</v>
      </c>
      <c r="N350" s="220" t="s">
        <v>2</v>
      </c>
      <c r="O350" s="221" t="s">
        <v>2</v>
      </c>
      <c r="P350" s="221" t="s">
        <v>2</v>
      </c>
      <c r="Q350" s="221" t="s">
        <v>15</v>
      </c>
      <c r="R350" s="221" t="s">
        <v>15</v>
      </c>
      <c r="S350" s="221" t="s">
        <v>16</v>
      </c>
      <c r="T350" s="221" t="s">
        <v>330</v>
      </c>
      <c r="U350" s="221" t="s">
        <v>250</v>
      </c>
      <c r="V350" s="221" t="s">
        <v>2</v>
      </c>
      <c r="W350" s="222" t="s">
        <v>283</v>
      </c>
      <c r="X350" s="222" t="s">
        <v>283</v>
      </c>
      <c r="Y350" s="223" t="s">
        <v>283</v>
      </c>
    </row>
    <row r="351" spans="1:25">
      <c r="A351" s="217">
        <v>7</v>
      </c>
      <c r="B351" s="218" t="str">
        <f>VLOOKUP(Tabel10[[#This Row],[Code]],Ruimtegroepen[[Code]:[Ruimte omschrijving]],2,FALSE)</f>
        <v>Entree</v>
      </c>
      <c r="C351" s="219" t="s">
        <v>573</v>
      </c>
      <c r="D351" s="218" t="s">
        <v>29</v>
      </c>
      <c r="E351" s="219" t="s">
        <v>1313</v>
      </c>
      <c r="F351" s="219" t="s">
        <v>1484</v>
      </c>
      <c r="G351" s="224" t="s">
        <v>283</v>
      </c>
      <c r="H351" s="220" t="s">
        <v>283</v>
      </c>
      <c r="I351" s="220" t="s">
        <v>2</v>
      </c>
      <c r="J351" s="220" t="s">
        <v>283</v>
      </c>
      <c r="K351" s="220" t="s">
        <v>2</v>
      </c>
      <c r="L351" s="220" t="s">
        <v>283</v>
      </c>
      <c r="M351" s="220" t="s">
        <v>283</v>
      </c>
      <c r="N351" s="220" t="s">
        <v>2</v>
      </c>
      <c r="O351" s="221" t="s">
        <v>2</v>
      </c>
      <c r="P351" s="221" t="s">
        <v>2</v>
      </c>
      <c r="Q351" s="221" t="s">
        <v>15</v>
      </c>
      <c r="R351" s="221" t="s">
        <v>15</v>
      </c>
      <c r="S351" s="221" t="s">
        <v>16</v>
      </c>
      <c r="T351" s="221" t="s">
        <v>330</v>
      </c>
      <c r="U351" s="221" t="s">
        <v>250</v>
      </c>
      <c r="V351" s="221" t="s">
        <v>2</v>
      </c>
      <c r="W351" s="222" t="s">
        <v>283</v>
      </c>
      <c r="X351" s="222" t="s">
        <v>283</v>
      </c>
      <c r="Y351" s="223" t="s">
        <v>283</v>
      </c>
    </row>
    <row r="352" spans="1:25">
      <c r="A352" s="217">
        <v>7</v>
      </c>
      <c r="B352" s="218" t="str">
        <f>VLOOKUP(Tabel10[[#This Row],[Code]],Ruimtegroepen[[Code]:[Ruimte omschrijving]],2,FALSE)</f>
        <v>Entree</v>
      </c>
      <c r="C352" s="219" t="s">
        <v>578</v>
      </c>
      <c r="D352" s="218" t="s">
        <v>1</v>
      </c>
      <c r="E352" s="219" t="s">
        <v>100</v>
      </c>
      <c r="F352" s="219" t="s">
        <v>579</v>
      </c>
      <c r="G352" s="224" t="s">
        <v>283</v>
      </c>
      <c r="H352" s="220" t="s">
        <v>283</v>
      </c>
      <c r="I352" s="220" t="s">
        <v>283</v>
      </c>
      <c r="J352" s="220" t="s">
        <v>2</v>
      </c>
      <c r="K352" s="220" t="s">
        <v>283</v>
      </c>
      <c r="L352" s="220" t="s">
        <v>283</v>
      </c>
      <c r="M352" s="220" t="s">
        <v>283</v>
      </c>
      <c r="N352" s="220" t="s">
        <v>283</v>
      </c>
      <c r="O352" s="221" t="s">
        <v>2</v>
      </c>
      <c r="P352" s="221" t="s">
        <v>2</v>
      </c>
      <c r="Q352" s="221" t="s">
        <v>15</v>
      </c>
      <c r="R352" s="221" t="s">
        <v>15</v>
      </c>
      <c r="S352" s="221" t="s">
        <v>16</v>
      </c>
      <c r="T352" s="221" t="s">
        <v>330</v>
      </c>
      <c r="U352" s="221" t="s">
        <v>250</v>
      </c>
      <c r="V352" s="221" t="s">
        <v>283</v>
      </c>
      <c r="W352" s="222" t="s">
        <v>283</v>
      </c>
      <c r="X352" s="222" t="s">
        <v>283</v>
      </c>
      <c r="Y352" s="223" t="s">
        <v>283</v>
      </c>
    </row>
    <row r="353" spans="1:25">
      <c r="A353" s="217">
        <v>7</v>
      </c>
      <c r="B353" s="218" t="str">
        <f>VLOOKUP(Tabel10[[#This Row],[Code]],Ruimtegroepen[[Code]:[Ruimte omschrijving]],2,FALSE)</f>
        <v>Entree</v>
      </c>
      <c r="C353" s="219" t="s">
        <v>578</v>
      </c>
      <c r="D353" s="218" t="s">
        <v>1</v>
      </c>
      <c r="E353" s="219" t="s">
        <v>99</v>
      </c>
      <c r="F353" s="219" t="s">
        <v>580</v>
      </c>
      <c r="G353" s="224" t="s">
        <v>283</v>
      </c>
      <c r="H353" s="220" t="s">
        <v>2</v>
      </c>
      <c r="I353" s="220" t="s">
        <v>283</v>
      </c>
      <c r="J353" s="220" t="s">
        <v>283</v>
      </c>
      <c r="K353" s="220" t="s">
        <v>283</v>
      </c>
      <c r="L353" s="220" t="s">
        <v>283</v>
      </c>
      <c r="M353" s="220" t="s">
        <v>283</v>
      </c>
      <c r="N353" s="220" t="s">
        <v>283</v>
      </c>
      <c r="O353" s="221" t="s">
        <v>2</v>
      </c>
      <c r="P353" s="221" t="s">
        <v>2</v>
      </c>
      <c r="Q353" s="221" t="s">
        <v>15</v>
      </c>
      <c r="R353" s="221" t="s">
        <v>15</v>
      </c>
      <c r="S353" s="221" t="s">
        <v>16</v>
      </c>
      <c r="T353" s="221" t="s">
        <v>330</v>
      </c>
      <c r="U353" s="221" t="s">
        <v>250</v>
      </c>
      <c r="V353" s="221" t="s">
        <v>283</v>
      </c>
      <c r="W353" s="222" t="s">
        <v>283</v>
      </c>
      <c r="X353" s="222" t="s">
        <v>283</v>
      </c>
      <c r="Y353" s="223" t="s">
        <v>283</v>
      </c>
    </row>
    <row r="354" spans="1:25">
      <c r="A354" s="217">
        <v>7</v>
      </c>
      <c r="B354" s="218" t="str">
        <f>VLOOKUP(Tabel10[[#This Row],[Code]],Ruimtegroepen[[Code]:[Ruimte omschrijving]],2,FALSE)</f>
        <v>Entree</v>
      </c>
      <c r="C354" s="219" t="s">
        <v>578</v>
      </c>
      <c r="D354" s="218" t="s">
        <v>1</v>
      </c>
      <c r="E354" s="219" t="s">
        <v>101</v>
      </c>
      <c r="F354" s="219" t="s">
        <v>581</v>
      </c>
      <c r="G354" s="224" t="s">
        <v>283</v>
      </c>
      <c r="H354" s="220" t="s">
        <v>283</v>
      </c>
      <c r="I354" s="220" t="s">
        <v>2</v>
      </c>
      <c r="J354" s="220" t="s">
        <v>283</v>
      </c>
      <c r="K354" s="220" t="s">
        <v>2</v>
      </c>
      <c r="L354" s="220" t="s">
        <v>283</v>
      </c>
      <c r="M354" s="220" t="s">
        <v>283</v>
      </c>
      <c r="N354" s="220" t="s">
        <v>283</v>
      </c>
      <c r="O354" s="221" t="s">
        <v>2</v>
      </c>
      <c r="P354" s="221" t="s">
        <v>2</v>
      </c>
      <c r="Q354" s="221" t="s">
        <v>15</v>
      </c>
      <c r="R354" s="221" t="s">
        <v>15</v>
      </c>
      <c r="S354" s="221" t="s">
        <v>16</v>
      </c>
      <c r="T354" s="221" t="s">
        <v>330</v>
      </c>
      <c r="U354" s="221" t="s">
        <v>250</v>
      </c>
      <c r="V354" s="221" t="s">
        <v>283</v>
      </c>
      <c r="W354" s="222" t="s">
        <v>283</v>
      </c>
      <c r="X354" s="222" t="s">
        <v>283</v>
      </c>
      <c r="Y354" s="223" t="s">
        <v>283</v>
      </c>
    </row>
    <row r="355" spans="1:25">
      <c r="A355" s="217">
        <v>7</v>
      </c>
      <c r="B355" s="218" t="str">
        <f>VLOOKUP(Tabel10[[#This Row],[Code]],Ruimtegroepen[[Code]:[Ruimte omschrijving]],2,FALSE)</f>
        <v>Entree</v>
      </c>
      <c r="C355" s="219" t="s">
        <v>578</v>
      </c>
      <c r="D355" s="218" t="s">
        <v>1</v>
      </c>
      <c r="E355" s="219" t="s">
        <v>102</v>
      </c>
      <c r="F355" s="219" t="s">
        <v>582</v>
      </c>
      <c r="G355" s="224" t="s">
        <v>283</v>
      </c>
      <c r="H355" s="220" t="s">
        <v>283</v>
      </c>
      <c r="I355" s="220" t="s">
        <v>2</v>
      </c>
      <c r="J355" s="220" t="s">
        <v>283</v>
      </c>
      <c r="K355" s="220" t="s">
        <v>2</v>
      </c>
      <c r="L355" s="220" t="s">
        <v>283</v>
      </c>
      <c r="M355" s="220" t="s">
        <v>283</v>
      </c>
      <c r="N355" s="220" t="s">
        <v>283</v>
      </c>
      <c r="O355" s="221" t="s">
        <v>2</v>
      </c>
      <c r="P355" s="221" t="s">
        <v>2</v>
      </c>
      <c r="Q355" s="221" t="s">
        <v>15</v>
      </c>
      <c r="R355" s="221" t="s">
        <v>15</v>
      </c>
      <c r="S355" s="221" t="s">
        <v>16</v>
      </c>
      <c r="T355" s="221" t="s">
        <v>330</v>
      </c>
      <c r="U355" s="221" t="s">
        <v>250</v>
      </c>
      <c r="V355" s="221" t="s">
        <v>283</v>
      </c>
      <c r="W355" s="222" t="s">
        <v>283</v>
      </c>
      <c r="X355" s="222" t="s">
        <v>283</v>
      </c>
      <c r="Y355" s="223" t="s">
        <v>283</v>
      </c>
    </row>
    <row r="356" spans="1:25">
      <c r="A356" s="217">
        <v>7</v>
      </c>
      <c r="B356" s="218" t="str">
        <f>VLOOKUP(Tabel10[[#This Row],[Code]],Ruimtegroepen[[Code]:[Ruimte omschrijving]],2,FALSE)</f>
        <v>Entree</v>
      </c>
      <c r="C356" s="219" t="s">
        <v>578</v>
      </c>
      <c r="D356" s="218" t="s">
        <v>1</v>
      </c>
      <c r="E356" s="219" t="s">
        <v>99</v>
      </c>
      <c r="F356" s="219" t="s">
        <v>580</v>
      </c>
      <c r="G356" s="224" t="s">
        <v>283</v>
      </c>
      <c r="H356" s="220" t="s">
        <v>2</v>
      </c>
      <c r="I356" s="220" t="s">
        <v>283</v>
      </c>
      <c r="J356" s="220" t="s">
        <v>283</v>
      </c>
      <c r="K356" s="220" t="s">
        <v>283</v>
      </c>
      <c r="L356" s="220" t="s">
        <v>283</v>
      </c>
      <c r="M356" s="220" t="s">
        <v>283</v>
      </c>
      <c r="N356" s="220" t="s">
        <v>283</v>
      </c>
      <c r="O356" s="221" t="s">
        <v>2</v>
      </c>
      <c r="P356" s="221" t="s">
        <v>2</v>
      </c>
      <c r="Q356" s="221" t="s">
        <v>15</v>
      </c>
      <c r="R356" s="221" t="s">
        <v>15</v>
      </c>
      <c r="S356" s="221" t="s">
        <v>16</v>
      </c>
      <c r="T356" s="221" t="s">
        <v>330</v>
      </c>
      <c r="U356" s="221" t="s">
        <v>250</v>
      </c>
      <c r="V356" s="221" t="s">
        <v>283</v>
      </c>
      <c r="W356" s="222" t="s">
        <v>283</v>
      </c>
      <c r="X356" s="222" t="s">
        <v>283</v>
      </c>
      <c r="Y356" s="223" t="s">
        <v>283</v>
      </c>
    </row>
    <row r="357" spans="1:25">
      <c r="A357" s="217">
        <v>7</v>
      </c>
      <c r="B357" s="218" t="str">
        <f>VLOOKUP(Tabel10[[#This Row],[Code]],Ruimtegroepen[[Code]:[Ruimte omschrijving]],2,FALSE)</f>
        <v>Entree</v>
      </c>
      <c r="C357" s="219" t="s">
        <v>578</v>
      </c>
      <c r="D357" s="218" t="s">
        <v>1</v>
      </c>
      <c r="E357" s="219" t="s">
        <v>1313</v>
      </c>
      <c r="F357" s="219" t="s">
        <v>1468</v>
      </c>
      <c r="G357" s="224" t="s">
        <v>283</v>
      </c>
      <c r="H357" s="220" t="s">
        <v>283</v>
      </c>
      <c r="I357" s="220" t="s">
        <v>2</v>
      </c>
      <c r="J357" s="220" t="s">
        <v>283</v>
      </c>
      <c r="K357" s="220" t="s">
        <v>2</v>
      </c>
      <c r="L357" s="220" t="s">
        <v>283</v>
      </c>
      <c r="M357" s="220" t="s">
        <v>283</v>
      </c>
      <c r="N357" s="220" t="s">
        <v>283</v>
      </c>
      <c r="O357" s="221" t="s">
        <v>2</v>
      </c>
      <c r="P357" s="221" t="s">
        <v>2</v>
      </c>
      <c r="Q357" s="221" t="s">
        <v>15</v>
      </c>
      <c r="R357" s="221" t="s">
        <v>15</v>
      </c>
      <c r="S357" s="221" t="s">
        <v>16</v>
      </c>
      <c r="T357" s="221" t="s">
        <v>330</v>
      </c>
      <c r="U357" s="221" t="s">
        <v>250</v>
      </c>
      <c r="V357" s="221" t="s">
        <v>283</v>
      </c>
      <c r="W357" s="222" t="s">
        <v>283</v>
      </c>
      <c r="X357" s="222" t="s">
        <v>283</v>
      </c>
      <c r="Y357" s="223" t="s">
        <v>283</v>
      </c>
    </row>
    <row r="358" spans="1:25">
      <c r="A358" s="217">
        <v>7</v>
      </c>
      <c r="B358" s="218" t="str">
        <f>VLOOKUP(Tabel10[[#This Row],[Code]],Ruimtegroepen[[Code]:[Ruimte omschrijving]],2,FALSE)</f>
        <v>Entree</v>
      </c>
      <c r="C358" s="219" t="s">
        <v>583</v>
      </c>
      <c r="D358" s="218" t="s">
        <v>21</v>
      </c>
      <c r="E358" s="219" t="s">
        <v>100</v>
      </c>
      <c r="F358" s="219" t="s">
        <v>584</v>
      </c>
      <c r="G358" s="224" t="s">
        <v>283</v>
      </c>
      <c r="H358" s="220" t="s">
        <v>283</v>
      </c>
      <c r="I358" s="220" t="s">
        <v>283</v>
      </c>
      <c r="J358" s="220" t="s">
        <v>20</v>
      </c>
      <c r="K358" s="220" t="s">
        <v>283</v>
      </c>
      <c r="L358" s="220" t="s">
        <v>283</v>
      </c>
      <c r="M358" s="220" t="s">
        <v>283</v>
      </c>
      <c r="N358" s="220" t="s">
        <v>283</v>
      </c>
      <c r="O358" s="221" t="s">
        <v>20</v>
      </c>
      <c r="P358" s="221" t="s">
        <v>20</v>
      </c>
      <c r="Q358" s="221" t="s">
        <v>15</v>
      </c>
      <c r="R358" s="221" t="s">
        <v>15</v>
      </c>
      <c r="S358" s="221" t="s">
        <v>16</v>
      </c>
      <c r="T358" s="221" t="s">
        <v>330</v>
      </c>
      <c r="U358" s="221" t="s">
        <v>250</v>
      </c>
      <c r="V358" s="221" t="s">
        <v>283</v>
      </c>
      <c r="W358" s="222" t="s">
        <v>283</v>
      </c>
      <c r="X358" s="222" t="s">
        <v>283</v>
      </c>
      <c r="Y358" s="223" t="s">
        <v>283</v>
      </c>
    </row>
    <row r="359" spans="1:25">
      <c r="A359" s="217">
        <v>7</v>
      </c>
      <c r="B359" s="218" t="str">
        <f>VLOOKUP(Tabel10[[#This Row],[Code]],Ruimtegroepen[[Code]:[Ruimte omschrijving]],2,FALSE)</f>
        <v>Entree</v>
      </c>
      <c r="C359" s="219" t="s">
        <v>583</v>
      </c>
      <c r="D359" s="218" t="s">
        <v>21</v>
      </c>
      <c r="E359" s="219" t="s">
        <v>99</v>
      </c>
      <c r="F359" s="219" t="s">
        <v>585</v>
      </c>
      <c r="G359" s="224" t="s">
        <v>283</v>
      </c>
      <c r="H359" s="220" t="s">
        <v>20</v>
      </c>
      <c r="I359" s="220" t="s">
        <v>283</v>
      </c>
      <c r="J359" s="220" t="s">
        <v>283</v>
      </c>
      <c r="K359" s="220" t="s">
        <v>283</v>
      </c>
      <c r="L359" s="220" t="s">
        <v>283</v>
      </c>
      <c r="M359" s="220" t="s">
        <v>283</v>
      </c>
      <c r="N359" s="220" t="s">
        <v>283</v>
      </c>
      <c r="O359" s="221" t="s">
        <v>20</v>
      </c>
      <c r="P359" s="221" t="s">
        <v>20</v>
      </c>
      <c r="Q359" s="221" t="s">
        <v>15</v>
      </c>
      <c r="R359" s="221" t="s">
        <v>15</v>
      </c>
      <c r="S359" s="221" t="s">
        <v>16</v>
      </c>
      <c r="T359" s="221" t="s">
        <v>330</v>
      </c>
      <c r="U359" s="221" t="s">
        <v>250</v>
      </c>
      <c r="V359" s="221" t="s">
        <v>283</v>
      </c>
      <c r="W359" s="222" t="s">
        <v>283</v>
      </c>
      <c r="X359" s="222" t="s">
        <v>283</v>
      </c>
      <c r="Y359" s="223" t="s">
        <v>283</v>
      </c>
    </row>
    <row r="360" spans="1:25">
      <c r="A360" s="217">
        <v>7</v>
      </c>
      <c r="B360" s="218" t="str">
        <f>VLOOKUP(Tabel10[[#This Row],[Code]],Ruimtegroepen[[Code]:[Ruimte omschrijving]],2,FALSE)</f>
        <v>Entree</v>
      </c>
      <c r="C360" s="219" t="s">
        <v>583</v>
      </c>
      <c r="D360" s="218" t="s">
        <v>21</v>
      </c>
      <c r="E360" s="219" t="s">
        <v>101</v>
      </c>
      <c r="F360" s="219" t="s">
        <v>586</v>
      </c>
      <c r="G360" s="224" t="s">
        <v>283</v>
      </c>
      <c r="H360" s="220" t="s">
        <v>283</v>
      </c>
      <c r="I360" s="220" t="s">
        <v>20</v>
      </c>
      <c r="J360" s="220" t="s">
        <v>283</v>
      </c>
      <c r="K360" s="220" t="s">
        <v>20</v>
      </c>
      <c r="L360" s="220" t="s">
        <v>283</v>
      </c>
      <c r="M360" s="220" t="s">
        <v>283</v>
      </c>
      <c r="N360" s="220" t="s">
        <v>283</v>
      </c>
      <c r="O360" s="221" t="s">
        <v>20</v>
      </c>
      <c r="P360" s="221" t="s">
        <v>20</v>
      </c>
      <c r="Q360" s="221" t="s">
        <v>15</v>
      </c>
      <c r="R360" s="221" t="s">
        <v>15</v>
      </c>
      <c r="S360" s="221" t="s">
        <v>16</v>
      </c>
      <c r="T360" s="221" t="s">
        <v>330</v>
      </c>
      <c r="U360" s="221" t="s">
        <v>250</v>
      </c>
      <c r="V360" s="221" t="s">
        <v>283</v>
      </c>
      <c r="W360" s="222" t="s">
        <v>283</v>
      </c>
      <c r="X360" s="222" t="s">
        <v>283</v>
      </c>
      <c r="Y360" s="223" t="s">
        <v>283</v>
      </c>
    </row>
    <row r="361" spans="1:25">
      <c r="A361" s="217">
        <v>7</v>
      </c>
      <c r="B361" s="218" t="str">
        <f>VLOOKUP(Tabel10[[#This Row],[Code]],Ruimtegroepen[[Code]:[Ruimte omschrijving]],2,FALSE)</f>
        <v>Entree</v>
      </c>
      <c r="C361" s="219" t="s">
        <v>583</v>
      </c>
      <c r="D361" s="218" t="s">
        <v>21</v>
      </c>
      <c r="E361" s="219" t="s">
        <v>102</v>
      </c>
      <c r="F361" s="219" t="s">
        <v>587</v>
      </c>
      <c r="G361" s="224" t="s">
        <v>283</v>
      </c>
      <c r="H361" s="220" t="s">
        <v>283</v>
      </c>
      <c r="I361" s="220" t="s">
        <v>20</v>
      </c>
      <c r="J361" s="220" t="s">
        <v>283</v>
      </c>
      <c r="K361" s="220" t="s">
        <v>20</v>
      </c>
      <c r="L361" s="220" t="s">
        <v>283</v>
      </c>
      <c r="M361" s="220" t="s">
        <v>283</v>
      </c>
      <c r="N361" s="220" t="s">
        <v>283</v>
      </c>
      <c r="O361" s="221" t="s">
        <v>20</v>
      </c>
      <c r="P361" s="221" t="s">
        <v>20</v>
      </c>
      <c r="Q361" s="221" t="s">
        <v>15</v>
      </c>
      <c r="R361" s="221" t="s">
        <v>15</v>
      </c>
      <c r="S361" s="221" t="s">
        <v>16</v>
      </c>
      <c r="T361" s="221" t="s">
        <v>330</v>
      </c>
      <c r="U361" s="221" t="s">
        <v>250</v>
      </c>
      <c r="V361" s="221" t="s">
        <v>283</v>
      </c>
      <c r="W361" s="222" t="s">
        <v>283</v>
      </c>
      <c r="X361" s="222" t="s">
        <v>283</v>
      </c>
      <c r="Y361" s="223" t="s">
        <v>283</v>
      </c>
    </row>
    <row r="362" spans="1:25">
      <c r="A362" s="217">
        <v>7</v>
      </c>
      <c r="B362" s="218" t="str">
        <f>VLOOKUP(Tabel10[[#This Row],[Code]],Ruimtegroepen[[Code]:[Ruimte omschrijving]],2,FALSE)</f>
        <v>Entree</v>
      </c>
      <c r="C362" s="219" t="s">
        <v>583</v>
      </c>
      <c r="D362" s="218" t="s">
        <v>21</v>
      </c>
      <c r="E362" s="219" t="s">
        <v>99</v>
      </c>
      <c r="F362" s="219" t="s">
        <v>585</v>
      </c>
      <c r="G362" s="224" t="s">
        <v>283</v>
      </c>
      <c r="H362" s="220" t="s">
        <v>20</v>
      </c>
      <c r="I362" s="220" t="s">
        <v>283</v>
      </c>
      <c r="J362" s="220" t="s">
        <v>283</v>
      </c>
      <c r="K362" s="220" t="s">
        <v>283</v>
      </c>
      <c r="L362" s="220" t="s">
        <v>283</v>
      </c>
      <c r="M362" s="220" t="s">
        <v>283</v>
      </c>
      <c r="N362" s="220" t="s">
        <v>283</v>
      </c>
      <c r="O362" s="221" t="s">
        <v>20</v>
      </c>
      <c r="P362" s="221" t="s">
        <v>20</v>
      </c>
      <c r="Q362" s="221" t="s">
        <v>15</v>
      </c>
      <c r="R362" s="221" t="s">
        <v>15</v>
      </c>
      <c r="S362" s="221" t="s">
        <v>16</v>
      </c>
      <c r="T362" s="221" t="s">
        <v>330</v>
      </c>
      <c r="U362" s="221" t="s">
        <v>250</v>
      </c>
      <c r="V362" s="221" t="s">
        <v>283</v>
      </c>
      <c r="W362" s="222" t="s">
        <v>283</v>
      </c>
      <c r="X362" s="222" t="s">
        <v>283</v>
      </c>
      <c r="Y362" s="223" t="s">
        <v>283</v>
      </c>
    </row>
    <row r="363" spans="1:25">
      <c r="A363" s="217">
        <v>7</v>
      </c>
      <c r="B363" s="218" t="str">
        <f>VLOOKUP(Tabel10[[#This Row],[Code]],Ruimtegroepen[[Code]:[Ruimte omschrijving]],2,FALSE)</f>
        <v>Entree</v>
      </c>
      <c r="C363" s="219" t="s">
        <v>583</v>
      </c>
      <c r="D363" s="218" t="s">
        <v>21</v>
      </c>
      <c r="E363" s="219" t="s">
        <v>1313</v>
      </c>
      <c r="F363" s="219" t="s">
        <v>1451</v>
      </c>
      <c r="G363" s="224" t="s">
        <v>283</v>
      </c>
      <c r="H363" s="220" t="s">
        <v>283</v>
      </c>
      <c r="I363" s="220" t="s">
        <v>20</v>
      </c>
      <c r="J363" s="220" t="s">
        <v>283</v>
      </c>
      <c r="K363" s="220" t="s">
        <v>20</v>
      </c>
      <c r="L363" s="220" t="s">
        <v>283</v>
      </c>
      <c r="M363" s="220" t="s">
        <v>283</v>
      </c>
      <c r="N363" s="220" t="s">
        <v>283</v>
      </c>
      <c r="O363" s="221" t="s">
        <v>20</v>
      </c>
      <c r="P363" s="221" t="s">
        <v>20</v>
      </c>
      <c r="Q363" s="221" t="s">
        <v>15</v>
      </c>
      <c r="R363" s="221" t="s">
        <v>15</v>
      </c>
      <c r="S363" s="221" t="s">
        <v>16</v>
      </c>
      <c r="T363" s="221" t="s">
        <v>330</v>
      </c>
      <c r="U363" s="221" t="s">
        <v>250</v>
      </c>
      <c r="V363" s="221" t="s">
        <v>283</v>
      </c>
      <c r="W363" s="222" t="s">
        <v>283</v>
      </c>
      <c r="X363" s="222" t="s">
        <v>283</v>
      </c>
      <c r="Y363" s="223" t="s">
        <v>283</v>
      </c>
    </row>
    <row r="364" spans="1:25">
      <c r="A364" s="217">
        <v>7</v>
      </c>
      <c r="B364" s="218" t="str">
        <f>VLOOKUP(Tabel10[[#This Row],[Code]],Ruimtegroepen[[Code]:[Ruimte omschrijving]],2,FALSE)</f>
        <v>Entree</v>
      </c>
      <c r="C364" s="219" t="s">
        <v>588</v>
      </c>
      <c r="D364" s="218" t="s">
        <v>12</v>
      </c>
      <c r="E364" s="219" t="s">
        <v>100</v>
      </c>
      <c r="F364" s="219" t="s">
        <v>589</v>
      </c>
      <c r="G364" s="224" t="s">
        <v>283</v>
      </c>
      <c r="H364" s="220" t="s">
        <v>283</v>
      </c>
      <c r="I364" s="220" t="s">
        <v>283</v>
      </c>
      <c r="J364" s="220" t="s">
        <v>18</v>
      </c>
      <c r="K364" s="220" t="s">
        <v>283</v>
      </c>
      <c r="L364" s="220" t="s">
        <v>283</v>
      </c>
      <c r="M364" s="220" t="s">
        <v>283</v>
      </c>
      <c r="N364" s="220" t="s">
        <v>283</v>
      </c>
      <c r="O364" s="221" t="s">
        <v>18</v>
      </c>
      <c r="P364" s="221" t="s">
        <v>18</v>
      </c>
      <c r="Q364" s="221" t="s">
        <v>15</v>
      </c>
      <c r="R364" s="221" t="s">
        <v>15</v>
      </c>
      <c r="S364" s="221" t="s">
        <v>16</v>
      </c>
      <c r="T364" s="221" t="s">
        <v>330</v>
      </c>
      <c r="U364" s="221" t="s">
        <v>250</v>
      </c>
      <c r="V364" s="221" t="s">
        <v>283</v>
      </c>
      <c r="W364" s="222" t="s">
        <v>283</v>
      </c>
      <c r="X364" s="222" t="s">
        <v>283</v>
      </c>
      <c r="Y364" s="223" t="s">
        <v>283</v>
      </c>
    </row>
    <row r="365" spans="1:25">
      <c r="A365" s="217">
        <v>7</v>
      </c>
      <c r="B365" s="218" t="str">
        <f>VLOOKUP(Tabel10[[#This Row],[Code]],Ruimtegroepen[[Code]:[Ruimte omschrijving]],2,FALSE)</f>
        <v>Entree</v>
      </c>
      <c r="C365" s="219" t="s">
        <v>588</v>
      </c>
      <c r="D365" s="218" t="s">
        <v>12</v>
      </c>
      <c r="E365" s="219" t="s">
        <v>99</v>
      </c>
      <c r="F365" s="219" t="s">
        <v>590</v>
      </c>
      <c r="G365" s="224" t="s">
        <v>283</v>
      </c>
      <c r="H365" s="220" t="s">
        <v>18</v>
      </c>
      <c r="I365" s="220" t="s">
        <v>283</v>
      </c>
      <c r="J365" s="220" t="s">
        <v>283</v>
      </c>
      <c r="K365" s="220" t="s">
        <v>283</v>
      </c>
      <c r="L365" s="220" t="s">
        <v>283</v>
      </c>
      <c r="M365" s="220" t="s">
        <v>283</v>
      </c>
      <c r="N365" s="220" t="s">
        <v>283</v>
      </c>
      <c r="O365" s="221" t="s">
        <v>18</v>
      </c>
      <c r="P365" s="221" t="s">
        <v>18</v>
      </c>
      <c r="Q365" s="221" t="s">
        <v>15</v>
      </c>
      <c r="R365" s="221" t="s">
        <v>15</v>
      </c>
      <c r="S365" s="221" t="s">
        <v>16</v>
      </c>
      <c r="T365" s="221" t="s">
        <v>330</v>
      </c>
      <c r="U365" s="221" t="s">
        <v>250</v>
      </c>
      <c r="V365" s="221" t="s">
        <v>283</v>
      </c>
      <c r="W365" s="222" t="s">
        <v>283</v>
      </c>
      <c r="X365" s="222" t="s">
        <v>283</v>
      </c>
      <c r="Y365" s="223" t="s">
        <v>283</v>
      </c>
    </row>
    <row r="366" spans="1:25">
      <c r="A366" s="217">
        <v>7</v>
      </c>
      <c r="B366" s="218" t="str">
        <f>VLOOKUP(Tabel10[[#This Row],[Code]],Ruimtegroepen[[Code]:[Ruimte omschrijving]],2,FALSE)</f>
        <v>Entree</v>
      </c>
      <c r="C366" s="219" t="s">
        <v>588</v>
      </c>
      <c r="D366" s="218" t="s">
        <v>12</v>
      </c>
      <c r="E366" s="219" t="s">
        <v>101</v>
      </c>
      <c r="F366" s="219" t="s">
        <v>591</v>
      </c>
      <c r="G366" s="224" t="s">
        <v>283</v>
      </c>
      <c r="H366" s="220" t="s">
        <v>283</v>
      </c>
      <c r="I366" s="220" t="s">
        <v>18</v>
      </c>
      <c r="J366" s="220" t="s">
        <v>283</v>
      </c>
      <c r="K366" s="220" t="s">
        <v>18</v>
      </c>
      <c r="L366" s="220" t="s">
        <v>283</v>
      </c>
      <c r="M366" s="220" t="s">
        <v>283</v>
      </c>
      <c r="N366" s="220" t="s">
        <v>283</v>
      </c>
      <c r="O366" s="221" t="s">
        <v>18</v>
      </c>
      <c r="P366" s="221" t="s">
        <v>18</v>
      </c>
      <c r="Q366" s="221" t="s">
        <v>15</v>
      </c>
      <c r="R366" s="221" t="s">
        <v>15</v>
      </c>
      <c r="S366" s="221" t="s">
        <v>16</v>
      </c>
      <c r="T366" s="221" t="s">
        <v>330</v>
      </c>
      <c r="U366" s="221" t="s">
        <v>250</v>
      </c>
      <c r="V366" s="221" t="s">
        <v>283</v>
      </c>
      <c r="W366" s="222" t="s">
        <v>283</v>
      </c>
      <c r="X366" s="222" t="s">
        <v>283</v>
      </c>
      <c r="Y366" s="223" t="s">
        <v>283</v>
      </c>
    </row>
    <row r="367" spans="1:25">
      <c r="A367" s="217">
        <v>7</v>
      </c>
      <c r="B367" s="218" t="str">
        <f>VLOOKUP(Tabel10[[#This Row],[Code]],Ruimtegroepen[[Code]:[Ruimte omschrijving]],2,FALSE)</f>
        <v>Entree</v>
      </c>
      <c r="C367" s="219" t="s">
        <v>588</v>
      </c>
      <c r="D367" s="218" t="s">
        <v>12</v>
      </c>
      <c r="E367" s="219" t="s">
        <v>102</v>
      </c>
      <c r="F367" s="219" t="s">
        <v>592</v>
      </c>
      <c r="G367" s="224" t="s">
        <v>283</v>
      </c>
      <c r="H367" s="220" t="s">
        <v>283</v>
      </c>
      <c r="I367" s="220" t="s">
        <v>18</v>
      </c>
      <c r="J367" s="220" t="s">
        <v>283</v>
      </c>
      <c r="K367" s="220" t="s">
        <v>18</v>
      </c>
      <c r="L367" s="220" t="s">
        <v>283</v>
      </c>
      <c r="M367" s="220" t="s">
        <v>283</v>
      </c>
      <c r="N367" s="220" t="s">
        <v>283</v>
      </c>
      <c r="O367" s="221" t="s">
        <v>18</v>
      </c>
      <c r="P367" s="221" t="s">
        <v>18</v>
      </c>
      <c r="Q367" s="221" t="s">
        <v>15</v>
      </c>
      <c r="R367" s="221" t="s">
        <v>15</v>
      </c>
      <c r="S367" s="221" t="s">
        <v>16</v>
      </c>
      <c r="T367" s="221" t="s">
        <v>330</v>
      </c>
      <c r="U367" s="221" t="s">
        <v>250</v>
      </c>
      <c r="V367" s="221" t="s">
        <v>283</v>
      </c>
      <c r="W367" s="222" t="s">
        <v>283</v>
      </c>
      <c r="X367" s="222" t="s">
        <v>283</v>
      </c>
      <c r="Y367" s="223" t="s">
        <v>283</v>
      </c>
    </row>
    <row r="368" spans="1:25">
      <c r="A368" s="217">
        <v>7</v>
      </c>
      <c r="B368" s="218" t="str">
        <f>VLOOKUP(Tabel10[[#This Row],[Code]],Ruimtegroepen[[Code]:[Ruimte omschrijving]],2,FALSE)</f>
        <v>Entree</v>
      </c>
      <c r="C368" s="219" t="s">
        <v>588</v>
      </c>
      <c r="D368" s="218" t="s">
        <v>12</v>
      </c>
      <c r="E368" s="219" t="s">
        <v>99</v>
      </c>
      <c r="F368" s="219" t="s">
        <v>590</v>
      </c>
      <c r="G368" s="224" t="s">
        <v>283</v>
      </c>
      <c r="H368" s="220" t="s">
        <v>18</v>
      </c>
      <c r="I368" s="220" t="s">
        <v>283</v>
      </c>
      <c r="J368" s="220" t="s">
        <v>283</v>
      </c>
      <c r="K368" s="220" t="s">
        <v>283</v>
      </c>
      <c r="L368" s="220" t="s">
        <v>283</v>
      </c>
      <c r="M368" s="220" t="s">
        <v>283</v>
      </c>
      <c r="N368" s="220" t="s">
        <v>283</v>
      </c>
      <c r="O368" s="221" t="s">
        <v>18</v>
      </c>
      <c r="P368" s="221" t="s">
        <v>18</v>
      </c>
      <c r="Q368" s="221" t="s">
        <v>15</v>
      </c>
      <c r="R368" s="221" t="s">
        <v>15</v>
      </c>
      <c r="S368" s="221" t="s">
        <v>16</v>
      </c>
      <c r="T368" s="221" t="s">
        <v>330</v>
      </c>
      <c r="U368" s="221" t="s">
        <v>250</v>
      </c>
      <c r="V368" s="221" t="s">
        <v>283</v>
      </c>
      <c r="W368" s="222" t="s">
        <v>283</v>
      </c>
      <c r="X368" s="222" t="s">
        <v>283</v>
      </c>
      <c r="Y368" s="223" t="s">
        <v>283</v>
      </c>
    </row>
    <row r="369" spans="1:25">
      <c r="A369" s="217">
        <v>7</v>
      </c>
      <c r="B369" s="218" t="str">
        <f>VLOOKUP(Tabel10[[#This Row],[Code]],Ruimtegroepen[[Code]:[Ruimte omschrijving]],2,FALSE)</f>
        <v>Entree</v>
      </c>
      <c r="C369" s="219" t="s">
        <v>588</v>
      </c>
      <c r="D369" s="218" t="s">
        <v>12</v>
      </c>
      <c r="E369" s="219" t="s">
        <v>1313</v>
      </c>
      <c r="F369" s="219" t="s">
        <v>1433</v>
      </c>
      <c r="G369" s="224" t="s">
        <v>283</v>
      </c>
      <c r="H369" s="220" t="s">
        <v>283</v>
      </c>
      <c r="I369" s="220" t="s">
        <v>18</v>
      </c>
      <c r="J369" s="220" t="s">
        <v>283</v>
      </c>
      <c r="K369" s="220" t="s">
        <v>18</v>
      </c>
      <c r="L369" s="220" t="s">
        <v>283</v>
      </c>
      <c r="M369" s="220" t="s">
        <v>283</v>
      </c>
      <c r="N369" s="220" t="s">
        <v>283</v>
      </c>
      <c r="O369" s="221" t="s">
        <v>18</v>
      </c>
      <c r="P369" s="221" t="s">
        <v>18</v>
      </c>
      <c r="Q369" s="221" t="s">
        <v>15</v>
      </c>
      <c r="R369" s="221" t="s">
        <v>15</v>
      </c>
      <c r="S369" s="221" t="s">
        <v>16</v>
      </c>
      <c r="T369" s="221" t="s">
        <v>330</v>
      </c>
      <c r="U369" s="221" t="s">
        <v>250</v>
      </c>
      <c r="V369" s="221" t="s">
        <v>283</v>
      </c>
      <c r="W369" s="222" t="s">
        <v>283</v>
      </c>
      <c r="X369" s="222" t="s">
        <v>283</v>
      </c>
      <c r="Y369" s="223" t="s">
        <v>283</v>
      </c>
    </row>
    <row r="370" spans="1:25">
      <c r="A370" s="217">
        <v>7</v>
      </c>
      <c r="B370" s="218" t="str">
        <f>VLOOKUP(Tabel10[[#This Row],[Code]],Ruimtegroepen[[Code]:[Ruimte omschrijving]],2,FALSE)</f>
        <v>Entree</v>
      </c>
      <c r="C370" s="219" t="s">
        <v>593</v>
      </c>
      <c r="D370" s="218" t="s">
        <v>14</v>
      </c>
      <c r="E370" s="219" t="s">
        <v>100</v>
      </c>
      <c r="F370" s="219" t="s">
        <v>594</v>
      </c>
      <c r="G370" s="224" t="s">
        <v>283</v>
      </c>
      <c r="H370" s="220" t="s">
        <v>283</v>
      </c>
      <c r="I370" s="220" t="s">
        <v>17</v>
      </c>
      <c r="J370" s="220" t="s">
        <v>283</v>
      </c>
      <c r="K370" s="220" t="s">
        <v>15</v>
      </c>
      <c r="L370" s="220" t="s">
        <v>283</v>
      </c>
      <c r="M370" s="220" t="s">
        <v>283</v>
      </c>
      <c r="N370" s="220" t="s">
        <v>283</v>
      </c>
      <c r="O370" s="221" t="s">
        <v>17</v>
      </c>
      <c r="P370" s="221" t="s">
        <v>17</v>
      </c>
      <c r="Q370" s="221" t="s">
        <v>15</v>
      </c>
      <c r="R370" s="221" t="s">
        <v>15</v>
      </c>
      <c r="S370" s="221" t="s">
        <v>16</v>
      </c>
      <c r="T370" s="221" t="s">
        <v>330</v>
      </c>
      <c r="U370" s="221" t="s">
        <v>250</v>
      </c>
      <c r="V370" s="221" t="s">
        <v>283</v>
      </c>
      <c r="W370" s="222" t="s">
        <v>283</v>
      </c>
      <c r="X370" s="222" t="s">
        <v>283</v>
      </c>
      <c r="Y370" s="223" t="s">
        <v>283</v>
      </c>
    </row>
    <row r="371" spans="1:25">
      <c r="A371" s="217">
        <v>7</v>
      </c>
      <c r="B371" s="218" t="str">
        <f>VLOOKUP(Tabel10[[#This Row],[Code]],Ruimtegroepen[[Code]:[Ruimte omschrijving]],2,FALSE)</f>
        <v>Entree</v>
      </c>
      <c r="C371" s="219" t="s">
        <v>593</v>
      </c>
      <c r="D371" s="218" t="s">
        <v>14</v>
      </c>
      <c r="E371" s="219" t="s">
        <v>99</v>
      </c>
      <c r="F371" s="219" t="s">
        <v>595</v>
      </c>
      <c r="G371" s="224" t="s">
        <v>283</v>
      </c>
      <c r="H371" s="220" t="s">
        <v>17</v>
      </c>
      <c r="I371" s="220" t="s">
        <v>283</v>
      </c>
      <c r="J371" s="220" t="s">
        <v>283</v>
      </c>
      <c r="K371" s="220" t="s">
        <v>283</v>
      </c>
      <c r="L371" s="220" t="s">
        <v>283</v>
      </c>
      <c r="M371" s="220" t="s">
        <v>283</v>
      </c>
      <c r="N371" s="220" t="s">
        <v>283</v>
      </c>
      <c r="O371" s="221" t="s">
        <v>17</v>
      </c>
      <c r="P371" s="221" t="s">
        <v>17</v>
      </c>
      <c r="Q371" s="221" t="s">
        <v>15</v>
      </c>
      <c r="R371" s="221" t="s">
        <v>15</v>
      </c>
      <c r="S371" s="221" t="s">
        <v>16</v>
      </c>
      <c r="T371" s="221" t="s">
        <v>330</v>
      </c>
      <c r="U371" s="221" t="s">
        <v>250</v>
      </c>
      <c r="V371" s="221" t="s">
        <v>283</v>
      </c>
      <c r="W371" s="222" t="s">
        <v>283</v>
      </c>
      <c r="X371" s="222" t="s">
        <v>283</v>
      </c>
      <c r="Y371" s="223" t="s">
        <v>283</v>
      </c>
    </row>
    <row r="372" spans="1:25">
      <c r="A372" s="217">
        <v>7</v>
      </c>
      <c r="B372" s="218" t="str">
        <f>VLOOKUP(Tabel10[[#This Row],[Code]],Ruimtegroepen[[Code]:[Ruimte omschrijving]],2,FALSE)</f>
        <v>Entree</v>
      </c>
      <c r="C372" s="219" t="s">
        <v>593</v>
      </c>
      <c r="D372" s="218" t="s">
        <v>14</v>
      </c>
      <c r="E372" s="219" t="s">
        <v>101</v>
      </c>
      <c r="F372" s="219" t="s">
        <v>596</v>
      </c>
      <c r="G372" s="224" t="s">
        <v>283</v>
      </c>
      <c r="H372" s="220" t="s">
        <v>283</v>
      </c>
      <c r="I372" s="220" t="s">
        <v>17</v>
      </c>
      <c r="J372" s="220" t="s">
        <v>283</v>
      </c>
      <c r="K372" s="220" t="s">
        <v>17</v>
      </c>
      <c r="L372" s="220" t="s">
        <v>283</v>
      </c>
      <c r="M372" s="220" t="s">
        <v>283</v>
      </c>
      <c r="N372" s="220" t="s">
        <v>283</v>
      </c>
      <c r="O372" s="221" t="s">
        <v>17</v>
      </c>
      <c r="P372" s="221" t="s">
        <v>17</v>
      </c>
      <c r="Q372" s="221" t="s">
        <v>15</v>
      </c>
      <c r="R372" s="221" t="s">
        <v>15</v>
      </c>
      <c r="S372" s="221" t="s">
        <v>16</v>
      </c>
      <c r="T372" s="221" t="s">
        <v>330</v>
      </c>
      <c r="U372" s="221" t="s">
        <v>250</v>
      </c>
      <c r="V372" s="221" t="s">
        <v>283</v>
      </c>
      <c r="W372" s="222" t="s">
        <v>283</v>
      </c>
      <c r="X372" s="222" t="s">
        <v>283</v>
      </c>
      <c r="Y372" s="223" t="s">
        <v>283</v>
      </c>
    </row>
    <row r="373" spans="1:25">
      <c r="A373" s="217">
        <v>7</v>
      </c>
      <c r="B373" s="218" t="str">
        <f>VLOOKUP(Tabel10[[#This Row],[Code]],Ruimtegroepen[[Code]:[Ruimte omschrijving]],2,FALSE)</f>
        <v>Entree</v>
      </c>
      <c r="C373" s="219" t="s">
        <v>593</v>
      </c>
      <c r="D373" s="218" t="s">
        <v>14</v>
      </c>
      <c r="E373" s="219" t="s">
        <v>102</v>
      </c>
      <c r="F373" s="219" t="s">
        <v>597</v>
      </c>
      <c r="G373" s="224" t="s">
        <v>283</v>
      </c>
      <c r="H373" s="220" t="s">
        <v>283</v>
      </c>
      <c r="I373" s="220" t="s">
        <v>17</v>
      </c>
      <c r="J373" s="220" t="s">
        <v>283</v>
      </c>
      <c r="K373" s="220" t="s">
        <v>17</v>
      </c>
      <c r="L373" s="220" t="s">
        <v>283</v>
      </c>
      <c r="M373" s="220" t="s">
        <v>283</v>
      </c>
      <c r="N373" s="220" t="s">
        <v>283</v>
      </c>
      <c r="O373" s="221" t="s">
        <v>17</v>
      </c>
      <c r="P373" s="221" t="s">
        <v>17</v>
      </c>
      <c r="Q373" s="221" t="s">
        <v>15</v>
      </c>
      <c r="R373" s="221" t="s">
        <v>15</v>
      </c>
      <c r="S373" s="221" t="s">
        <v>16</v>
      </c>
      <c r="T373" s="221" t="s">
        <v>330</v>
      </c>
      <c r="U373" s="221" t="s">
        <v>250</v>
      </c>
      <c r="V373" s="221" t="s">
        <v>283</v>
      </c>
      <c r="W373" s="222" t="s">
        <v>283</v>
      </c>
      <c r="X373" s="222" t="s">
        <v>283</v>
      </c>
      <c r="Y373" s="223" t="s">
        <v>283</v>
      </c>
    </row>
    <row r="374" spans="1:25">
      <c r="A374" s="217">
        <v>7</v>
      </c>
      <c r="B374" s="218" t="str">
        <f>VLOOKUP(Tabel10[[#This Row],[Code]],Ruimtegroepen[[Code]:[Ruimte omschrijving]],2,FALSE)</f>
        <v>Entree</v>
      </c>
      <c r="C374" s="219" t="s">
        <v>593</v>
      </c>
      <c r="D374" s="218" t="s">
        <v>14</v>
      </c>
      <c r="E374" s="219" t="s">
        <v>99</v>
      </c>
      <c r="F374" s="219" t="s">
        <v>595</v>
      </c>
      <c r="G374" s="224" t="s">
        <v>283</v>
      </c>
      <c r="H374" s="220" t="s">
        <v>17</v>
      </c>
      <c r="I374" s="220" t="s">
        <v>283</v>
      </c>
      <c r="J374" s="220" t="s">
        <v>283</v>
      </c>
      <c r="K374" s="220" t="s">
        <v>283</v>
      </c>
      <c r="L374" s="220" t="s">
        <v>283</v>
      </c>
      <c r="M374" s="220" t="s">
        <v>283</v>
      </c>
      <c r="N374" s="220" t="s">
        <v>283</v>
      </c>
      <c r="O374" s="221" t="s">
        <v>17</v>
      </c>
      <c r="P374" s="221" t="s">
        <v>17</v>
      </c>
      <c r="Q374" s="221" t="s">
        <v>15</v>
      </c>
      <c r="R374" s="221" t="s">
        <v>15</v>
      </c>
      <c r="S374" s="221" t="s">
        <v>16</v>
      </c>
      <c r="T374" s="221" t="s">
        <v>330</v>
      </c>
      <c r="U374" s="221" t="s">
        <v>250</v>
      </c>
      <c r="V374" s="221" t="s">
        <v>283</v>
      </c>
      <c r="W374" s="222" t="s">
        <v>283</v>
      </c>
      <c r="X374" s="222" t="s">
        <v>283</v>
      </c>
      <c r="Y374" s="223" t="s">
        <v>283</v>
      </c>
    </row>
    <row r="375" spans="1:25">
      <c r="A375" s="217">
        <v>7</v>
      </c>
      <c r="B375" s="218" t="str">
        <f>VLOOKUP(Tabel10[[#This Row],[Code]],Ruimtegroepen[[Code]:[Ruimte omschrijving]],2,FALSE)</f>
        <v>Entree</v>
      </c>
      <c r="C375" s="219" t="s">
        <v>593</v>
      </c>
      <c r="D375" s="218" t="s">
        <v>14</v>
      </c>
      <c r="E375" s="219" t="s">
        <v>1313</v>
      </c>
      <c r="F375" s="219" t="s">
        <v>1400</v>
      </c>
      <c r="G375" s="224" t="s">
        <v>283</v>
      </c>
      <c r="H375" s="220" t="s">
        <v>283</v>
      </c>
      <c r="I375" s="220" t="s">
        <v>17</v>
      </c>
      <c r="J375" s="220" t="s">
        <v>283</v>
      </c>
      <c r="K375" s="220" t="s">
        <v>17</v>
      </c>
      <c r="L375" s="220" t="s">
        <v>283</v>
      </c>
      <c r="M375" s="220" t="s">
        <v>283</v>
      </c>
      <c r="N375" s="220" t="s">
        <v>283</v>
      </c>
      <c r="O375" s="221" t="s">
        <v>17</v>
      </c>
      <c r="P375" s="221" t="s">
        <v>17</v>
      </c>
      <c r="Q375" s="221" t="s">
        <v>15</v>
      </c>
      <c r="R375" s="221" t="s">
        <v>15</v>
      </c>
      <c r="S375" s="221" t="s">
        <v>16</v>
      </c>
      <c r="T375" s="221" t="s">
        <v>330</v>
      </c>
      <c r="U375" s="221" t="s">
        <v>250</v>
      </c>
      <c r="V375" s="221" t="s">
        <v>283</v>
      </c>
      <c r="W375" s="222" t="s">
        <v>283</v>
      </c>
      <c r="X375" s="222" t="s">
        <v>283</v>
      </c>
      <c r="Y375" s="223" t="s">
        <v>283</v>
      </c>
    </row>
    <row r="376" spans="1:25">
      <c r="A376" s="217">
        <v>7</v>
      </c>
      <c r="B376" s="218" t="str">
        <f>VLOOKUP(Tabel10[[#This Row],[Code]],Ruimtegroepen[[Code]:[Ruimte omschrijving]],2,FALSE)</f>
        <v>Entree</v>
      </c>
      <c r="C376" s="219" t="s">
        <v>598</v>
      </c>
      <c r="D376" s="218" t="s">
        <v>13</v>
      </c>
      <c r="E376" s="219" t="s">
        <v>100</v>
      </c>
      <c r="F376" s="219" t="s">
        <v>599</v>
      </c>
      <c r="G376" s="224" t="s">
        <v>283</v>
      </c>
      <c r="H376" s="220" t="s">
        <v>283</v>
      </c>
      <c r="I376" s="220" t="s">
        <v>283</v>
      </c>
      <c r="J376" s="220" t="s">
        <v>15</v>
      </c>
      <c r="K376" s="220" t="s">
        <v>283</v>
      </c>
      <c r="L376" s="220" t="s">
        <v>283</v>
      </c>
      <c r="M376" s="220" t="s">
        <v>283</v>
      </c>
      <c r="N376" s="220" t="s">
        <v>283</v>
      </c>
      <c r="O376" s="221" t="s">
        <v>15</v>
      </c>
      <c r="P376" s="221" t="s">
        <v>15</v>
      </c>
      <c r="Q376" s="221" t="s">
        <v>15</v>
      </c>
      <c r="R376" s="221" t="s">
        <v>15</v>
      </c>
      <c r="S376" s="221" t="s">
        <v>16</v>
      </c>
      <c r="T376" s="221" t="s">
        <v>330</v>
      </c>
      <c r="U376" s="221" t="s">
        <v>250</v>
      </c>
      <c r="V376" s="221" t="s">
        <v>283</v>
      </c>
      <c r="W376" s="222" t="s">
        <v>283</v>
      </c>
      <c r="X376" s="222" t="s">
        <v>283</v>
      </c>
      <c r="Y376" s="223" t="s">
        <v>283</v>
      </c>
    </row>
    <row r="377" spans="1:25">
      <c r="A377" s="217">
        <v>7</v>
      </c>
      <c r="B377" s="218" t="str">
        <f>VLOOKUP(Tabel10[[#This Row],[Code]],Ruimtegroepen[[Code]:[Ruimte omschrijving]],2,FALSE)</f>
        <v>Entree</v>
      </c>
      <c r="C377" s="219" t="s">
        <v>598</v>
      </c>
      <c r="D377" s="218" t="s">
        <v>13</v>
      </c>
      <c r="E377" s="219" t="s">
        <v>99</v>
      </c>
      <c r="F377" s="219" t="s">
        <v>600</v>
      </c>
      <c r="G377" s="224" t="s">
        <v>283</v>
      </c>
      <c r="H377" s="220" t="s">
        <v>15</v>
      </c>
      <c r="I377" s="220" t="s">
        <v>283</v>
      </c>
      <c r="J377" s="220" t="s">
        <v>283</v>
      </c>
      <c r="K377" s="220" t="s">
        <v>283</v>
      </c>
      <c r="L377" s="220" t="s">
        <v>283</v>
      </c>
      <c r="M377" s="220" t="s">
        <v>283</v>
      </c>
      <c r="N377" s="220" t="s">
        <v>283</v>
      </c>
      <c r="O377" s="221" t="s">
        <v>15</v>
      </c>
      <c r="P377" s="221" t="s">
        <v>15</v>
      </c>
      <c r="Q377" s="221" t="s">
        <v>15</v>
      </c>
      <c r="R377" s="221" t="s">
        <v>15</v>
      </c>
      <c r="S377" s="221" t="s">
        <v>16</v>
      </c>
      <c r="T377" s="221" t="s">
        <v>330</v>
      </c>
      <c r="U377" s="221" t="s">
        <v>250</v>
      </c>
      <c r="V377" s="221" t="s">
        <v>283</v>
      </c>
      <c r="W377" s="222" t="s">
        <v>283</v>
      </c>
      <c r="X377" s="222" t="s">
        <v>283</v>
      </c>
      <c r="Y377" s="223" t="s">
        <v>283</v>
      </c>
    </row>
    <row r="378" spans="1:25">
      <c r="A378" s="217">
        <v>7</v>
      </c>
      <c r="B378" s="218" t="str">
        <f>VLOOKUP(Tabel10[[#This Row],[Code]],Ruimtegroepen[[Code]:[Ruimte omschrijving]],2,FALSE)</f>
        <v>Entree</v>
      </c>
      <c r="C378" s="219" t="s">
        <v>598</v>
      </c>
      <c r="D378" s="218" t="s">
        <v>13</v>
      </c>
      <c r="E378" s="219" t="s">
        <v>101</v>
      </c>
      <c r="F378" s="219" t="s">
        <v>601</v>
      </c>
      <c r="G378" s="224" t="s">
        <v>283</v>
      </c>
      <c r="H378" s="220" t="s">
        <v>283</v>
      </c>
      <c r="I378" s="220" t="s">
        <v>15</v>
      </c>
      <c r="J378" s="220" t="s">
        <v>283</v>
      </c>
      <c r="K378" s="220" t="s">
        <v>15</v>
      </c>
      <c r="L378" s="220" t="s">
        <v>283</v>
      </c>
      <c r="M378" s="220" t="s">
        <v>283</v>
      </c>
      <c r="N378" s="220" t="s">
        <v>283</v>
      </c>
      <c r="O378" s="221" t="s">
        <v>15</v>
      </c>
      <c r="P378" s="221" t="s">
        <v>15</v>
      </c>
      <c r="Q378" s="221" t="s">
        <v>15</v>
      </c>
      <c r="R378" s="221" t="s">
        <v>15</v>
      </c>
      <c r="S378" s="221" t="s">
        <v>16</v>
      </c>
      <c r="T378" s="221" t="s">
        <v>330</v>
      </c>
      <c r="U378" s="221" t="s">
        <v>250</v>
      </c>
      <c r="V378" s="221" t="s">
        <v>283</v>
      </c>
      <c r="W378" s="222" t="s">
        <v>283</v>
      </c>
      <c r="X378" s="222" t="s">
        <v>283</v>
      </c>
      <c r="Y378" s="223" t="s">
        <v>283</v>
      </c>
    </row>
    <row r="379" spans="1:25">
      <c r="A379" s="217">
        <v>7</v>
      </c>
      <c r="B379" s="218" t="str">
        <f>VLOOKUP(Tabel10[[#This Row],[Code]],Ruimtegroepen[[Code]:[Ruimte omschrijving]],2,FALSE)</f>
        <v>Entree</v>
      </c>
      <c r="C379" s="219" t="s">
        <v>598</v>
      </c>
      <c r="D379" s="218" t="s">
        <v>13</v>
      </c>
      <c r="E379" s="219" t="s">
        <v>102</v>
      </c>
      <c r="F379" s="219" t="s">
        <v>602</v>
      </c>
      <c r="G379" s="224" t="s">
        <v>283</v>
      </c>
      <c r="H379" s="220" t="s">
        <v>283</v>
      </c>
      <c r="I379" s="220" t="s">
        <v>15</v>
      </c>
      <c r="J379" s="220" t="s">
        <v>283</v>
      </c>
      <c r="K379" s="220" t="s">
        <v>15</v>
      </c>
      <c r="L379" s="220" t="s">
        <v>283</v>
      </c>
      <c r="M379" s="220" t="s">
        <v>283</v>
      </c>
      <c r="N379" s="220" t="s">
        <v>283</v>
      </c>
      <c r="O379" s="221" t="s">
        <v>15</v>
      </c>
      <c r="P379" s="221" t="s">
        <v>15</v>
      </c>
      <c r="Q379" s="221" t="s">
        <v>15</v>
      </c>
      <c r="R379" s="221" t="s">
        <v>15</v>
      </c>
      <c r="S379" s="221" t="s">
        <v>16</v>
      </c>
      <c r="T379" s="221" t="s">
        <v>330</v>
      </c>
      <c r="U379" s="221" t="s">
        <v>250</v>
      </c>
      <c r="V379" s="221" t="s">
        <v>283</v>
      </c>
      <c r="W379" s="222" t="s">
        <v>283</v>
      </c>
      <c r="X379" s="222" t="s">
        <v>283</v>
      </c>
      <c r="Y379" s="223" t="s">
        <v>283</v>
      </c>
    </row>
    <row r="380" spans="1:25">
      <c r="A380" s="217">
        <v>7</v>
      </c>
      <c r="B380" s="218" t="str">
        <f>VLOOKUP(Tabel10[[#This Row],[Code]],Ruimtegroepen[[Code]:[Ruimte omschrijving]],2,FALSE)</f>
        <v>Entree</v>
      </c>
      <c r="C380" s="219" t="s">
        <v>598</v>
      </c>
      <c r="D380" s="218" t="s">
        <v>13</v>
      </c>
      <c r="E380" s="219" t="s">
        <v>99</v>
      </c>
      <c r="F380" s="219" t="s">
        <v>600</v>
      </c>
      <c r="G380" s="224" t="s">
        <v>283</v>
      </c>
      <c r="H380" s="220" t="s">
        <v>15</v>
      </c>
      <c r="I380" s="220" t="s">
        <v>283</v>
      </c>
      <c r="J380" s="220" t="s">
        <v>283</v>
      </c>
      <c r="K380" s="220" t="s">
        <v>283</v>
      </c>
      <c r="L380" s="220" t="s">
        <v>283</v>
      </c>
      <c r="M380" s="220" t="s">
        <v>283</v>
      </c>
      <c r="N380" s="220" t="s">
        <v>283</v>
      </c>
      <c r="O380" s="221" t="s">
        <v>15</v>
      </c>
      <c r="P380" s="221" t="s">
        <v>15</v>
      </c>
      <c r="Q380" s="221" t="s">
        <v>15</v>
      </c>
      <c r="R380" s="221" t="s">
        <v>15</v>
      </c>
      <c r="S380" s="221" t="s">
        <v>16</v>
      </c>
      <c r="T380" s="221" t="s">
        <v>330</v>
      </c>
      <c r="U380" s="221" t="s">
        <v>250</v>
      </c>
      <c r="V380" s="221" t="s">
        <v>283</v>
      </c>
      <c r="W380" s="222" t="s">
        <v>283</v>
      </c>
      <c r="X380" s="222" t="s">
        <v>283</v>
      </c>
      <c r="Y380" s="223" t="s">
        <v>283</v>
      </c>
    </row>
    <row r="381" spans="1:25">
      <c r="A381" s="217">
        <v>7</v>
      </c>
      <c r="B381" s="218" t="str">
        <f>VLOOKUP(Tabel10[[#This Row],[Code]],Ruimtegroepen[[Code]:[Ruimte omschrijving]],2,FALSE)</f>
        <v>Entree</v>
      </c>
      <c r="C381" s="219" t="s">
        <v>598</v>
      </c>
      <c r="D381" s="218" t="s">
        <v>13</v>
      </c>
      <c r="E381" s="219" t="s">
        <v>1313</v>
      </c>
      <c r="F381" s="219" t="s">
        <v>1367</v>
      </c>
      <c r="G381" s="224" t="s">
        <v>283</v>
      </c>
      <c r="H381" s="220" t="s">
        <v>283</v>
      </c>
      <c r="I381" s="220" t="s">
        <v>15</v>
      </c>
      <c r="J381" s="220" t="s">
        <v>283</v>
      </c>
      <c r="K381" s="220" t="s">
        <v>15</v>
      </c>
      <c r="L381" s="220" t="s">
        <v>283</v>
      </c>
      <c r="M381" s="220" t="s">
        <v>283</v>
      </c>
      <c r="N381" s="220" t="s">
        <v>283</v>
      </c>
      <c r="O381" s="221" t="s">
        <v>15</v>
      </c>
      <c r="P381" s="221" t="s">
        <v>15</v>
      </c>
      <c r="Q381" s="221" t="s">
        <v>15</v>
      </c>
      <c r="R381" s="221" t="s">
        <v>15</v>
      </c>
      <c r="S381" s="221" t="s">
        <v>16</v>
      </c>
      <c r="T381" s="221" t="s">
        <v>330</v>
      </c>
      <c r="U381" s="221" t="s">
        <v>250</v>
      </c>
      <c r="V381" s="221" t="s">
        <v>283</v>
      </c>
      <c r="W381" s="222" t="s">
        <v>283</v>
      </c>
      <c r="X381" s="222" t="s">
        <v>283</v>
      </c>
      <c r="Y381" s="223" t="s">
        <v>283</v>
      </c>
    </row>
    <row r="382" spans="1:25">
      <c r="A382" s="217">
        <v>7</v>
      </c>
      <c r="B382" s="218" t="str">
        <f>VLOOKUP(Tabel10[[#This Row],[Code]],Ruimtegroepen[[Code]:[Ruimte omschrijving]],2,FALSE)</f>
        <v>Entree</v>
      </c>
      <c r="C382" s="219" t="s">
        <v>603</v>
      </c>
      <c r="D382" s="218" t="s">
        <v>0</v>
      </c>
      <c r="E382" s="219" t="s">
        <v>100</v>
      </c>
      <c r="F382" s="219" t="s">
        <v>604</v>
      </c>
      <c r="G382" s="224" t="s">
        <v>283</v>
      </c>
      <c r="H382" s="220" t="s">
        <v>283</v>
      </c>
      <c r="I382" s="220" t="s">
        <v>283</v>
      </c>
      <c r="J382" s="220" t="s">
        <v>16</v>
      </c>
      <c r="K382" s="220" t="s">
        <v>283</v>
      </c>
      <c r="L382" s="220" t="s">
        <v>283</v>
      </c>
      <c r="M382" s="220" t="s">
        <v>283</v>
      </c>
      <c r="N382" s="220" t="s">
        <v>283</v>
      </c>
      <c r="O382" s="221" t="s">
        <v>16</v>
      </c>
      <c r="P382" s="221" t="s">
        <v>16</v>
      </c>
      <c r="Q382" s="221" t="s">
        <v>16</v>
      </c>
      <c r="R382" s="221" t="s">
        <v>16</v>
      </c>
      <c r="S382" s="221" t="s">
        <v>16</v>
      </c>
      <c r="T382" s="221" t="s">
        <v>330</v>
      </c>
      <c r="U382" s="221" t="s">
        <v>250</v>
      </c>
      <c r="V382" s="221" t="s">
        <v>283</v>
      </c>
      <c r="W382" s="222" t="s">
        <v>283</v>
      </c>
      <c r="X382" s="222" t="s">
        <v>283</v>
      </c>
      <c r="Y382" s="223" t="s">
        <v>283</v>
      </c>
    </row>
    <row r="383" spans="1:25">
      <c r="A383" s="217">
        <v>7</v>
      </c>
      <c r="B383" s="218" t="str">
        <f>VLOOKUP(Tabel10[[#This Row],[Code]],Ruimtegroepen[[Code]:[Ruimte omschrijving]],2,FALSE)</f>
        <v>Entree</v>
      </c>
      <c r="C383" s="219" t="s">
        <v>603</v>
      </c>
      <c r="D383" s="218" t="s">
        <v>0</v>
      </c>
      <c r="E383" s="219" t="s">
        <v>99</v>
      </c>
      <c r="F383" s="219" t="s">
        <v>605</v>
      </c>
      <c r="G383" s="224" t="s">
        <v>283</v>
      </c>
      <c r="H383" s="220" t="s">
        <v>16</v>
      </c>
      <c r="I383" s="220" t="s">
        <v>283</v>
      </c>
      <c r="J383" s="220" t="s">
        <v>283</v>
      </c>
      <c r="K383" s="220" t="s">
        <v>283</v>
      </c>
      <c r="L383" s="220" t="s">
        <v>283</v>
      </c>
      <c r="M383" s="220" t="s">
        <v>283</v>
      </c>
      <c r="N383" s="220" t="s">
        <v>283</v>
      </c>
      <c r="O383" s="221" t="s">
        <v>16</v>
      </c>
      <c r="P383" s="221" t="s">
        <v>16</v>
      </c>
      <c r="Q383" s="221" t="s">
        <v>16</v>
      </c>
      <c r="R383" s="221" t="s">
        <v>16</v>
      </c>
      <c r="S383" s="221" t="s">
        <v>16</v>
      </c>
      <c r="T383" s="221" t="s">
        <v>330</v>
      </c>
      <c r="U383" s="221" t="s">
        <v>250</v>
      </c>
      <c r="V383" s="221" t="s">
        <v>283</v>
      </c>
      <c r="W383" s="222" t="s">
        <v>283</v>
      </c>
      <c r="X383" s="222" t="s">
        <v>283</v>
      </c>
      <c r="Y383" s="223" t="s">
        <v>283</v>
      </c>
    </row>
    <row r="384" spans="1:25">
      <c r="A384" s="217">
        <v>7</v>
      </c>
      <c r="B384" s="218" t="str">
        <f>VLOOKUP(Tabel10[[#This Row],[Code]],Ruimtegroepen[[Code]:[Ruimte omschrijving]],2,FALSE)</f>
        <v>Entree</v>
      </c>
      <c r="C384" s="219" t="s">
        <v>603</v>
      </c>
      <c r="D384" s="218" t="s">
        <v>0</v>
      </c>
      <c r="E384" s="219" t="s">
        <v>101</v>
      </c>
      <c r="F384" s="219" t="s">
        <v>606</v>
      </c>
      <c r="G384" s="224" t="s">
        <v>283</v>
      </c>
      <c r="H384" s="220" t="s">
        <v>283</v>
      </c>
      <c r="I384" s="220" t="s">
        <v>16</v>
      </c>
      <c r="J384" s="220" t="s">
        <v>283</v>
      </c>
      <c r="K384" s="220" t="s">
        <v>16</v>
      </c>
      <c r="L384" s="220" t="s">
        <v>283</v>
      </c>
      <c r="M384" s="220" t="s">
        <v>283</v>
      </c>
      <c r="N384" s="220" t="s">
        <v>283</v>
      </c>
      <c r="O384" s="221" t="s">
        <v>16</v>
      </c>
      <c r="P384" s="221" t="s">
        <v>16</v>
      </c>
      <c r="Q384" s="221" t="s">
        <v>16</v>
      </c>
      <c r="R384" s="221" t="s">
        <v>16</v>
      </c>
      <c r="S384" s="221" t="s">
        <v>16</v>
      </c>
      <c r="T384" s="221" t="s">
        <v>330</v>
      </c>
      <c r="U384" s="221" t="s">
        <v>250</v>
      </c>
      <c r="V384" s="221" t="s">
        <v>283</v>
      </c>
      <c r="W384" s="222" t="s">
        <v>283</v>
      </c>
      <c r="X384" s="222" t="s">
        <v>283</v>
      </c>
      <c r="Y384" s="223" t="s">
        <v>283</v>
      </c>
    </row>
    <row r="385" spans="1:25">
      <c r="A385" s="217">
        <v>7</v>
      </c>
      <c r="B385" s="218" t="str">
        <f>VLOOKUP(Tabel10[[#This Row],[Code]],Ruimtegroepen[[Code]:[Ruimte omschrijving]],2,FALSE)</f>
        <v>Entree</v>
      </c>
      <c r="C385" s="219" t="s">
        <v>603</v>
      </c>
      <c r="D385" s="218" t="s">
        <v>0</v>
      </c>
      <c r="E385" s="219" t="s">
        <v>102</v>
      </c>
      <c r="F385" s="219" t="s">
        <v>607</v>
      </c>
      <c r="G385" s="224" t="s">
        <v>283</v>
      </c>
      <c r="H385" s="220" t="s">
        <v>283</v>
      </c>
      <c r="I385" s="220" t="s">
        <v>16</v>
      </c>
      <c r="J385" s="220" t="s">
        <v>283</v>
      </c>
      <c r="K385" s="220" t="s">
        <v>16</v>
      </c>
      <c r="L385" s="220" t="s">
        <v>283</v>
      </c>
      <c r="M385" s="220" t="s">
        <v>283</v>
      </c>
      <c r="N385" s="220" t="s">
        <v>283</v>
      </c>
      <c r="O385" s="221" t="s">
        <v>16</v>
      </c>
      <c r="P385" s="221" t="s">
        <v>16</v>
      </c>
      <c r="Q385" s="221" t="s">
        <v>16</v>
      </c>
      <c r="R385" s="221" t="s">
        <v>16</v>
      </c>
      <c r="S385" s="221" t="s">
        <v>16</v>
      </c>
      <c r="T385" s="221" t="s">
        <v>330</v>
      </c>
      <c r="U385" s="221" t="s">
        <v>250</v>
      </c>
      <c r="V385" s="221" t="s">
        <v>283</v>
      </c>
      <c r="W385" s="222" t="s">
        <v>283</v>
      </c>
      <c r="X385" s="222" t="s">
        <v>283</v>
      </c>
      <c r="Y385" s="223" t="s">
        <v>283</v>
      </c>
    </row>
    <row r="386" spans="1:25">
      <c r="A386" s="217">
        <v>7</v>
      </c>
      <c r="B386" s="218" t="str">
        <f>VLOOKUP(Tabel10[[#This Row],[Code]],Ruimtegroepen[[Code]:[Ruimte omschrijving]],2,FALSE)</f>
        <v>Entree</v>
      </c>
      <c r="C386" s="219" t="s">
        <v>603</v>
      </c>
      <c r="D386" s="218" t="s">
        <v>0</v>
      </c>
      <c r="E386" s="219" t="s">
        <v>99</v>
      </c>
      <c r="F386" s="219" t="s">
        <v>605</v>
      </c>
      <c r="G386" s="224" t="s">
        <v>283</v>
      </c>
      <c r="H386" s="220" t="s">
        <v>16</v>
      </c>
      <c r="I386" s="220" t="s">
        <v>283</v>
      </c>
      <c r="J386" s="220" t="s">
        <v>283</v>
      </c>
      <c r="K386" s="220" t="s">
        <v>283</v>
      </c>
      <c r="L386" s="220" t="s">
        <v>283</v>
      </c>
      <c r="M386" s="220" t="s">
        <v>283</v>
      </c>
      <c r="N386" s="220" t="s">
        <v>283</v>
      </c>
      <c r="O386" s="221" t="s">
        <v>16</v>
      </c>
      <c r="P386" s="221" t="s">
        <v>16</v>
      </c>
      <c r="Q386" s="221" t="s">
        <v>16</v>
      </c>
      <c r="R386" s="221" t="s">
        <v>16</v>
      </c>
      <c r="S386" s="221" t="s">
        <v>16</v>
      </c>
      <c r="T386" s="221" t="s">
        <v>330</v>
      </c>
      <c r="U386" s="221" t="s">
        <v>250</v>
      </c>
      <c r="V386" s="221" t="s">
        <v>283</v>
      </c>
      <c r="W386" s="222" t="s">
        <v>283</v>
      </c>
      <c r="X386" s="222" t="s">
        <v>283</v>
      </c>
      <c r="Y386" s="223" t="s">
        <v>283</v>
      </c>
    </row>
    <row r="387" spans="1:25">
      <c r="A387" s="217">
        <v>7</v>
      </c>
      <c r="B387" s="218" t="str">
        <f>VLOOKUP(Tabel10[[#This Row],[Code]],Ruimtegroepen[[Code]:[Ruimte omschrijving]],2,FALSE)</f>
        <v>Entree</v>
      </c>
      <c r="C387" s="219" t="s">
        <v>603</v>
      </c>
      <c r="D387" s="218" t="s">
        <v>0</v>
      </c>
      <c r="E387" s="219" t="s">
        <v>1313</v>
      </c>
      <c r="F387" s="219" t="s">
        <v>1351</v>
      </c>
      <c r="G387" s="224" t="s">
        <v>283</v>
      </c>
      <c r="H387" s="220" t="s">
        <v>283</v>
      </c>
      <c r="I387" s="220" t="s">
        <v>16</v>
      </c>
      <c r="J387" s="220" t="s">
        <v>283</v>
      </c>
      <c r="K387" s="220" t="s">
        <v>16</v>
      </c>
      <c r="L387" s="220" t="s">
        <v>283</v>
      </c>
      <c r="M387" s="220" t="s">
        <v>283</v>
      </c>
      <c r="N387" s="220" t="s">
        <v>283</v>
      </c>
      <c r="O387" s="221" t="s">
        <v>16</v>
      </c>
      <c r="P387" s="221" t="s">
        <v>16</v>
      </c>
      <c r="Q387" s="221" t="s">
        <v>16</v>
      </c>
      <c r="R387" s="221" t="s">
        <v>16</v>
      </c>
      <c r="S387" s="221" t="s">
        <v>16</v>
      </c>
      <c r="T387" s="221" t="s">
        <v>330</v>
      </c>
      <c r="U387" s="221" t="s">
        <v>250</v>
      </c>
      <c r="V387" s="221" t="s">
        <v>283</v>
      </c>
      <c r="W387" s="222" t="s">
        <v>283</v>
      </c>
      <c r="X387" s="222" t="s">
        <v>283</v>
      </c>
      <c r="Y387" s="223" t="s">
        <v>283</v>
      </c>
    </row>
    <row r="388" spans="1:25">
      <c r="A388" s="217">
        <v>7</v>
      </c>
      <c r="B388" s="218" t="str">
        <f>VLOOKUP(Tabel10[[#This Row],[Code]],Ruimtegroepen[[Code]:[Ruimte omschrijving]],2,FALSE)</f>
        <v>Entree</v>
      </c>
      <c r="C388" s="219" t="s">
        <v>608</v>
      </c>
      <c r="D388" s="218" t="s">
        <v>27</v>
      </c>
      <c r="E388" s="219" t="s">
        <v>100</v>
      </c>
      <c r="F388" s="219" t="s">
        <v>609</v>
      </c>
      <c r="G388" s="224" t="s">
        <v>283</v>
      </c>
      <c r="H388" s="220" t="s">
        <v>283</v>
      </c>
      <c r="I388" s="220" t="s">
        <v>15</v>
      </c>
      <c r="J388" s="220" t="s">
        <v>283</v>
      </c>
      <c r="K388" s="220" t="s">
        <v>283</v>
      </c>
      <c r="L388" s="220" t="s">
        <v>283</v>
      </c>
      <c r="M388" s="220" t="s">
        <v>283</v>
      </c>
      <c r="N388" s="220" t="s">
        <v>283</v>
      </c>
      <c r="O388" s="221" t="s">
        <v>15</v>
      </c>
      <c r="P388" s="221" t="s">
        <v>15</v>
      </c>
      <c r="Q388" s="221" t="s">
        <v>15</v>
      </c>
      <c r="R388" s="221" t="s">
        <v>283</v>
      </c>
      <c r="S388" s="221" t="s">
        <v>283</v>
      </c>
      <c r="T388" s="221" t="s">
        <v>283</v>
      </c>
      <c r="U388" s="221" t="s">
        <v>283</v>
      </c>
      <c r="V388" s="221" t="s">
        <v>283</v>
      </c>
      <c r="W388" s="222" t="s">
        <v>283</v>
      </c>
      <c r="X388" s="222" t="s">
        <v>283</v>
      </c>
      <c r="Y388" s="223" t="s">
        <v>283</v>
      </c>
    </row>
    <row r="389" spans="1:25">
      <c r="A389" s="217">
        <v>7</v>
      </c>
      <c r="B389" s="218" t="str">
        <f>VLOOKUP(Tabel10[[#This Row],[Code]],Ruimtegroepen[[Code]:[Ruimte omschrijving]],2,FALSE)</f>
        <v>Entree</v>
      </c>
      <c r="C389" s="219" t="s">
        <v>608</v>
      </c>
      <c r="D389" s="218" t="s">
        <v>27</v>
      </c>
      <c r="E389" s="219" t="s">
        <v>99</v>
      </c>
      <c r="F389" s="219" t="s">
        <v>610</v>
      </c>
      <c r="G389" s="224" t="s">
        <v>283</v>
      </c>
      <c r="H389" s="220" t="s">
        <v>15</v>
      </c>
      <c r="I389" s="220" t="s">
        <v>283</v>
      </c>
      <c r="J389" s="220" t="s">
        <v>283</v>
      </c>
      <c r="K389" s="220" t="s">
        <v>283</v>
      </c>
      <c r="L389" s="220" t="s">
        <v>283</v>
      </c>
      <c r="M389" s="220" t="s">
        <v>283</v>
      </c>
      <c r="N389" s="220" t="s">
        <v>283</v>
      </c>
      <c r="O389" s="221" t="s">
        <v>15</v>
      </c>
      <c r="P389" s="221" t="s">
        <v>15</v>
      </c>
      <c r="Q389" s="221" t="s">
        <v>15</v>
      </c>
      <c r="R389" s="221" t="s">
        <v>283</v>
      </c>
      <c r="S389" s="221" t="s">
        <v>283</v>
      </c>
      <c r="T389" s="221" t="s">
        <v>283</v>
      </c>
      <c r="U389" s="221" t="s">
        <v>283</v>
      </c>
      <c r="V389" s="221" t="s">
        <v>283</v>
      </c>
      <c r="W389" s="222" t="s">
        <v>283</v>
      </c>
      <c r="X389" s="222" t="s">
        <v>283</v>
      </c>
      <c r="Y389" s="223" t="s">
        <v>283</v>
      </c>
    </row>
    <row r="390" spans="1:25">
      <c r="A390" s="217">
        <v>7</v>
      </c>
      <c r="B390" s="218" t="str">
        <f>VLOOKUP(Tabel10[[#This Row],[Code]],Ruimtegroepen[[Code]:[Ruimte omschrijving]],2,FALSE)</f>
        <v>Entree</v>
      </c>
      <c r="C390" s="219" t="s">
        <v>608</v>
      </c>
      <c r="D390" s="218" t="s">
        <v>27</v>
      </c>
      <c r="E390" s="219" t="s">
        <v>101</v>
      </c>
      <c r="F390" s="219" t="s">
        <v>611</v>
      </c>
      <c r="G390" s="224" t="s">
        <v>283</v>
      </c>
      <c r="H390" s="220" t="s">
        <v>283</v>
      </c>
      <c r="I390" s="220" t="s">
        <v>15</v>
      </c>
      <c r="J390" s="220" t="s">
        <v>283</v>
      </c>
      <c r="K390" s="220" t="s">
        <v>283</v>
      </c>
      <c r="L390" s="220" t="s">
        <v>283</v>
      </c>
      <c r="M390" s="220" t="s">
        <v>283</v>
      </c>
      <c r="N390" s="220" t="s">
        <v>283</v>
      </c>
      <c r="O390" s="221" t="s">
        <v>15</v>
      </c>
      <c r="P390" s="221" t="s">
        <v>15</v>
      </c>
      <c r="Q390" s="221" t="s">
        <v>15</v>
      </c>
      <c r="R390" s="221" t="s">
        <v>283</v>
      </c>
      <c r="S390" s="221" t="s">
        <v>283</v>
      </c>
      <c r="T390" s="221" t="s">
        <v>283</v>
      </c>
      <c r="U390" s="221" t="s">
        <v>283</v>
      </c>
      <c r="V390" s="221" t="s">
        <v>283</v>
      </c>
      <c r="W390" s="222" t="s">
        <v>283</v>
      </c>
      <c r="X390" s="222" t="s">
        <v>283</v>
      </c>
      <c r="Y390" s="223" t="s">
        <v>283</v>
      </c>
    </row>
    <row r="391" spans="1:25">
      <c r="A391" s="217">
        <v>7</v>
      </c>
      <c r="B391" s="218" t="str">
        <f>VLOOKUP(Tabel10[[#This Row],[Code]],Ruimtegroepen[[Code]:[Ruimte omschrijving]],2,FALSE)</f>
        <v>Entree</v>
      </c>
      <c r="C391" s="219" t="s">
        <v>608</v>
      </c>
      <c r="D391" s="218" t="s">
        <v>27</v>
      </c>
      <c r="E391" s="219" t="s">
        <v>102</v>
      </c>
      <c r="F391" s="219" t="s">
        <v>612</v>
      </c>
      <c r="G391" s="224" t="s">
        <v>283</v>
      </c>
      <c r="H391" s="220" t="s">
        <v>283</v>
      </c>
      <c r="I391" s="220" t="s">
        <v>15</v>
      </c>
      <c r="J391" s="220" t="s">
        <v>283</v>
      </c>
      <c r="K391" s="220" t="s">
        <v>283</v>
      </c>
      <c r="L391" s="220" t="s">
        <v>283</v>
      </c>
      <c r="M391" s="220" t="s">
        <v>283</v>
      </c>
      <c r="N391" s="220" t="s">
        <v>283</v>
      </c>
      <c r="O391" s="221" t="s">
        <v>15</v>
      </c>
      <c r="P391" s="221" t="s">
        <v>15</v>
      </c>
      <c r="Q391" s="221" t="s">
        <v>15</v>
      </c>
      <c r="R391" s="221" t="s">
        <v>283</v>
      </c>
      <c r="S391" s="221" t="s">
        <v>283</v>
      </c>
      <c r="T391" s="221" t="s">
        <v>283</v>
      </c>
      <c r="U391" s="221" t="s">
        <v>283</v>
      </c>
      <c r="V391" s="221" t="s">
        <v>283</v>
      </c>
      <c r="W391" s="222" t="s">
        <v>283</v>
      </c>
      <c r="X391" s="222" t="s">
        <v>283</v>
      </c>
      <c r="Y391" s="223" t="s">
        <v>283</v>
      </c>
    </row>
    <row r="392" spans="1:25">
      <c r="A392" s="217">
        <v>7</v>
      </c>
      <c r="B392" s="218" t="str">
        <f>VLOOKUP(Tabel10[[#This Row],[Code]],Ruimtegroepen[[Code]:[Ruimte omschrijving]],2,FALSE)</f>
        <v>Entree</v>
      </c>
      <c r="C392" s="219" t="s">
        <v>608</v>
      </c>
      <c r="D392" s="218" t="s">
        <v>27</v>
      </c>
      <c r="E392" s="219" t="s">
        <v>99</v>
      </c>
      <c r="F392" s="219" t="s">
        <v>610</v>
      </c>
      <c r="G392" s="224" t="s">
        <v>283</v>
      </c>
      <c r="H392" s="220" t="s">
        <v>15</v>
      </c>
      <c r="I392" s="220" t="s">
        <v>283</v>
      </c>
      <c r="J392" s="220" t="s">
        <v>283</v>
      </c>
      <c r="K392" s="220" t="s">
        <v>283</v>
      </c>
      <c r="L392" s="220" t="s">
        <v>283</v>
      </c>
      <c r="M392" s="220" t="s">
        <v>283</v>
      </c>
      <c r="N392" s="220" t="s">
        <v>283</v>
      </c>
      <c r="O392" s="221" t="s">
        <v>15</v>
      </c>
      <c r="P392" s="221" t="s">
        <v>15</v>
      </c>
      <c r="Q392" s="221" t="s">
        <v>15</v>
      </c>
      <c r="R392" s="221" t="s">
        <v>283</v>
      </c>
      <c r="S392" s="221" t="s">
        <v>283</v>
      </c>
      <c r="T392" s="221" t="s">
        <v>283</v>
      </c>
      <c r="U392" s="221" t="s">
        <v>283</v>
      </c>
      <c r="V392" s="221" t="s">
        <v>283</v>
      </c>
      <c r="W392" s="222" t="s">
        <v>283</v>
      </c>
      <c r="X392" s="222" t="s">
        <v>283</v>
      </c>
      <c r="Y392" s="223" t="s">
        <v>283</v>
      </c>
    </row>
    <row r="393" spans="1:25">
      <c r="A393" s="217">
        <v>7</v>
      </c>
      <c r="B393" s="218" t="str">
        <f>VLOOKUP(Tabel10[[#This Row],[Code]],Ruimtegroepen[[Code]:[Ruimte omschrijving]],2,FALSE)</f>
        <v>Entree</v>
      </c>
      <c r="C393" s="219" t="s">
        <v>608</v>
      </c>
      <c r="D393" s="218" t="s">
        <v>27</v>
      </c>
      <c r="E393" s="219" t="s">
        <v>1313</v>
      </c>
      <c r="F393" s="219" t="s">
        <v>1384</v>
      </c>
      <c r="G393" s="224" t="s">
        <v>283</v>
      </c>
      <c r="H393" s="220" t="s">
        <v>283</v>
      </c>
      <c r="I393" s="220" t="s">
        <v>15</v>
      </c>
      <c r="J393" s="220" t="s">
        <v>283</v>
      </c>
      <c r="K393" s="220" t="s">
        <v>283</v>
      </c>
      <c r="L393" s="220" t="s">
        <v>283</v>
      </c>
      <c r="M393" s="220" t="s">
        <v>283</v>
      </c>
      <c r="N393" s="220" t="s">
        <v>283</v>
      </c>
      <c r="O393" s="221" t="s">
        <v>15</v>
      </c>
      <c r="P393" s="221" t="s">
        <v>15</v>
      </c>
      <c r="Q393" s="221" t="s">
        <v>15</v>
      </c>
      <c r="R393" s="221" t="s">
        <v>283</v>
      </c>
      <c r="S393" s="221" t="s">
        <v>283</v>
      </c>
      <c r="T393" s="221" t="s">
        <v>283</v>
      </c>
      <c r="U393" s="221" t="s">
        <v>283</v>
      </c>
      <c r="V393" s="221" t="s">
        <v>283</v>
      </c>
      <c r="W393" s="222" t="s">
        <v>283</v>
      </c>
      <c r="X393" s="222" t="s">
        <v>283</v>
      </c>
      <c r="Y393" s="223" t="s">
        <v>283</v>
      </c>
    </row>
    <row r="394" spans="1:25">
      <c r="A394" s="217">
        <v>7</v>
      </c>
      <c r="B394" s="218" t="str">
        <f>VLOOKUP(Tabel10[[#This Row],[Code]],Ruimtegroepen[[Code]:[Ruimte omschrijving]],2,FALSE)</f>
        <v>Entree</v>
      </c>
      <c r="C394" s="219" t="s">
        <v>613</v>
      </c>
      <c r="D394" s="218" t="s">
        <v>28</v>
      </c>
      <c r="E394" s="219" t="s">
        <v>100</v>
      </c>
      <c r="F394" s="219" t="s">
        <v>614</v>
      </c>
      <c r="G394" s="224" t="s">
        <v>283</v>
      </c>
      <c r="H394" s="220" t="s">
        <v>283</v>
      </c>
      <c r="I394" s="220" t="s">
        <v>17</v>
      </c>
      <c r="J394" s="220" t="s">
        <v>283</v>
      </c>
      <c r="K394" s="220" t="s">
        <v>283</v>
      </c>
      <c r="L394" s="220" t="s">
        <v>283</v>
      </c>
      <c r="M394" s="220" t="s">
        <v>283</v>
      </c>
      <c r="N394" s="220" t="s">
        <v>283</v>
      </c>
      <c r="O394" s="221" t="s">
        <v>17</v>
      </c>
      <c r="P394" s="221" t="s">
        <v>17</v>
      </c>
      <c r="Q394" s="221" t="s">
        <v>15</v>
      </c>
      <c r="R394" s="221" t="s">
        <v>283</v>
      </c>
      <c r="S394" s="221" t="s">
        <v>283</v>
      </c>
      <c r="T394" s="221" t="s">
        <v>283</v>
      </c>
      <c r="U394" s="221" t="s">
        <v>283</v>
      </c>
      <c r="V394" s="221" t="s">
        <v>283</v>
      </c>
      <c r="W394" s="222" t="s">
        <v>283</v>
      </c>
      <c r="X394" s="222" t="s">
        <v>283</v>
      </c>
      <c r="Y394" s="223" t="s">
        <v>283</v>
      </c>
    </row>
    <row r="395" spans="1:25">
      <c r="A395" s="217">
        <v>7</v>
      </c>
      <c r="B395" s="218" t="str">
        <f>VLOOKUP(Tabel10[[#This Row],[Code]],Ruimtegroepen[[Code]:[Ruimte omschrijving]],2,FALSE)</f>
        <v>Entree</v>
      </c>
      <c r="C395" s="219" t="s">
        <v>613</v>
      </c>
      <c r="D395" s="218" t="s">
        <v>28</v>
      </c>
      <c r="E395" s="219" t="s">
        <v>99</v>
      </c>
      <c r="F395" s="219" t="s">
        <v>615</v>
      </c>
      <c r="G395" s="224" t="s">
        <v>283</v>
      </c>
      <c r="H395" s="220" t="s">
        <v>17</v>
      </c>
      <c r="I395" s="220" t="s">
        <v>283</v>
      </c>
      <c r="J395" s="220" t="s">
        <v>283</v>
      </c>
      <c r="K395" s="220" t="s">
        <v>283</v>
      </c>
      <c r="L395" s="220" t="s">
        <v>283</v>
      </c>
      <c r="M395" s="220" t="s">
        <v>283</v>
      </c>
      <c r="N395" s="220" t="s">
        <v>283</v>
      </c>
      <c r="O395" s="221" t="s">
        <v>17</v>
      </c>
      <c r="P395" s="221" t="s">
        <v>17</v>
      </c>
      <c r="Q395" s="221" t="s">
        <v>15</v>
      </c>
      <c r="R395" s="221" t="s">
        <v>283</v>
      </c>
      <c r="S395" s="221" t="s">
        <v>283</v>
      </c>
      <c r="T395" s="221" t="s">
        <v>283</v>
      </c>
      <c r="U395" s="221" t="s">
        <v>283</v>
      </c>
      <c r="V395" s="221" t="s">
        <v>283</v>
      </c>
      <c r="W395" s="222" t="s">
        <v>283</v>
      </c>
      <c r="X395" s="222" t="s">
        <v>283</v>
      </c>
      <c r="Y395" s="223" t="s">
        <v>283</v>
      </c>
    </row>
    <row r="396" spans="1:25">
      <c r="A396" s="217">
        <v>7</v>
      </c>
      <c r="B396" s="218" t="str">
        <f>VLOOKUP(Tabel10[[#This Row],[Code]],Ruimtegroepen[[Code]:[Ruimte omschrijving]],2,FALSE)</f>
        <v>Entree</v>
      </c>
      <c r="C396" s="219" t="s">
        <v>613</v>
      </c>
      <c r="D396" s="218" t="s">
        <v>28</v>
      </c>
      <c r="E396" s="219" t="s">
        <v>101</v>
      </c>
      <c r="F396" s="219" t="s">
        <v>616</v>
      </c>
      <c r="G396" s="224" t="s">
        <v>283</v>
      </c>
      <c r="H396" s="220" t="s">
        <v>283</v>
      </c>
      <c r="I396" s="220" t="s">
        <v>17</v>
      </c>
      <c r="J396" s="220" t="s">
        <v>283</v>
      </c>
      <c r="K396" s="220" t="s">
        <v>283</v>
      </c>
      <c r="L396" s="220" t="s">
        <v>283</v>
      </c>
      <c r="M396" s="220" t="s">
        <v>283</v>
      </c>
      <c r="N396" s="220" t="s">
        <v>283</v>
      </c>
      <c r="O396" s="221" t="s">
        <v>17</v>
      </c>
      <c r="P396" s="221" t="s">
        <v>17</v>
      </c>
      <c r="Q396" s="221" t="s">
        <v>15</v>
      </c>
      <c r="R396" s="221" t="s">
        <v>283</v>
      </c>
      <c r="S396" s="221" t="s">
        <v>283</v>
      </c>
      <c r="T396" s="221" t="s">
        <v>283</v>
      </c>
      <c r="U396" s="221" t="s">
        <v>283</v>
      </c>
      <c r="V396" s="221" t="s">
        <v>283</v>
      </c>
      <c r="W396" s="222" t="s">
        <v>283</v>
      </c>
      <c r="X396" s="222" t="s">
        <v>283</v>
      </c>
      <c r="Y396" s="223" t="s">
        <v>283</v>
      </c>
    </row>
    <row r="397" spans="1:25">
      <c r="A397" s="217">
        <v>7</v>
      </c>
      <c r="B397" s="218" t="str">
        <f>VLOOKUP(Tabel10[[#This Row],[Code]],Ruimtegroepen[[Code]:[Ruimte omschrijving]],2,FALSE)</f>
        <v>Entree</v>
      </c>
      <c r="C397" s="219" t="s">
        <v>613</v>
      </c>
      <c r="D397" s="218" t="s">
        <v>28</v>
      </c>
      <c r="E397" s="219" t="s">
        <v>102</v>
      </c>
      <c r="F397" s="219" t="s">
        <v>617</v>
      </c>
      <c r="G397" s="224" t="s">
        <v>283</v>
      </c>
      <c r="H397" s="220" t="s">
        <v>283</v>
      </c>
      <c r="I397" s="220" t="s">
        <v>17</v>
      </c>
      <c r="J397" s="220" t="s">
        <v>283</v>
      </c>
      <c r="K397" s="220" t="s">
        <v>283</v>
      </c>
      <c r="L397" s="220" t="s">
        <v>283</v>
      </c>
      <c r="M397" s="220" t="s">
        <v>283</v>
      </c>
      <c r="N397" s="220" t="s">
        <v>283</v>
      </c>
      <c r="O397" s="221" t="s">
        <v>17</v>
      </c>
      <c r="P397" s="221" t="s">
        <v>17</v>
      </c>
      <c r="Q397" s="221" t="s">
        <v>15</v>
      </c>
      <c r="R397" s="221" t="s">
        <v>283</v>
      </c>
      <c r="S397" s="221" t="s">
        <v>283</v>
      </c>
      <c r="T397" s="221" t="s">
        <v>283</v>
      </c>
      <c r="U397" s="221" t="s">
        <v>283</v>
      </c>
      <c r="V397" s="221" t="s">
        <v>283</v>
      </c>
      <c r="W397" s="222" t="s">
        <v>283</v>
      </c>
      <c r="X397" s="222" t="s">
        <v>283</v>
      </c>
      <c r="Y397" s="223" t="s">
        <v>283</v>
      </c>
    </row>
    <row r="398" spans="1:25">
      <c r="A398" s="217">
        <v>7</v>
      </c>
      <c r="B398" s="218" t="str">
        <f>VLOOKUP(Tabel10[[#This Row],[Code]],Ruimtegroepen[[Code]:[Ruimte omschrijving]],2,FALSE)</f>
        <v>Entree</v>
      </c>
      <c r="C398" s="219" t="s">
        <v>613</v>
      </c>
      <c r="D398" s="218" t="s">
        <v>28</v>
      </c>
      <c r="E398" s="219" t="s">
        <v>99</v>
      </c>
      <c r="F398" s="219" t="s">
        <v>615</v>
      </c>
      <c r="G398" s="224" t="s">
        <v>283</v>
      </c>
      <c r="H398" s="220" t="s">
        <v>17</v>
      </c>
      <c r="I398" s="220" t="s">
        <v>283</v>
      </c>
      <c r="J398" s="220" t="s">
        <v>283</v>
      </c>
      <c r="K398" s="220" t="s">
        <v>283</v>
      </c>
      <c r="L398" s="220" t="s">
        <v>283</v>
      </c>
      <c r="M398" s="220" t="s">
        <v>283</v>
      </c>
      <c r="N398" s="220" t="s">
        <v>283</v>
      </c>
      <c r="O398" s="221" t="s">
        <v>17</v>
      </c>
      <c r="P398" s="221" t="s">
        <v>17</v>
      </c>
      <c r="Q398" s="221" t="s">
        <v>15</v>
      </c>
      <c r="R398" s="221" t="s">
        <v>283</v>
      </c>
      <c r="S398" s="221" t="s">
        <v>283</v>
      </c>
      <c r="T398" s="221" t="s">
        <v>283</v>
      </c>
      <c r="U398" s="221" t="s">
        <v>283</v>
      </c>
      <c r="V398" s="221" t="s">
        <v>283</v>
      </c>
      <c r="W398" s="222" t="s">
        <v>283</v>
      </c>
      <c r="X398" s="222" t="s">
        <v>283</v>
      </c>
      <c r="Y398" s="223" t="s">
        <v>283</v>
      </c>
    </row>
    <row r="399" spans="1:25">
      <c r="A399" s="217">
        <v>7</v>
      </c>
      <c r="B399" s="218" t="str">
        <f>VLOOKUP(Tabel10[[#This Row],[Code]],Ruimtegroepen[[Code]:[Ruimte omschrijving]],2,FALSE)</f>
        <v>Entree</v>
      </c>
      <c r="C399" s="219" t="s">
        <v>613</v>
      </c>
      <c r="D399" s="218" t="s">
        <v>28</v>
      </c>
      <c r="E399" s="219" t="s">
        <v>1313</v>
      </c>
      <c r="F399" s="219" t="s">
        <v>1417</v>
      </c>
      <c r="G399" s="224" t="s">
        <v>283</v>
      </c>
      <c r="H399" s="220" t="s">
        <v>283</v>
      </c>
      <c r="I399" s="220" t="s">
        <v>17</v>
      </c>
      <c r="J399" s="220" t="s">
        <v>283</v>
      </c>
      <c r="K399" s="220" t="s">
        <v>283</v>
      </c>
      <c r="L399" s="220" t="s">
        <v>283</v>
      </c>
      <c r="M399" s="220" t="s">
        <v>283</v>
      </c>
      <c r="N399" s="220" t="s">
        <v>283</v>
      </c>
      <c r="O399" s="221" t="s">
        <v>17</v>
      </c>
      <c r="P399" s="221" t="s">
        <v>17</v>
      </c>
      <c r="Q399" s="221" t="s">
        <v>15</v>
      </c>
      <c r="R399" s="221" t="s">
        <v>283</v>
      </c>
      <c r="S399" s="221" t="s">
        <v>283</v>
      </c>
      <c r="T399" s="221" t="s">
        <v>283</v>
      </c>
      <c r="U399" s="221" t="s">
        <v>283</v>
      </c>
      <c r="V399" s="221" t="s">
        <v>283</v>
      </c>
      <c r="W399" s="222" t="s">
        <v>283</v>
      </c>
      <c r="X399" s="222" t="s">
        <v>283</v>
      </c>
      <c r="Y399" s="223" t="s">
        <v>283</v>
      </c>
    </row>
    <row r="400" spans="1:25">
      <c r="A400" s="217">
        <v>8</v>
      </c>
      <c r="B400" s="218" t="str">
        <f>VLOOKUP(Tabel10[[#This Row],[Code]],Ruimtegroepen[[Code]:[Ruimte omschrijving]],2,FALSE)</f>
        <v>Kinderopvang</v>
      </c>
      <c r="C400" s="219" t="s">
        <v>618</v>
      </c>
      <c r="D400" s="218" t="s">
        <v>29</v>
      </c>
      <c r="E400" s="219" t="s">
        <v>100</v>
      </c>
      <c r="F400" s="219" t="s">
        <v>619</v>
      </c>
      <c r="G400" s="224" t="s">
        <v>283</v>
      </c>
      <c r="H400" s="220" t="s">
        <v>283</v>
      </c>
      <c r="I400" s="220" t="s">
        <v>20</v>
      </c>
      <c r="J400" s="220" t="s">
        <v>15</v>
      </c>
      <c r="K400" s="220" t="s">
        <v>283</v>
      </c>
      <c r="L400" s="220" t="s">
        <v>283</v>
      </c>
      <c r="M400" s="220" t="s">
        <v>283</v>
      </c>
      <c r="N400" s="220" t="s">
        <v>2</v>
      </c>
      <c r="O400" s="221" t="s">
        <v>2</v>
      </c>
      <c r="P400" s="221" t="s">
        <v>2</v>
      </c>
      <c r="Q400" s="221" t="s">
        <v>15</v>
      </c>
      <c r="R400" s="221" t="s">
        <v>15</v>
      </c>
      <c r="S400" s="221" t="s">
        <v>16</v>
      </c>
      <c r="T400" s="221" t="s">
        <v>330</v>
      </c>
      <c r="U400" s="221" t="s">
        <v>250</v>
      </c>
      <c r="V400" s="221" t="s">
        <v>2</v>
      </c>
      <c r="W400" s="222" t="s">
        <v>283</v>
      </c>
      <c r="X400" s="222" t="s">
        <v>283</v>
      </c>
      <c r="Y400" s="223" t="s">
        <v>283</v>
      </c>
    </row>
    <row r="401" spans="1:25">
      <c r="A401" s="217">
        <v>8</v>
      </c>
      <c r="B401" s="218" t="str">
        <f>VLOOKUP(Tabel10[[#This Row],[Code]],Ruimtegroepen[[Code]:[Ruimte omschrijving]],2,FALSE)</f>
        <v>Kinderopvang</v>
      </c>
      <c r="C401" s="219" t="s">
        <v>618</v>
      </c>
      <c r="D401" s="218" t="s">
        <v>29</v>
      </c>
      <c r="E401" s="219" t="s">
        <v>99</v>
      </c>
      <c r="F401" s="219" t="s">
        <v>620</v>
      </c>
      <c r="G401" s="224" t="s">
        <v>283</v>
      </c>
      <c r="H401" s="220" t="s">
        <v>2</v>
      </c>
      <c r="I401" s="220" t="s">
        <v>283</v>
      </c>
      <c r="J401" s="220" t="s">
        <v>283</v>
      </c>
      <c r="K401" s="220" t="s">
        <v>283</v>
      </c>
      <c r="L401" s="220" t="s">
        <v>283</v>
      </c>
      <c r="M401" s="220" t="s">
        <v>283</v>
      </c>
      <c r="N401" s="220" t="s">
        <v>2</v>
      </c>
      <c r="O401" s="221" t="s">
        <v>2</v>
      </c>
      <c r="P401" s="221" t="s">
        <v>2</v>
      </c>
      <c r="Q401" s="221" t="s">
        <v>15</v>
      </c>
      <c r="R401" s="221" t="s">
        <v>15</v>
      </c>
      <c r="S401" s="221" t="s">
        <v>16</v>
      </c>
      <c r="T401" s="221" t="s">
        <v>330</v>
      </c>
      <c r="U401" s="221" t="s">
        <v>250</v>
      </c>
      <c r="V401" s="221" t="s">
        <v>2</v>
      </c>
      <c r="W401" s="222" t="s">
        <v>283</v>
      </c>
      <c r="X401" s="222" t="s">
        <v>283</v>
      </c>
      <c r="Y401" s="223" t="s">
        <v>283</v>
      </c>
    </row>
    <row r="402" spans="1:25">
      <c r="A402" s="217">
        <v>8</v>
      </c>
      <c r="B402" s="218" t="str">
        <f>VLOOKUP(Tabel10[[#This Row],[Code]],Ruimtegroepen[[Code]:[Ruimte omschrijving]],2,FALSE)</f>
        <v>Kinderopvang</v>
      </c>
      <c r="C402" s="219" t="s">
        <v>618</v>
      </c>
      <c r="D402" s="218" t="s">
        <v>29</v>
      </c>
      <c r="E402" s="219" t="s">
        <v>101</v>
      </c>
      <c r="F402" s="219" t="s">
        <v>621</v>
      </c>
      <c r="G402" s="224" t="s">
        <v>283</v>
      </c>
      <c r="H402" s="220" t="s">
        <v>283</v>
      </c>
      <c r="I402" s="220" t="s">
        <v>20</v>
      </c>
      <c r="J402" s="220" t="s">
        <v>15</v>
      </c>
      <c r="K402" s="220" t="s">
        <v>284</v>
      </c>
      <c r="L402" s="220" t="s">
        <v>283</v>
      </c>
      <c r="M402" s="220" t="s">
        <v>283</v>
      </c>
      <c r="N402" s="220" t="s">
        <v>2</v>
      </c>
      <c r="O402" s="221" t="s">
        <v>2</v>
      </c>
      <c r="P402" s="221" t="s">
        <v>2</v>
      </c>
      <c r="Q402" s="221" t="s">
        <v>15</v>
      </c>
      <c r="R402" s="221" t="s">
        <v>15</v>
      </c>
      <c r="S402" s="221" t="s">
        <v>16</v>
      </c>
      <c r="T402" s="221" t="s">
        <v>330</v>
      </c>
      <c r="U402" s="221" t="s">
        <v>250</v>
      </c>
      <c r="V402" s="221" t="s">
        <v>2</v>
      </c>
      <c r="W402" s="222" t="s">
        <v>283</v>
      </c>
      <c r="X402" s="222" t="s">
        <v>283</v>
      </c>
      <c r="Y402" s="223" t="s">
        <v>283</v>
      </c>
    </row>
    <row r="403" spans="1:25">
      <c r="A403" s="217">
        <v>8</v>
      </c>
      <c r="B403" s="218" t="str">
        <f>VLOOKUP(Tabel10[[#This Row],[Code]],Ruimtegroepen[[Code]:[Ruimte omschrijving]],2,FALSE)</f>
        <v>Kinderopvang</v>
      </c>
      <c r="C403" s="219" t="s">
        <v>618</v>
      </c>
      <c r="D403" s="218" t="s">
        <v>29</v>
      </c>
      <c r="E403" s="219" t="s">
        <v>102</v>
      </c>
      <c r="F403" s="219" t="s">
        <v>622</v>
      </c>
      <c r="G403" s="224" t="s">
        <v>283</v>
      </c>
      <c r="H403" s="220" t="s">
        <v>283</v>
      </c>
      <c r="I403" s="220" t="s">
        <v>20</v>
      </c>
      <c r="J403" s="220" t="s">
        <v>15</v>
      </c>
      <c r="K403" s="220" t="s">
        <v>284</v>
      </c>
      <c r="L403" s="220" t="s">
        <v>283</v>
      </c>
      <c r="M403" s="220" t="s">
        <v>283</v>
      </c>
      <c r="N403" s="220" t="s">
        <v>2</v>
      </c>
      <c r="O403" s="221" t="s">
        <v>2</v>
      </c>
      <c r="P403" s="221" t="s">
        <v>2</v>
      </c>
      <c r="Q403" s="221" t="s">
        <v>15</v>
      </c>
      <c r="R403" s="221" t="s">
        <v>15</v>
      </c>
      <c r="S403" s="221" t="s">
        <v>16</v>
      </c>
      <c r="T403" s="221" t="s">
        <v>330</v>
      </c>
      <c r="U403" s="221" t="s">
        <v>250</v>
      </c>
      <c r="V403" s="221" t="s">
        <v>2</v>
      </c>
      <c r="W403" s="222" t="s">
        <v>283</v>
      </c>
      <c r="X403" s="222" t="s">
        <v>283</v>
      </c>
      <c r="Y403" s="223" t="s">
        <v>283</v>
      </c>
    </row>
    <row r="404" spans="1:25">
      <c r="A404" s="217">
        <v>8</v>
      </c>
      <c r="B404" s="218" t="str">
        <f>VLOOKUP(Tabel10[[#This Row],[Code]],Ruimtegroepen[[Code]:[Ruimte omschrijving]],2,FALSE)</f>
        <v>Kinderopvang</v>
      </c>
      <c r="C404" s="219" t="s">
        <v>618</v>
      </c>
      <c r="D404" s="218" t="s">
        <v>29</v>
      </c>
      <c r="E404" s="219" t="s">
        <v>99</v>
      </c>
      <c r="F404" s="219" t="s">
        <v>620</v>
      </c>
      <c r="G404" s="224" t="s">
        <v>283</v>
      </c>
      <c r="H404" s="220" t="s">
        <v>2</v>
      </c>
      <c r="I404" s="220" t="s">
        <v>283</v>
      </c>
      <c r="J404" s="220" t="s">
        <v>283</v>
      </c>
      <c r="K404" s="220" t="s">
        <v>283</v>
      </c>
      <c r="L404" s="220" t="s">
        <v>283</v>
      </c>
      <c r="M404" s="220" t="s">
        <v>283</v>
      </c>
      <c r="N404" s="220" t="s">
        <v>2</v>
      </c>
      <c r="O404" s="221" t="s">
        <v>2</v>
      </c>
      <c r="P404" s="221" t="s">
        <v>2</v>
      </c>
      <c r="Q404" s="221" t="s">
        <v>15</v>
      </c>
      <c r="R404" s="221" t="s">
        <v>15</v>
      </c>
      <c r="S404" s="221" t="s">
        <v>16</v>
      </c>
      <c r="T404" s="221" t="s">
        <v>330</v>
      </c>
      <c r="U404" s="221" t="s">
        <v>250</v>
      </c>
      <c r="V404" s="221" t="s">
        <v>2</v>
      </c>
      <c r="W404" s="222" t="s">
        <v>283</v>
      </c>
      <c r="X404" s="222" t="s">
        <v>283</v>
      </c>
      <c r="Y404" s="223" t="s">
        <v>283</v>
      </c>
    </row>
    <row r="405" spans="1:25">
      <c r="A405" s="217">
        <v>8</v>
      </c>
      <c r="B405" s="218" t="str">
        <f>VLOOKUP(Tabel10[[#This Row],[Code]],Ruimtegroepen[[Code]:[Ruimte omschrijving]],2,FALSE)</f>
        <v>Kinderopvang</v>
      </c>
      <c r="C405" s="219" t="s">
        <v>618</v>
      </c>
      <c r="D405" s="218" t="s">
        <v>29</v>
      </c>
      <c r="E405" s="219" t="s">
        <v>1313</v>
      </c>
      <c r="F405" s="219" t="s">
        <v>1485</v>
      </c>
      <c r="G405" s="224" t="s">
        <v>283</v>
      </c>
      <c r="H405" s="220" t="s">
        <v>283</v>
      </c>
      <c r="I405" s="220" t="s">
        <v>20</v>
      </c>
      <c r="J405" s="220" t="s">
        <v>15</v>
      </c>
      <c r="K405" s="220" t="s">
        <v>284</v>
      </c>
      <c r="L405" s="220" t="s">
        <v>283</v>
      </c>
      <c r="M405" s="220" t="s">
        <v>283</v>
      </c>
      <c r="N405" s="220" t="s">
        <v>2</v>
      </c>
      <c r="O405" s="221" t="s">
        <v>2</v>
      </c>
      <c r="P405" s="221" t="s">
        <v>2</v>
      </c>
      <c r="Q405" s="221" t="s">
        <v>15</v>
      </c>
      <c r="R405" s="221" t="s">
        <v>15</v>
      </c>
      <c r="S405" s="221" t="s">
        <v>16</v>
      </c>
      <c r="T405" s="221" t="s">
        <v>330</v>
      </c>
      <c r="U405" s="221" t="s">
        <v>250</v>
      </c>
      <c r="V405" s="221" t="s">
        <v>2</v>
      </c>
      <c r="W405" s="222" t="s">
        <v>283</v>
      </c>
      <c r="X405" s="222" t="s">
        <v>283</v>
      </c>
      <c r="Y405" s="223" t="s">
        <v>283</v>
      </c>
    </row>
    <row r="406" spans="1:25">
      <c r="A406" s="217">
        <v>8</v>
      </c>
      <c r="B406" s="218" t="str">
        <f>VLOOKUP(Tabel10[[#This Row],[Code]],Ruimtegroepen[[Code]:[Ruimte omschrijving]],2,FALSE)</f>
        <v>Kinderopvang</v>
      </c>
      <c r="C406" s="219" t="s">
        <v>623</v>
      </c>
      <c r="D406" s="218" t="s">
        <v>1</v>
      </c>
      <c r="E406" s="219" t="s">
        <v>100</v>
      </c>
      <c r="F406" s="219" t="s">
        <v>624</v>
      </c>
      <c r="G406" s="224" t="s">
        <v>283</v>
      </c>
      <c r="H406" s="220" t="s">
        <v>283</v>
      </c>
      <c r="I406" s="220" t="s">
        <v>20</v>
      </c>
      <c r="J406" s="220" t="s">
        <v>15</v>
      </c>
      <c r="K406" s="220" t="s">
        <v>283</v>
      </c>
      <c r="L406" s="220" t="s">
        <v>283</v>
      </c>
      <c r="M406" s="220" t="s">
        <v>283</v>
      </c>
      <c r="N406" s="220" t="s">
        <v>283</v>
      </c>
      <c r="O406" s="221" t="s">
        <v>2</v>
      </c>
      <c r="P406" s="221" t="s">
        <v>2</v>
      </c>
      <c r="Q406" s="221" t="s">
        <v>15</v>
      </c>
      <c r="R406" s="221" t="s">
        <v>15</v>
      </c>
      <c r="S406" s="221" t="s">
        <v>16</v>
      </c>
      <c r="T406" s="221" t="s">
        <v>330</v>
      </c>
      <c r="U406" s="221" t="s">
        <v>250</v>
      </c>
      <c r="V406" s="221" t="s">
        <v>283</v>
      </c>
      <c r="W406" s="222" t="s">
        <v>283</v>
      </c>
      <c r="X406" s="222" t="s">
        <v>283</v>
      </c>
      <c r="Y406" s="223" t="s">
        <v>283</v>
      </c>
    </row>
    <row r="407" spans="1:25">
      <c r="A407" s="217">
        <v>8</v>
      </c>
      <c r="B407" s="218" t="str">
        <f>VLOOKUP(Tabel10[[#This Row],[Code]],Ruimtegroepen[[Code]:[Ruimte omschrijving]],2,FALSE)</f>
        <v>Kinderopvang</v>
      </c>
      <c r="C407" s="219" t="s">
        <v>623</v>
      </c>
      <c r="D407" s="218" t="s">
        <v>1</v>
      </c>
      <c r="E407" s="219" t="s">
        <v>99</v>
      </c>
      <c r="F407" s="219" t="s">
        <v>625</v>
      </c>
      <c r="G407" s="224" t="s">
        <v>283</v>
      </c>
      <c r="H407" s="220" t="s">
        <v>2</v>
      </c>
      <c r="I407" s="220" t="s">
        <v>283</v>
      </c>
      <c r="J407" s="220" t="s">
        <v>283</v>
      </c>
      <c r="K407" s="220" t="s">
        <v>283</v>
      </c>
      <c r="L407" s="220" t="s">
        <v>283</v>
      </c>
      <c r="M407" s="220" t="s">
        <v>283</v>
      </c>
      <c r="N407" s="220" t="s">
        <v>283</v>
      </c>
      <c r="O407" s="221" t="s">
        <v>2</v>
      </c>
      <c r="P407" s="221" t="s">
        <v>2</v>
      </c>
      <c r="Q407" s="221" t="s">
        <v>15</v>
      </c>
      <c r="R407" s="221" t="s">
        <v>15</v>
      </c>
      <c r="S407" s="221" t="s">
        <v>16</v>
      </c>
      <c r="T407" s="221" t="s">
        <v>330</v>
      </c>
      <c r="U407" s="221" t="s">
        <v>250</v>
      </c>
      <c r="V407" s="221" t="s">
        <v>283</v>
      </c>
      <c r="W407" s="222" t="s">
        <v>283</v>
      </c>
      <c r="X407" s="222" t="s">
        <v>283</v>
      </c>
      <c r="Y407" s="223" t="s">
        <v>283</v>
      </c>
    </row>
    <row r="408" spans="1:25">
      <c r="A408" s="217">
        <v>8</v>
      </c>
      <c r="B408" s="218" t="str">
        <f>VLOOKUP(Tabel10[[#This Row],[Code]],Ruimtegroepen[[Code]:[Ruimte omschrijving]],2,FALSE)</f>
        <v>Kinderopvang</v>
      </c>
      <c r="C408" s="219" t="s">
        <v>623</v>
      </c>
      <c r="D408" s="218" t="s">
        <v>1</v>
      </c>
      <c r="E408" s="219" t="s">
        <v>101</v>
      </c>
      <c r="F408" s="219" t="s">
        <v>626</v>
      </c>
      <c r="G408" s="224" t="s">
        <v>283</v>
      </c>
      <c r="H408" s="220" t="s">
        <v>283</v>
      </c>
      <c r="I408" s="220" t="s">
        <v>20</v>
      </c>
      <c r="J408" s="220" t="s">
        <v>15</v>
      </c>
      <c r="K408" s="220" t="s">
        <v>284</v>
      </c>
      <c r="L408" s="220" t="s">
        <v>283</v>
      </c>
      <c r="M408" s="220" t="s">
        <v>283</v>
      </c>
      <c r="N408" s="220" t="s">
        <v>283</v>
      </c>
      <c r="O408" s="221" t="s">
        <v>2</v>
      </c>
      <c r="P408" s="221" t="s">
        <v>2</v>
      </c>
      <c r="Q408" s="221" t="s">
        <v>15</v>
      </c>
      <c r="R408" s="221" t="s">
        <v>15</v>
      </c>
      <c r="S408" s="221" t="s">
        <v>16</v>
      </c>
      <c r="T408" s="221" t="s">
        <v>330</v>
      </c>
      <c r="U408" s="221" t="s">
        <v>250</v>
      </c>
      <c r="V408" s="221" t="s">
        <v>283</v>
      </c>
      <c r="W408" s="222" t="s">
        <v>283</v>
      </c>
      <c r="X408" s="222" t="s">
        <v>283</v>
      </c>
      <c r="Y408" s="223" t="s">
        <v>283</v>
      </c>
    </row>
    <row r="409" spans="1:25">
      <c r="A409" s="217">
        <v>8</v>
      </c>
      <c r="B409" s="218" t="str">
        <f>VLOOKUP(Tabel10[[#This Row],[Code]],Ruimtegroepen[[Code]:[Ruimte omschrijving]],2,FALSE)</f>
        <v>Kinderopvang</v>
      </c>
      <c r="C409" s="219" t="s">
        <v>623</v>
      </c>
      <c r="D409" s="218" t="s">
        <v>1</v>
      </c>
      <c r="E409" s="219" t="s">
        <v>102</v>
      </c>
      <c r="F409" s="219" t="s">
        <v>627</v>
      </c>
      <c r="G409" s="224" t="s">
        <v>283</v>
      </c>
      <c r="H409" s="220" t="s">
        <v>283</v>
      </c>
      <c r="I409" s="220" t="s">
        <v>2</v>
      </c>
      <c r="J409" s="220" t="s">
        <v>283</v>
      </c>
      <c r="K409" s="220" t="s">
        <v>284</v>
      </c>
      <c r="L409" s="220" t="s">
        <v>283</v>
      </c>
      <c r="M409" s="220" t="s">
        <v>283</v>
      </c>
      <c r="N409" s="220" t="s">
        <v>283</v>
      </c>
      <c r="O409" s="221" t="s">
        <v>2</v>
      </c>
      <c r="P409" s="221" t="s">
        <v>2</v>
      </c>
      <c r="Q409" s="221" t="s">
        <v>15</v>
      </c>
      <c r="R409" s="221" t="s">
        <v>15</v>
      </c>
      <c r="S409" s="221" t="s">
        <v>16</v>
      </c>
      <c r="T409" s="221" t="s">
        <v>330</v>
      </c>
      <c r="U409" s="221" t="s">
        <v>250</v>
      </c>
      <c r="V409" s="221" t="s">
        <v>283</v>
      </c>
      <c r="W409" s="222" t="s">
        <v>283</v>
      </c>
      <c r="X409" s="222" t="s">
        <v>283</v>
      </c>
      <c r="Y409" s="223" t="s">
        <v>283</v>
      </c>
    </row>
    <row r="410" spans="1:25">
      <c r="A410" s="217">
        <v>8</v>
      </c>
      <c r="B410" s="218" t="str">
        <f>VLOOKUP(Tabel10[[#This Row],[Code]],Ruimtegroepen[[Code]:[Ruimte omschrijving]],2,FALSE)</f>
        <v>Kinderopvang</v>
      </c>
      <c r="C410" s="219" t="s">
        <v>623</v>
      </c>
      <c r="D410" s="218" t="s">
        <v>1</v>
      </c>
      <c r="E410" s="219" t="s">
        <v>99</v>
      </c>
      <c r="F410" s="219" t="s">
        <v>625</v>
      </c>
      <c r="G410" s="224" t="s">
        <v>283</v>
      </c>
      <c r="H410" s="220" t="s">
        <v>2</v>
      </c>
      <c r="I410" s="220" t="s">
        <v>283</v>
      </c>
      <c r="J410" s="220" t="s">
        <v>283</v>
      </c>
      <c r="K410" s="220" t="s">
        <v>283</v>
      </c>
      <c r="L410" s="220" t="s">
        <v>283</v>
      </c>
      <c r="M410" s="220" t="s">
        <v>283</v>
      </c>
      <c r="N410" s="220" t="s">
        <v>283</v>
      </c>
      <c r="O410" s="221" t="s">
        <v>2</v>
      </c>
      <c r="P410" s="221" t="s">
        <v>2</v>
      </c>
      <c r="Q410" s="221" t="s">
        <v>15</v>
      </c>
      <c r="R410" s="221" t="s">
        <v>15</v>
      </c>
      <c r="S410" s="221" t="s">
        <v>16</v>
      </c>
      <c r="T410" s="221" t="s">
        <v>330</v>
      </c>
      <c r="U410" s="221" t="s">
        <v>250</v>
      </c>
      <c r="V410" s="221" t="s">
        <v>283</v>
      </c>
      <c r="W410" s="222" t="s">
        <v>283</v>
      </c>
      <c r="X410" s="222" t="s">
        <v>283</v>
      </c>
      <c r="Y410" s="223" t="s">
        <v>283</v>
      </c>
    </row>
    <row r="411" spans="1:25">
      <c r="A411" s="217">
        <v>8</v>
      </c>
      <c r="B411" s="218" t="str">
        <f>VLOOKUP(Tabel10[[#This Row],[Code]],Ruimtegroepen[[Code]:[Ruimte omschrijving]],2,FALSE)</f>
        <v>Kinderopvang</v>
      </c>
      <c r="C411" s="219" t="s">
        <v>623</v>
      </c>
      <c r="D411" s="218" t="s">
        <v>1</v>
      </c>
      <c r="E411" s="219" t="s">
        <v>1313</v>
      </c>
      <c r="F411" s="219" t="s">
        <v>1469</v>
      </c>
      <c r="G411" s="224" t="s">
        <v>283</v>
      </c>
      <c r="H411" s="220" t="s">
        <v>283</v>
      </c>
      <c r="I411" s="220" t="s">
        <v>2</v>
      </c>
      <c r="J411" s="220" t="s">
        <v>283</v>
      </c>
      <c r="K411" s="220" t="s">
        <v>284</v>
      </c>
      <c r="L411" s="220" t="s">
        <v>283</v>
      </c>
      <c r="M411" s="220" t="s">
        <v>283</v>
      </c>
      <c r="N411" s="220" t="s">
        <v>283</v>
      </c>
      <c r="O411" s="221" t="s">
        <v>2</v>
      </c>
      <c r="P411" s="221" t="s">
        <v>2</v>
      </c>
      <c r="Q411" s="221" t="s">
        <v>15</v>
      </c>
      <c r="R411" s="221" t="s">
        <v>15</v>
      </c>
      <c r="S411" s="221" t="s">
        <v>16</v>
      </c>
      <c r="T411" s="221" t="s">
        <v>330</v>
      </c>
      <c r="U411" s="221" t="s">
        <v>250</v>
      </c>
      <c r="V411" s="221" t="s">
        <v>283</v>
      </c>
      <c r="W411" s="222" t="s">
        <v>283</v>
      </c>
      <c r="X411" s="222" t="s">
        <v>283</v>
      </c>
      <c r="Y411" s="223" t="s">
        <v>283</v>
      </c>
    </row>
    <row r="412" spans="1:25">
      <c r="A412" s="217">
        <v>8</v>
      </c>
      <c r="B412" s="218" t="str">
        <f>VLOOKUP(Tabel10[[#This Row],[Code]],Ruimtegroepen[[Code]:[Ruimte omschrijving]],2,FALSE)</f>
        <v>Kinderopvang</v>
      </c>
      <c r="C412" s="219" t="s">
        <v>628</v>
      </c>
      <c r="D412" s="218" t="s">
        <v>21</v>
      </c>
      <c r="E412" s="219" t="s">
        <v>100</v>
      </c>
      <c r="F412" s="219" t="s">
        <v>629</v>
      </c>
      <c r="G412" s="224" t="s">
        <v>283</v>
      </c>
      <c r="H412" s="220" t="s">
        <v>283</v>
      </c>
      <c r="I412" s="220" t="s">
        <v>18</v>
      </c>
      <c r="J412" s="220" t="s">
        <v>15</v>
      </c>
      <c r="K412" s="220" t="s">
        <v>283</v>
      </c>
      <c r="L412" s="220" t="s">
        <v>283</v>
      </c>
      <c r="M412" s="220" t="s">
        <v>283</v>
      </c>
      <c r="N412" s="220" t="s">
        <v>283</v>
      </c>
      <c r="O412" s="221" t="s">
        <v>20</v>
      </c>
      <c r="P412" s="221" t="s">
        <v>20</v>
      </c>
      <c r="Q412" s="221" t="s">
        <v>15</v>
      </c>
      <c r="R412" s="221" t="s">
        <v>15</v>
      </c>
      <c r="S412" s="221" t="s">
        <v>16</v>
      </c>
      <c r="T412" s="221" t="s">
        <v>330</v>
      </c>
      <c r="U412" s="221" t="s">
        <v>250</v>
      </c>
      <c r="V412" s="221" t="s">
        <v>283</v>
      </c>
      <c r="W412" s="222" t="s">
        <v>283</v>
      </c>
      <c r="X412" s="222" t="s">
        <v>283</v>
      </c>
      <c r="Y412" s="223" t="s">
        <v>283</v>
      </c>
    </row>
    <row r="413" spans="1:25">
      <c r="A413" s="217">
        <v>8</v>
      </c>
      <c r="B413" s="218" t="str">
        <f>VLOOKUP(Tabel10[[#This Row],[Code]],Ruimtegroepen[[Code]:[Ruimte omschrijving]],2,FALSE)</f>
        <v>Kinderopvang</v>
      </c>
      <c r="C413" s="219" t="s">
        <v>628</v>
      </c>
      <c r="D413" s="218" t="s">
        <v>21</v>
      </c>
      <c r="E413" s="219" t="s">
        <v>99</v>
      </c>
      <c r="F413" s="219" t="s">
        <v>630</v>
      </c>
      <c r="G413" s="224" t="s">
        <v>283</v>
      </c>
      <c r="H413" s="220" t="s">
        <v>20</v>
      </c>
      <c r="I413" s="220" t="s">
        <v>283</v>
      </c>
      <c r="J413" s="220" t="s">
        <v>283</v>
      </c>
      <c r="K413" s="220" t="s">
        <v>283</v>
      </c>
      <c r="L413" s="220" t="s">
        <v>283</v>
      </c>
      <c r="M413" s="220" t="s">
        <v>283</v>
      </c>
      <c r="N413" s="220" t="s">
        <v>283</v>
      </c>
      <c r="O413" s="221" t="s">
        <v>20</v>
      </c>
      <c r="P413" s="221" t="s">
        <v>20</v>
      </c>
      <c r="Q413" s="221" t="s">
        <v>15</v>
      </c>
      <c r="R413" s="221" t="s">
        <v>15</v>
      </c>
      <c r="S413" s="221" t="s">
        <v>16</v>
      </c>
      <c r="T413" s="221" t="s">
        <v>330</v>
      </c>
      <c r="U413" s="221" t="s">
        <v>250</v>
      </c>
      <c r="V413" s="221" t="s">
        <v>283</v>
      </c>
      <c r="W413" s="222" t="s">
        <v>283</v>
      </c>
      <c r="X413" s="222" t="s">
        <v>283</v>
      </c>
      <c r="Y413" s="223" t="s">
        <v>283</v>
      </c>
    </row>
    <row r="414" spans="1:25">
      <c r="A414" s="217">
        <v>8</v>
      </c>
      <c r="B414" s="218" t="str">
        <f>VLOOKUP(Tabel10[[#This Row],[Code]],Ruimtegroepen[[Code]:[Ruimte omschrijving]],2,FALSE)</f>
        <v>Kinderopvang</v>
      </c>
      <c r="C414" s="219" t="s">
        <v>628</v>
      </c>
      <c r="D414" s="218" t="s">
        <v>21</v>
      </c>
      <c r="E414" s="219" t="s">
        <v>101</v>
      </c>
      <c r="F414" s="219" t="s">
        <v>631</v>
      </c>
      <c r="G414" s="224" t="s">
        <v>283</v>
      </c>
      <c r="H414" s="220" t="s">
        <v>283</v>
      </c>
      <c r="I414" s="220" t="s">
        <v>18</v>
      </c>
      <c r="J414" s="220" t="s">
        <v>15</v>
      </c>
      <c r="K414" s="220" t="s">
        <v>284</v>
      </c>
      <c r="L414" s="220" t="s">
        <v>283</v>
      </c>
      <c r="M414" s="220" t="s">
        <v>283</v>
      </c>
      <c r="N414" s="220" t="s">
        <v>283</v>
      </c>
      <c r="O414" s="221" t="s">
        <v>20</v>
      </c>
      <c r="P414" s="221" t="s">
        <v>20</v>
      </c>
      <c r="Q414" s="221" t="s">
        <v>15</v>
      </c>
      <c r="R414" s="221" t="s">
        <v>15</v>
      </c>
      <c r="S414" s="221" t="s">
        <v>16</v>
      </c>
      <c r="T414" s="221" t="s">
        <v>330</v>
      </c>
      <c r="U414" s="221" t="s">
        <v>250</v>
      </c>
      <c r="V414" s="221" t="s">
        <v>283</v>
      </c>
      <c r="W414" s="222" t="s">
        <v>283</v>
      </c>
      <c r="X414" s="222" t="s">
        <v>283</v>
      </c>
      <c r="Y414" s="223" t="s">
        <v>283</v>
      </c>
    </row>
    <row r="415" spans="1:25">
      <c r="A415" s="217">
        <v>8</v>
      </c>
      <c r="B415" s="218" t="str">
        <f>VLOOKUP(Tabel10[[#This Row],[Code]],Ruimtegroepen[[Code]:[Ruimte omschrijving]],2,FALSE)</f>
        <v>Kinderopvang</v>
      </c>
      <c r="C415" s="219" t="s">
        <v>628</v>
      </c>
      <c r="D415" s="218" t="s">
        <v>21</v>
      </c>
      <c r="E415" s="219" t="s">
        <v>102</v>
      </c>
      <c r="F415" s="219" t="s">
        <v>632</v>
      </c>
      <c r="G415" s="224" t="s">
        <v>283</v>
      </c>
      <c r="H415" s="220" t="s">
        <v>283</v>
      </c>
      <c r="I415" s="220" t="s">
        <v>18</v>
      </c>
      <c r="J415" s="220" t="s">
        <v>15</v>
      </c>
      <c r="K415" s="220" t="s">
        <v>284</v>
      </c>
      <c r="L415" s="220" t="s">
        <v>283</v>
      </c>
      <c r="M415" s="220" t="s">
        <v>283</v>
      </c>
      <c r="N415" s="220" t="s">
        <v>283</v>
      </c>
      <c r="O415" s="221" t="s">
        <v>20</v>
      </c>
      <c r="P415" s="221" t="s">
        <v>20</v>
      </c>
      <c r="Q415" s="221" t="s">
        <v>15</v>
      </c>
      <c r="R415" s="221" t="s">
        <v>15</v>
      </c>
      <c r="S415" s="221" t="s">
        <v>16</v>
      </c>
      <c r="T415" s="221" t="s">
        <v>330</v>
      </c>
      <c r="U415" s="221" t="s">
        <v>250</v>
      </c>
      <c r="V415" s="221" t="s">
        <v>283</v>
      </c>
      <c r="W415" s="222" t="s">
        <v>283</v>
      </c>
      <c r="X415" s="222" t="s">
        <v>283</v>
      </c>
      <c r="Y415" s="223" t="s">
        <v>283</v>
      </c>
    </row>
    <row r="416" spans="1:25">
      <c r="A416" s="217">
        <v>8</v>
      </c>
      <c r="B416" s="218" t="str">
        <f>VLOOKUP(Tabel10[[#This Row],[Code]],Ruimtegroepen[[Code]:[Ruimte omschrijving]],2,FALSE)</f>
        <v>Kinderopvang</v>
      </c>
      <c r="C416" s="219" t="s">
        <v>628</v>
      </c>
      <c r="D416" s="218" t="s">
        <v>21</v>
      </c>
      <c r="E416" s="219" t="s">
        <v>99</v>
      </c>
      <c r="F416" s="219" t="s">
        <v>630</v>
      </c>
      <c r="G416" s="224" t="s">
        <v>283</v>
      </c>
      <c r="H416" s="220" t="s">
        <v>20</v>
      </c>
      <c r="I416" s="220" t="s">
        <v>283</v>
      </c>
      <c r="J416" s="220" t="s">
        <v>283</v>
      </c>
      <c r="K416" s="220" t="s">
        <v>283</v>
      </c>
      <c r="L416" s="220" t="s">
        <v>283</v>
      </c>
      <c r="M416" s="220" t="s">
        <v>283</v>
      </c>
      <c r="N416" s="220" t="s">
        <v>283</v>
      </c>
      <c r="O416" s="221" t="s">
        <v>20</v>
      </c>
      <c r="P416" s="221" t="s">
        <v>20</v>
      </c>
      <c r="Q416" s="221" t="s">
        <v>15</v>
      </c>
      <c r="R416" s="221" t="s">
        <v>15</v>
      </c>
      <c r="S416" s="221" t="s">
        <v>16</v>
      </c>
      <c r="T416" s="221" t="s">
        <v>330</v>
      </c>
      <c r="U416" s="221" t="s">
        <v>250</v>
      </c>
      <c r="V416" s="221" t="s">
        <v>283</v>
      </c>
      <c r="W416" s="222" t="s">
        <v>283</v>
      </c>
      <c r="X416" s="222" t="s">
        <v>283</v>
      </c>
      <c r="Y416" s="223" t="s">
        <v>283</v>
      </c>
    </row>
    <row r="417" spans="1:25">
      <c r="A417" s="217">
        <v>8</v>
      </c>
      <c r="B417" s="218" t="str">
        <f>VLOOKUP(Tabel10[[#This Row],[Code]],Ruimtegroepen[[Code]:[Ruimte omschrijving]],2,FALSE)</f>
        <v>Kinderopvang</v>
      </c>
      <c r="C417" s="219" t="s">
        <v>628</v>
      </c>
      <c r="D417" s="218" t="s">
        <v>21</v>
      </c>
      <c r="E417" s="219" t="s">
        <v>1313</v>
      </c>
      <c r="F417" s="219" t="s">
        <v>1452</v>
      </c>
      <c r="G417" s="224" t="s">
        <v>283</v>
      </c>
      <c r="H417" s="220" t="s">
        <v>283</v>
      </c>
      <c r="I417" s="220" t="s">
        <v>18</v>
      </c>
      <c r="J417" s="220" t="s">
        <v>15</v>
      </c>
      <c r="K417" s="220" t="s">
        <v>284</v>
      </c>
      <c r="L417" s="220" t="s">
        <v>283</v>
      </c>
      <c r="M417" s="220" t="s">
        <v>283</v>
      </c>
      <c r="N417" s="220" t="s">
        <v>283</v>
      </c>
      <c r="O417" s="221" t="s">
        <v>20</v>
      </c>
      <c r="P417" s="221" t="s">
        <v>20</v>
      </c>
      <c r="Q417" s="221" t="s">
        <v>15</v>
      </c>
      <c r="R417" s="221" t="s">
        <v>15</v>
      </c>
      <c r="S417" s="221" t="s">
        <v>16</v>
      </c>
      <c r="T417" s="221" t="s">
        <v>330</v>
      </c>
      <c r="U417" s="221" t="s">
        <v>250</v>
      </c>
      <c r="V417" s="221" t="s">
        <v>283</v>
      </c>
      <c r="W417" s="222" t="s">
        <v>283</v>
      </c>
      <c r="X417" s="222" t="s">
        <v>283</v>
      </c>
      <c r="Y417" s="223" t="s">
        <v>283</v>
      </c>
    </row>
    <row r="418" spans="1:25">
      <c r="A418" s="217">
        <v>8</v>
      </c>
      <c r="B418" s="218" t="str">
        <f>VLOOKUP(Tabel10[[#This Row],[Code]],Ruimtegroepen[[Code]:[Ruimte omschrijving]],2,FALSE)</f>
        <v>Kinderopvang</v>
      </c>
      <c r="C418" s="219" t="s">
        <v>633</v>
      </c>
      <c r="D418" s="218" t="s">
        <v>12</v>
      </c>
      <c r="E418" s="219" t="s">
        <v>100</v>
      </c>
      <c r="F418" s="219" t="s">
        <v>634</v>
      </c>
      <c r="G418" s="224" t="s">
        <v>283</v>
      </c>
      <c r="H418" s="220" t="s">
        <v>283</v>
      </c>
      <c r="I418" s="220" t="s">
        <v>17</v>
      </c>
      <c r="J418" s="220" t="s">
        <v>15</v>
      </c>
      <c r="K418" s="220" t="s">
        <v>283</v>
      </c>
      <c r="L418" s="220" t="s">
        <v>283</v>
      </c>
      <c r="M418" s="220" t="s">
        <v>283</v>
      </c>
      <c r="N418" s="220" t="s">
        <v>283</v>
      </c>
      <c r="O418" s="221" t="s">
        <v>18</v>
      </c>
      <c r="P418" s="221" t="s">
        <v>18</v>
      </c>
      <c r="Q418" s="221" t="s">
        <v>15</v>
      </c>
      <c r="R418" s="221" t="s">
        <v>15</v>
      </c>
      <c r="S418" s="221" t="s">
        <v>16</v>
      </c>
      <c r="T418" s="221" t="s">
        <v>330</v>
      </c>
      <c r="U418" s="221" t="s">
        <v>250</v>
      </c>
      <c r="V418" s="221" t="s">
        <v>283</v>
      </c>
      <c r="W418" s="222" t="s">
        <v>283</v>
      </c>
      <c r="X418" s="222" t="s">
        <v>283</v>
      </c>
      <c r="Y418" s="223" t="s">
        <v>283</v>
      </c>
    </row>
    <row r="419" spans="1:25">
      <c r="A419" s="217">
        <v>8</v>
      </c>
      <c r="B419" s="218" t="str">
        <f>VLOOKUP(Tabel10[[#This Row],[Code]],Ruimtegroepen[[Code]:[Ruimte omschrijving]],2,FALSE)</f>
        <v>Kinderopvang</v>
      </c>
      <c r="C419" s="219" t="s">
        <v>633</v>
      </c>
      <c r="D419" s="218" t="s">
        <v>12</v>
      </c>
      <c r="E419" s="219" t="s">
        <v>99</v>
      </c>
      <c r="F419" s="219" t="s">
        <v>635</v>
      </c>
      <c r="G419" s="224" t="s">
        <v>283</v>
      </c>
      <c r="H419" s="220" t="s">
        <v>18</v>
      </c>
      <c r="I419" s="220" t="s">
        <v>283</v>
      </c>
      <c r="J419" s="220" t="s">
        <v>283</v>
      </c>
      <c r="K419" s="220" t="s">
        <v>283</v>
      </c>
      <c r="L419" s="220" t="s">
        <v>283</v>
      </c>
      <c r="M419" s="220" t="s">
        <v>283</v>
      </c>
      <c r="N419" s="220" t="s">
        <v>283</v>
      </c>
      <c r="O419" s="221" t="s">
        <v>18</v>
      </c>
      <c r="P419" s="221" t="s">
        <v>18</v>
      </c>
      <c r="Q419" s="221" t="s">
        <v>15</v>
      </c>
      <c r="R419" s="221" t="s">
        <v>15</v>
      </c>
      <c r="S419" s="221" t="s">
        <v>16</v>
      </c>
      <c r="T419" s="221" t="s">
        <v>330</v>
      </c>
      <c r="U419" s="221" t="s">
        <v>250</v>
      </c>
      <c r="V419" s="221" t="s">
        <v>283</v>
      </c>
      <c r="W419" s="222" t="s">
        <v>283</v>
      </c>
      <c r="X419" s="222" t="s">
        <v>283</v>
      </c>
      <c r="Y419" s="223" t="s">
        <v>283</v>
      </c>
    </row>
    <row r="420" spans="1:25">
      <c r="A420" s="217">
        <v>8</v>
      </c>
      <c r="B420" s="218" t="str">
        <f>VLOOKUP(Tabel10[[#This Row],[Code]],Ruimtegroepen[[Code]:[Ruimte omschrijving]],2,FALSE)</f>
        <v>Kinderopvang</v>
      </c>
      <c r="C420" s="219" t="s">
        <v>633</v>
      </c>
      <c r="D420" s="218" t="s">
        <v>12</v>
      </c>
      <c r="E420" s="219" t="s">
        <v>101</v>
      </c>
      <c r="F420" s="219" t="s">
        <v>636</v>
      </c>
      <c r="G420" s="224" t="s">
        <v>283</v>
      </c>
      <c r="H420" s="220" t="s">
        <v>283</v>
      </c>
      <c r="I420" s="220" t="s">
        <v>17</v>
      </c>
      <c r="J420" s="220" t="s">
        <v>15</v>
      </c>
      <c r="K420" s="220" t="s">
        <v>284</v>
      </c>
      <c r="L420" s="220" t="s">
        <v>283</v>
      </c>
      <c r="M420" s="220" t="s">
        <v>283</v>
      </c>
      <c r="N420" s="220" t="s">
        <v>283</v>
      </c>
      <c r="O420" s="221" t="s">
        <v>18</v>
      </c>
      <c r="P420" s="221" t="s">
        <v>18</v>
      </c>
      <c r="Q420" s="221" t="s">
        <v>15</v>
      </c>
      <c r="R420" s="221" t="s">
        <v>15</v>
      </c>
      <c r="S420" s="221" t="s">
        <v>16</v>
      </c>
      <c r="T420" s="221" t="s">
        <v>330</v>
      </c>
      <c r="U420" s="221" t="s">
        <v>250</v>
      </c>
      <c r="V420" s="221" t="s">
        <v>283</v>
      </c>
      <c r="W420" s="222" t="s">
        <v>283</v>
      </c>
      <c r="X420" s="222" t="s">
        <v>283</v>
      </c>
      <c r="Y420" s="223" t="s">
        <v>283</v>
      </c>
    </row>
    <row r="421" spans="1:25">
      <c r="A421" s="217">
        <v>8</v>
      </c>
      <c r="B421" s="218" t="str">
        <f>VLOOKUP(Tabel10[[#This Row],[Code]],Ruimtegroepen[[Code]:[Ruimte omschrijving]],2,FALSE)</f>
        <v>Kinderopvang</v>
      </c>
      <c r="C421" s="219" t="s">
        <v>633</v>
      </c>
      <c r="D421" s="218" t="s">
        <v>12</v>
      </c>
      <c r="E421" s="219" t="s">
        <v>102</v>
      </c>
      <c r="F421" s="219" t="s">
        <v>637</v>
      </c>
      <c r="G421" s="224" t="s">
        <v>283</v>
      </c>
      <c r="H421" s="220" t="s">
        <v>283</v>
      </c>
      <c r="I421" s="220" t="s">
        <v>17</v>
      </c>
      <c r="J421" s="220" t="s">
        <v>15</v>
      </c>
      <c r="K421" s="220" t="s">
        <v>284</v>
      </c>
      <c r="L421" s="220" t="s">
        <v>283</v>
      </c>
      <c r="M421" s="220" t="s">
        <v>283</v>
      </c>
      <c r="N421" s="220" t="s">
        <v>283</v>
      </c>
      <c r="O421" s="221" t="s">
        <v>18</v>
      </c>
      <c r="P421" s="221" t="s">
        <v>18</v>
      </c>
      <c r="Q421" s="221" t="s">
        <v>15</v>
      </c>
      <c r="R421" s="221" t="s">
        <v>15</v>
      </c>
      <c r="S421" s="221" t="s">
        <v>16</v>
      </c>
      <c r="T421" s="221" t="s">
        <v>330</v>
      </c>
      <c r="U421" s="221" t="s">
        <v>250</v>
      </c>
      <c r="V421" s="221" t="s">
        <v>283</v>
      </c>
      <c r="W421" s="222" t="s">
        <v>283</v>
      </c>
      <c r="X421" s="222" t="s">
        <v>283</v>
      </c>
      <c r="Y421" s="223" t="s">
        <v>283</v>
      </c>
    </row>
    <row r="422" spans="1:25">
      <c r="A422" s="217">
        <v>8</v>
      </c>
      <c r="B422" s="218" t="str">
        <f>VLOOKUP(Tabel10[[#This Row],[Code]],Ruimtegroepen[[Code]:[Ruimte omschrijving]],2,FALSE)</f>
        <v>Kinderopvang</v>
      </c>
      <c r="C422" s="219" t="s">
        <v>633</v>
      </c>
      <c r="D422" s="218" t="s">
        <v>12</v>
      </c>
      <c r="E422" s="219" t="s">
        <v>99</v>
      </c>
      <c r="F422" s="219" t="s">
        <v>635</v>
      </c>
      <c r="G422" s="224" t="s">
        <v>283</v>
      </c>
      <c r="H422" s="220" t="s">
        <v>18</v>
      </c>
      <c r="I422" s="220" t="s">
        <v>283</v>
      </c>
      <c r="J422" s="220" t="s">
        <v>283</v>
      </c>
      <c r="K422" s="220" t="s">
        <v>283</v>
      </c>
      <c r="L422" s="220" t="s">
        <v>283</v>
      </c>
      <c r="M422" s="220" t="s">
        <v>283</v>
      </c>
      <c r="N422" s="220" t="s">
        <v>283</v>
      </c>
      <c r="O422" s="221" t="s">
        <v>18</v>
      </c>
      <c r="P422" s="221" t="s">
        <v>18</v>
      </c>
      <c r="Q422" s="221" t="s">
        <v>15</v>
      </c>
      <c r="R422" s="221" t="s">
        <v>15</v>
      </c>
      <c r="S422" s="221" t="s">
        <v>16</v>
      </c>
      <c r="T422" s="221" t="s">
        <v>330</v>
      </c>
      <c r="U422" s="221" t="s">
        <v>250</v>
      </c>
      <c r="V422" s="221" t="s">
        <v>283</v>
      </c>
      <c r="W422" s="222" t="s">
        <v>283</v>
      </c>
      <c r="X422" s="222" t="s">
        <v>283</v>
      </c>
      <c r="Y422" s="223" t="s">
        <v>283</v>
      </c>
    </row>
    <row r="423" spans="1:25">
      <c r="A423" s="217">
        <v>8</v>
      </c>
      <c r="B423" s="218" t="str">
        <f>VLOOKUP(Tabel10[[#This Row],[Code]],Ruimtegroepen[[Code]:[Ruimte omschrijving]],2,FALSE)</f>
        <v>Kinderopvang</v>
      </c>
      <c r="C423" s="219" t="s">
        <v>633</v>
      </c>
      <c r="D423" s="218" t="s">
        <v>12</v>
      </c>
      <c r="E423" s="219" t="s">
        <v>1313</v>
      </c>
      <c r="F423" s="219" t="s">
        <v>1434</v>
      </c>
      <c r="G423" s="224" t="s">
        <v>283</v>
      </c>
      <c r="H423" s="220" t="s">
        <v>283</v>
      </c>
      <c r="I423" s="220" t="s">
        <v>17</v>
      </c>
      <c r="J423" s="220" t="s">
        <v>15</v>
      </c>
      <c r="K423" s="220" t="s">
        <v>284</v>
      </c>
      <c r="L423" s="220" t="s">
        <v>283</v>
      </c>
      <c r="M423" s="220" t="s">
        <v>283</v>
      </c>
      <c r="N423" s="220" t="s">
        <v>283</v>
      </c>
      <c r="O423" s="221" t="s">
        <v>18</v>
      </c>
      <c r="P423" s="221" t="s">
        <v>18</v>
      </c>
      <c r="Q423" s="221" t="s">
        <v>15</v>
      </c>
      <c r="R423" s="221" t="s">
        <v>15</v>
      </c>
      <c r="S423" s="221" t="s">
        <v>16</v>
      </c>
      <c r="T423" s="221" t="s">
        <v>330</v>
      </c>
      <c r="U423" s="221" t="s">
        <v>250</v>
      </c>
      <c r="V423" s="221" t="s">
        <v>283</v>
      </c>
      <c r="W423" s="222" t="s">
        <v>283</v>
      </c>
      <c r="X423" s="222" t="s">
        <v>283</v>
      </c>
      <c r="Y423" s="223" t="s">
        <v>283</v>
      </c>
    </row>
    <row r="424" spans="1:25">
      <c r="A424" s="217">
        <v>8</v>
      </c>
      <c r="B424" s="218" t="str">
        <f>VLOOKUP(Tabel10[[#This Row],[Code]],Ruimtegroepen[[Code]:[Ruimte omschrijving]],2,FALSE)</f>
        <v>Kinderopvang</v>
      </c>
      <c r="C424" s="219" t="s">
        <v>638</v>
      </c>
      <c r="D424" s="218" t="s">
        <v>14</v>
      </c>
      <c r="E424" s="219" t="s">
        <v>100</v>
      </c>
      <c r="F424" s="219" t="s">
        <v>639</v>
      </c>
      <c r="G424" s="224" t="s">
        <v>283</v>
      </c>
      <c r="H424" s="220" t="s">
        <v>283</v>
      </c>
      <c r="I424" s="220" t="s">
        <v>15</v>
      </c>
      <c r="J424" s="220" t="s">
        <v>15</v>
      </c>
      <c r="K424" s="220" t="s">
        <v>283</v>
      </c>
      <c r="L424" s="220" t="s">
        <v>283</v>
      </c>
      <c r="M424" s="220" t="s">
        <v>283</v>
      </c>
      <c r="N424" s="220" t="s">
        <v>283</v>
      </c>
      <c r="O424" s="221" t="s">
        <v>17</v>
      </c>
      <c r="P424" s="221" t="s">
        <v>17</v>
      </c>
      <c r="Q424" s="221" t="s">
        <v>15</v>
      </c>
      <c r="R424" s="221" t="s">
        <v>15</v>
      </c>
      <c r="S424" s="221" t="s">
        <v>16</v>
      </c>
      <c r="T424" s="221" t="s">
        <v>330</v>
      </c>
      <c r="U424" s="221" t="s">
        <v>250</v>
      </c>
      <c r="V424" s="221" t="s">
        <v>283</v>
      </c>
      <c r="W424" s="222" t="s">
        <v>283</v>
      </c>
      <c r="X424" s="222" t="s">
        <v>283</v>
      </c>
      <c r="Y424" s="223" t="s">
        <v>283</v>
      </c>
    </row>
    <row r="425" spans="1:25">
      <c r="A425" s="217">
        <v>8</v>
      </c>
      <c r="B425" s="218" t="str">
        <f>VLOOKUP(Tabel10[[#This Row],[Code]],Ruimtegroepen[[Code]:[Ruimte omschrijving]],2,FALSE)</f>
        <v>Kinderopvang</v>
      </c>
      <c r="C425" s="219" t="s">
        <v>638</v>
      </c>
      <c r="D425" s="218" t="s">
        <v>14</v>
      </c>
      <c r="E425" s="219" t="s">
        <v>99</v>
      </c>
      <c r="F425" s="219" t="s">
        <v>640</v>
      </c>
      <c r="G425" s="224" t="s">
        <v>283</v>
      </c>
      <c r="H425" s="220" t="s">
        <v>17</v>
      </c>
      <c r="I425" s="220" t="s">
        <v>283</v>
      </c>
      <c r="J425" s="220" t="s">
        <v>283</v>
      </c>
      <c r="K425" s="220" t="s">
        <v>283</v>
      </c>
      <c r="L425" s="220" t="s">
        <v>283</v>
      </c>
      <c r="M425" s="220" t="s">
        <v>283</v>
      </c>
      <c r="N425" s="220" t="s">
        <v>283</v>
      </c>
      <c r="O425" s="221" t="s">
        <v>17</v>
      </c>
      <c r="P425" s="221" t="s">
        <v>17</v>
      </c>
      <c r="Q425" s="221" t="s">
        <v>15</v>
      </c>
      <c r="R425" s="221" t="s">
        <v>15</v>
      </c>
      <c r="S425" s="221" t="s">
        <v>16</v>
      </c>
      <c r="T425" s="221" t="s">
        <v>330</v>
      </c>
      <c r="U425" s="221" t="s">
        <v>250</v>
      </c>
      <c r="V425" s="221" t="s">
        <v>283</v>
      </c>
      <c r="W425" s="222" t="s">
        <v>283</v>
      </c>
      <c r="X425" s="222" t="s">
        <v>283</v>
      </c>
      <c r="Y425" s="223" t="s">
        <v>283</v>
      </c>
    </row>
    <row r="426" spans="1:25">
      <c r="A426" s="217">
        <v>8</v>
      </c>
      <c r="B426" s="218" t="str">
        <f>VLOOKUP(Tabel10[[#This Row],[Code]],Ruimtegroepen[[Code]:[Ruimte omschrijving]],2,FALSE)</f>
        <v>Kinderopvang</v>
      </c>
      <c r="C426" s="219" t="s">
        <v>638</v>
      </c>
      <c r="D426" s="218" t="s">
        <v>14</v>
      </c>
      <c r="E426" s="219" t="s">
        <v>101</v>
      </c>
      <c r="F426" s="219" t="s">
        <v>641</v>
      </c>
      <c r="G426" s="224" t="s">
        <v>283</v>
      </c>
      <c r="H426" s="220" t="s">
        <v>283</v>
      </c>
      <c r="I426" s="220" t="s">
        <v>15</v>
      </c>
      <c r="J426" s="220" t="s">
        <v>15</v>
      </c>
      <c r="K426" s="220" t="s">
        <v>284</v>
      </c>
      <c r="L426" s="220" t="s">
        <v>283</v>
      </c>
      <c r="M426" s="220" t="s">
        <v>283</v>
      </c>
      <c r="N426" s="220" t="s">
        <v>283</v>
      </c>
      <c r="O426" s="221" t="s">
        <v>17</v>
      </c>
      <c r="P426" s="221" t="s">
        <v>17</v>
      </c>
      <c r="Q426" s="221" t="s">
        <v>15</v>
      </c>
      <c r="R426" s="221" t="s">
        <v>15</v>
      </c>
      <c r="S426" s="221" t="s">
        <v>16</v>
      </c>
      <c r="T426" s="221" t="s">
        <v>330</v>
      </c>
      <c r="U426" s="221" t="s">
        <v>250</v>
      </c>
      <c r="V426" s="221" t="s">
        <v>283</v>
      </c>
      <c r="W426" s="222" t="s">
        <v>283</v>
      </c>
      <c r="X426" s="222" t="s">
        <v>283</v>
      </c>
      <c r="Y426" s="223" t="s">
        <v>283</v>
      </c>
    </row>
    <row r="427" spans="1:25">
      <c r="A427" s="217">
        <v>8</v>
      </c>
      <c r="B427" s="218" t="str">
        <f>VLOOKUP(Tabel10[[#This Row],[Code]],Ruimtegroepen[[Code]:[Ruimte omschrijving]],2,FALSE)</f>
        <v>Kinderopvang</v>
      </c>
      <c r="C427" s="219" t="s">
        <v>638</v>
      </c>
      <c r="D427" s="218" t="s">
        <v>14</v>
      </c>
      <c r="E427" s="219" t="s">
        <v>102</v>
      </c>
      <c r="F427" s="219" t="s">
        <v>642</v>
      </c>
      <c r="G427" s="224" t="s">
        <v>283</v>
      </c>
      <c r="H427" s="220" t="s">
        <v>283</v>
      </c>
      <c r="I427" s="220" t="s">
        <v>15</v>
      </c>
      <c r="J427" s="220" t="s">
        <v>15</v>
      </c>
      <c r="K427" s="220" t="s">
        <v>284</v>
      </c>
      <c r="L427" s="220" t="s">
        <v>283</v>
      </c>
      <c r="M427" s="220" t="s">
        <v>283</v>
      </c>
      <c r="N427" s="220" t="s">
        <v>283</v>
      </c>
      <c r="O427" s="221" t="s">
        <v>17</v>
      </c>
      <c r="P427" s="221" t="s">
        <v>17</v>
      </c>
      <c r="Q427" s="221" t="s">
        <v>15</v>
      </c>
      <c r="R427" s="221" t="s">
        <v>15</v>
      </c>
      <c r="S427" s="221" t="s">
        <v>16</v>
      </c>
      <c r="T427" s="221" t="s">
        <v>330</v>
      </c>
      <c r="U427" s="221" t="s">
        <v>250</v>
      </c>
      <c r="V427" s="221" t="s">
        <v>283</v>
      </c>
      <c r="W427" s="222" t="s">
        <v>283</v>
      </c>
      <c r="X427" s="222" t="s">
        <v>283</v>
      </c>
      <c r="Y427" s="223" t="s">
        <v>283</v>
      </c>
    </row>
    <row r="428" spans="1:25">
      <c r="A428" s="217">
        <v>8</v>
      </c>
      <c r="B428" s="218" t="str">
        <f>VLOOKUP(Tabel10[[#This Row],[Code]],Ruimtegroepen[[Code]:[Ruimte omschrijving]],2,FALSE)</f>
        <v>Kinderopvang</v>
      </c>
      <c r="C428" s="219" t="s">
        <v>638</v>
      </c>
      <c r="D428" s="218" t="s">
        <v>14</v>
      </c>
      <c r="E428" s="219" t="s">
        <v>99</v>
      </c>
      <c r="F428" s="219" t="s">
        <v>640</v>
      </c>
      <c r="G428" s="224" t="s">
        <v>283</v>
      </c>
      <c r="H428" s="220" t="s">
        <v>17</v>
      </c>
      <c r="I428" s="220" t="s">
        <v>283</v>
      </c>
      <c r="J428" s="220" t="s">
        <v>283</v>
      </c>
      <c r="K428" s="220" t="s">
        <v>283</v>
      </c>
      <c r="L428" s="220" t="s">
        <v>283</v>
      </c>
      <c r="M428" s="220" t="s">
        <v>283</v>
      </c>
      <c r="N428" s="220" t="s">
        <v>283</v>
      </c>
      <c r="O428" s="221" t="s">
        <v>17</v>
      </c>
      <c r="P428" s="221" t="s">
        <v>17</v>
      </c>
      <c r="Q428" s="221" t="s">
        <v>15</v>
      </c>
      <c r="R428" s="221" t="s">
        <v>15</v>
      </c>
      <c r="S428" s="221" t="s">
        <v>16</v>
      </c>
      <c r="T428" s="221" t="s">
        <v>330</v>
      </c>
      <c r="U428" s="221" t="s">
        <v>250</v>
      </c>
      <c r="V428" s="221" t="s">
        <v>283</v>
      </c>
      <c r="W428" s="222" t="s">
        <v>283</v>
      </c>
      <c r="X428" s="222" t="s">
        <v>283</v>
      </c>
      <c r="Y428" s="223" t="s">
        <v>283</v>
      </c>
    </row>
    <row r="429" spans="1:25">
      <c r="A429" s="217">
        <v>8</v>
      </c>
      <c r="B429" s="218" t="str">
        <f>VLOOKUP(Tabel10[[#This Row],[Code]],Ruimtegroepen[[Code]:[Ruimte omschrijving]],2,FALSE)</f>
        <v>Kinderopvang</v>
      </c>
      <c r="C429" s="219" t="s">
        <v>638</v>
      </c>
      <c r="D429" s="218" t="s">
        <v>14</v>
      </c>
      <c r="E429" s="219" t="s">
        <v>1313</v>
      </c>
      <c r="F429" s="219" t="s">
        <v>1401</v>
      </c>
      <c r="G429" s="224" t="s">
        <v>283</v>
      </c>
      <c r="H429" s="220" t="s">
        <v>283</v>
      </c>
      <c r="I429" s="220" t="s">
        <v>15</v>
      </c>
      <c r="J429" s="220" t="s">
        <v>15</v>
      </c>
      <c r="K429" s="220" t="s">
        <v>284</v>
      </c>
      <c r="L429" s="220" t="s">
        <v>283</v>
      </c>
      <c r="M429" s="220" t="s">
        <v>283</v>
      </c>
      <c r="N429" s="220" t="s">
        <v>283</v>
      </c>
      <c r="O429" s="221" t="s">
        <v>17</v>
      </c>
      <c r="P429" s="221" t="s">
        <v>17</v>
      </c>
      <c r="Q429" s="221" t="s">
        <v>15</v>
      </c>
      <c r="R429" s="221" t="s">
        <v>15</v>
      </c>
      <c r="S429" s="221" t="s">
        <v>16</v>
      </c>
      <c r="T429" s="221" t="s">
        <v>330</v>
      </c>
      <c r="U429" s="221" t="s">
        <v>250</v>
      </c>
      <c r="V429" s="221" t="s">
        <v>283</v>
      </c>
      <c r="W429" s="222" t="s">
        <v>283</v>
      </c>
      <c r="X429" s="222" t="s">
        <v>283</v>
      </c>
      <c r="Y429" s="223" t="s">
        <v>283</v>
      </c>
    </row>
    <row r="430" spans="1:25">
      <c r="A430" s="217">
        <v>8</v>
      </c>
      <c r="B430" s="218" t="str">
        <f>VLOOKUP(Tabel10[[#This Row],[Code]],Ruimtegroepen[[Code]:[Ruimte omschrijving]],2,FALSE)</f>
        <v>Kinderopvang</v>
      </c>
      <c r="C430" s="219" t="s">
        <v>643</v>
      </c>
      <c r="D430" s="218" t="s">
        <v>13</v>
      </c>
      <c r="E430" s="219" t="s">
        <v>100</v>
      </c>
      <c r="F430" s="219" t="s">
        <v>644</v>
      </c>
      <c r="G430" s="224" t="s">
        <v>283</v>
      </c>
      <c r="H430" s="220" t="s">
        <v>283</v>
      </c>
      <c r="I430" s="220" t="s">
        <v>283</v>
      </c>
      <c r="J430" s="220" t="s">
        <v>15</v>
      </c>
      <c r="K430" s="220" t="s">
        <v>283</v>
      </c>
      <c r="L430" s="220" t="s">
        <v>283</v>
      </c>
      <c r="M430" s="220" t="s">
        <v>283</v>
      </c>
      <c r="N430" s="220" t="s">
        <v>283</v>
      </c>
      <c r="O430" s="221" t="s">
        <v>15</v>
      </c>
      <c r="P430" s="221" t="s">
        <v>15</v>
      </c>
      <c r="Q430" s="221" t="s">
        <v>15</v>
      </c>
      <c r="R430" s="221" t="s">
        <v>15</v>
      </c>
      <c r="S430" s="221" t="s">
        <v>16</v>
      </c>
      <c r="T430" s="221" t="s">
        <v>330</v>
      </c>
      <c r="U430" s="221" t="s">
        <v>250</v>
      </c>
      <c r="V430" s="221" t="s">
        <v>283</v>
      </c>
      <c r="W430" s="222" t="s">
        <v>283</v>
      </c>
      <c r="X430" s="222" t="s">
        <v>283</v>
      </c>
      <c r="Y430" s="223" t="s">
        <v>283</v>
      </c>
    </row>
    <row r="431" spans="1:25">
      <c r="A431" s="217">
        <v>8</v>
      </c>
      <c r="B431" s="218" t="str">
        <f>VLOOKUP(Tabel10[[#This Row],[Code]],Ruimtegroepen[[Code]:[Ruimte omschrijving]],2,FALSE)</f>
        <v>Kinderopvang</v>
      </c>
      <c r="C431" s="219" t="s">
        <v>643</v>
      </c>
      <c r="D431" s="218" t="s">
        <v>13</v>
      </c>
      <c r="E431" s="219" t="s">
        <v>99</v>
      </c>
      <c r="F431" s="219" t="s">
        <v>645</v>
      </c>
      <c r="G431" s="224" t="s">
        <v>283</v>
      </c>
      <c r="H431" s="220" t="s">
        <v>15</v>
      </c>
      <c r="I431" s="220" t="s">
        <v>283</v>
      </c>
      <c r="J431" s="220" t="s">
        <v>283</v>
      </c>
      <c r="K431" s="220" t="s">
        <v>283</v>
      </c>
      <c r="L431" s="220" t="s">
        <v>283</v>
      </c>
      <c r="M431" s="220" t="s">
        <v>283</v>
      </c>
      <c r="N431" s="220" t="s">
        <v>283</v>
      </c>
      <c r="O431" s="221" t="s">
        <v>15</v>
      </c>
      <c r="P431" s="221" t="s">
        <v>15</v>
      </c>
      <c r="Q431" s="221" t="s">
        <v>15</v>
      </c>
      <c r="R431" s="221" t="s">
        <v>15</v>
      </c>
      <c r="S431" s="221" t="s">
        <v>16</v>
      </c>
      <c r="T431" s="221" t="s">
        <v>330</v>
      </c>
      <c r="U431" s="221" t="s">
        <v>250</v>
      </c>
      <c r="V431" s="221" t="s">
        <v>283</v>
      </c>
      <c r="W431" s="222" t="s">
        <v>283</v>
      </c>
      <c r="X431" s="222" t="s">
        <v>283</v>
      </c>
      <c r="Y431" s="223" t="s">
        <v>283</v>
      </c>
    </row>
    <row r="432" spans="1:25">
      <c r="A432" s="217">
        <v>8</v>
      </c>
      <c r="B432" s="218" t="str">
        <f>VLOOKUP(Tabel10[[#This Row],[Code]],Ruimtegroepen[[Code]:[Ruimte omschrijving]],2,FALSE)</f>
        <v>Kinderopvang</v>
      </c>
      <c r="C432" s="219" t="s">
        <v>643</v>
      </c>
      <c r="D432" s="218" t="s">
        <v>13</v>
      </c>
      <c r="E432" s="219" t="s">
        <v>101</v>
      </c>
      <c r="F432" s="219" t="s">
        <v>646</v>
      </c>
      <c r="G432" s="224" t="s">
        <v>283</v>
      </c>
      <c r="H432" s="220" t="s">
        <v>283</v>
      </c>
      <c r="I432" s="220" t="s">
        <v>283</v>
      </c>
      <c r="J432" s="220" t="s">
        <v>15</v>
      </c>
      <c r="K432" s="220" t="s">
        <v>284</v>
      </c>
      <c r="L432" s="220" t="s">
        <v>283</v>
      </c>
      <c r="M432" s="220" t="s">
        <v>283</v>
      </c>
      <c r="N432" s="220" t="s">
        <v>283</v>
      </c>
      <c r="O432" s="221" t="s">
        <v>15</v>
      </c>
      <c r="P432" s="221" t="s">
        <v>15</v>
      </c>
      <c r="Q432" s="221" t="s">
        <v>15</v>
      </c>
      <c r="R432" s="221" t="s">
        <v>15</v>
      </c>
      <c r="S432" s="221" t="s">
        <v>16</v>
      </c>
      <c r="T432" s="221" t="s">
        <v>330</v>
      </c>
      <c r="U432" s="221" t="s">
        <v>250</v>
      </c>
      <c r="V432" s="221" t="s">
        <v>283</v>
      </c>
      <c r="W432" s="222" t="s">
        <v>283</v>
      </c>
      <c r="X432" s="222" t="s">
        <v>283</v>
      </c>
      <c r="Y432" s="223" t="s">
        <v>283</v>
      </c>
    </row>
    <row r="433" spans="1:25">
      <c r="A433" s="217">
        <v>8</v>
      </c>
      <c r="B433" s="218" t="str">
        <f>VLOOKUP(Tabel10[[#This Row],[Code]],Ruimtegroepen[[Code]:[Ruimte omschrijving]],2,FALSE)</f>
        <v>Kinderopvang</v>
      </c>
      <c r="C433" s="219" t="s">
        <v>643</v>
      </c>
      <c r="D433" s="218" t="s">
        <v>13</v>
      </c>
      <c r="E433" s="219" t="s">
        <v>102</v>
      </c>
      <c r="F433" s="219" t="s">
        <v>647</v>
      </c>
      <c r="G433" s="224" t="s">
        <v>283</v>
      </c>
      <c r="H433" s="220" t="s">
        <v>283</v>
      </c>
      <c r="I433" s="220" t="s">
        <v>283</v>
      </c>
      <c r="J433" s="220" t="s">
        <v>15</v>
      </c>
      <c r="K433" s="220" t="s">
        <v>284</v>
      </c>
      <c r="L433" s="220" t="s">
        <v>283</v>
      </c>
      <c r="M433" s="220" t="s">
        <v>283</v>
      </c>
      <c r="N433" s="220" t="s">
        <v>283</v>
      </c>
      <c r="O433" s="221" t="s">
        <v>15</v>
      </c>
      <c r="P433" s="221" t="s">
        <v>15</v>
      </c>
      <c r="Q433" s="221" t="s">
        <v>15</v>
      </c>
      <c r="R433" s="221" t="s">
        <v>15</v>
      </c>
      <c r="S433" s="221" t="s">
        <v>16</v>
      </c>
      <c r="T433" s="221" t="s">
        <v>330</v>
      </c>
      <c r="U433" s="221" t="s">
        <v>250</v>
      </c>
      <c r="V433" s="221" t="s">
        <v>283</v>
      </c>
      <c r="W433" s="222" t="s">
        <v>283</v>
      </c>
      <c r="X433" s="222" t="s">
        <v>283</v>
      </c>
      <c r="Y433" s="223" t="s">
        <v>283</v>
      </c>
    </row>
    <row r="434" spans="1:25">
      <c r="A434" s="217">
        <v>8</v>
      </c>
      <c r="B434" s="218" t="str">
        <f>VLOOKUP(Tabel10[[#This Row],[Code]],Ruimtegroepen[[Code]:[Ruimte omschrijving]],2,FALSE)</f>
        <v>Kinderopvang</v>
      </c>
      <c r="C434" s="219" t="s">
        <v>643</v>
      </c>
      <c r="D434" s="218" t="s">
        <v>13</v>
      </c>
      <c r="E434" s="219" t="s">
        <v>99</v>
      </c>
      <c r="F434" s="219" t="s">
        <v>645</v>
      </c>
      <c r="G434" s="224" t="s">
        <v>283</v>
      </c>
      <c r="H434" s="220" t="s">
        <v>15</v>
      </c>
      <c r="I434" s="220" t="s">
        <v>283</v>
      </c>
      <c r="J434" s="220" t="s">
        <v>283</v>
      </c>
      <c r="K434" s="220" t="s">
        <v>283</v>
      </c>
      <c r="L434" s="220" t="s">
        <v>283</v>
      </c>
      <c r="M434" s="220" t="s">
        <v>283</v>
      </c>
      <c r="N434" s="220" t="s">
        <v>283</v>
      </c>
      <c r="O434" s="221" t="s">
        <v>15</v>
      </c>
      <c r="P434" s="221" t="s">
        <v>15</v>
      </c>
      <c r="Q434" s="221" t="s">
        <v>15</v>
      </c>
      <c r="R434" s="221" t="s">
        <v>15</v>
      </c>
      <c r="S434" s="221" t="s">
        <v>16</v>
      </c>
      <c r="T434" s="221" t="s">
        <v>330</v>
      </c>
      <c r="U434" s="221" t="s">
        <v>250</v>
      </c>
      <c r="V434" s="221" t="s">
        <v>283</v>
      </c>
      <c r="W434" s="222" t="s">
        <v>283</v>
      </c>
      <c r="X434" s="222" t="s">
        <v>283</v>
      </c>
      <c r="Y434" s="223" t="s">
        <v>283</v>
      </c>
    </row>
    <row r="435" spans="1:25">
      <c r="A435" s="217">
        <v>8</v>
      </c>
      <c r="B435" s="218" t="str">
        <f>VLOOKUP(Tabel10[[#This Row],[Code]],Ruimtegroepen[[Code]:[Ruimte omschrijving]],2,FALSE)</f>
        <v>Kinderopvang</v>
      </c>
      <c r="C435" s="219" t="s">
        <v>643</v>
      </c>
      <c r="D435" s="218" t="s">
        <v>13</v>
      </c>
      <c r="E435" s="219" t="s">
        <v>1313</v>
      </c>
      <c r="F435" s="219" t="s">
        <v>1368</v>
      </c>
      <c r="G435" s="224" t="s">
        <v>283</v>
      </c>
      <c r="H435" s="220" t="s">
        <v>283</v>
      </c>
      <c r="I435" s="220" t="s">
        <v>283</v>
      </c>
      <c r="J435" s="220" t="s">
        <v>15</v>
      </c>
      <c r="K435" s="220" t="s">
        <v>284</v>
      </c>
      <c r="L435" s="220" t="s">
        <v>283</v>
      </c>
      <c r="M435" s="220" t="s">
        <v>283</v>
      </c>
      <c r="N435" s="220" t="s">
        <v>283</v>
      </c>
      <c r="O435" s="221" t="s">
        <v>15</v>
      </c>
      <c r="P435" s="221" t="s">
        <v>15</v>
      </c>
      <c r="Q435" s="221" t="s">
        <v>15</v>
      </c>
      <c r="R435" s="221" t="s">
        <v>15</v>
      </c>
      <c r="S435" s="221" t="s">
        <v>16</v>
      </c>
      <c r="T435" s="221" t="s">
        <v>330</v>
      </c>
      <c r="U435" s="221" t="s">
        <v>250</v>
      </c>
      <c r="V435" s="221" t="s">
        <v>283</v>
      </c>
      <c r="W435" s="222" t="s">
        <v>283</v>
      </c>
      <c r="X435" s="222" t="s">
        <v>283</v>
      </c>
      <c r="Y435" s="223" t="s">
        <v>283</v>
      </c>
    </row>
    <row r="436" spans="1:25">
      <c r="A436" s="217">
        <v>8</v>
      </c>
      <c r="B436" s="218" t="str">
        <f>VLOOKUP(Tabel10[[#This Row],[Code]],Ruimtegroepen[[Code]:[Ruimte omschrijving]],2,FALSE)</f>
        <v>Kinderopvang</v>
      </c>
      <c r="C436" s="219" t="s">
        <v>648</v>
      </c>
      <c r="D436" s="218" t="s">
        <v>0</v>
      </c>
      <c r="E436" s="219" t="s">
        <v>100</v>
      </c>
      <c r="F436" s="219" t="s">
        <v>649</v>
      </c>
      <c r="G436" s="224" t="s">
        <v>283</v>
      </c>
      <c r="H436" s="220" t="s">
        <v>283</v>
      </c>
      <c r="I436" s="220" t="s">
        <v>283</v>
      </c>
      <c r="J436" s="220" t="s">
        <v>16</v>
      </c>
      <c r="K436" s="220" t="s">
        <v>283</v>
      </c>
      <c r="L436" s="220" t="s">
        <v>283</v>
      </c>
      <c r="M436" s="220" t="s">
        <v>283</v>
      </c>
      <c r="N436" s="220" t="s">
        <v>283</v>
      </c>
      <c r="O436" s="221" t="s">
        <v>16</v>
      </c>
      <c r="P436" s="221" t="s">
        <v>16</v>
      </c>
      <c r="Q436" s="221" t="s">
        <v>16</v>
      </c>
      <c r="R436" s="221" t="s">
        <v>16</v>
      </c>
      <c r="S436" s="221" t="s">
        <v>16</v>
      </c>
      <c r="T436" s="221" t="s">
        <v>330</v>
      </c>
      <c r="U436" s="221" t="s">
        <v>250</v>
      </c>
      <c r="V436" s="221" t="s">
        <v>283</v>
      </c>
      <c r="W436" s="222" t="s">
        <v>283</v>
      </c>
      <c r="X436" s="222" t="s">
        <v>283</v>
      </c>
      <c r="Y436" s="223" t="s">
        <v>283</v>
      </c>
    </row>
    <row r="437" spans="1:25">
      <c r="A437" s="217">
        <v>8</v>
      </c>
      <c r="B437" s="218" t="str">
        <f>VLOOKUP(Tabel10[[#This Row],[Code]],Ruimtegroepen[[Code]:[Ruimte omschrijving]],2,FALSE)</f>
        <v>Kinderopvang</v>
      </c>
      <c r="C437" s="219" t="s">
        <v>648</v>
      </c>
      <c r="D437" s="218" t="s">
        <v>0</v>
      </c>
      <c r="E437" s="219" t="s">
        <v>99</v>
      </c>
      <c r="F437" s="219" t="s">
        <v>650</v>
      </c>
      <c r="G437" s="224" t="s">
        <v>283</v>
      </c>
      <c r="H437" s="220" t="s">
        <v>16</v>
      </c>
      <c r="I437" s="220" t="s">
        <v>283</v>
      </c>
      <c r="J437" s="220" t="s">
        <v>283</v>
      </c>
      <c r="K437" s="220" t="s">
        <v>283</v>
      </c>
      <c r="L437" s="220" t="s">
        <v>283</v>
      </c>
      <c r="M437" s="220" t="s">
        <v>283</v>
      </c>
      <c r="N437" s="220" t="s">
        <v>283</v>
      </c>
      <c r="O437" s="221" t="s">
        <v>16</v>
      </c>
      <c r="P437" s="221" t="s">
        <v>16</v>
      </c>
      <c r="Q437" s="221" t="s">
        <v>16</v>
      </c>
      <c r="R437" s="221" t="s">
        <v>16</v>
      </c>
      <c r="S437" s="221" t="s">
        <v>16</v>
      </c>
      <c r="T437" s="221" t="s">
        <v>330</v>
      </c>
      <c r="U437" s="221" t="s">
        <v>250</v>
      </c>
      <c r="V437" s="221" t="s">
        <v>283</v>
      </c>
      <c r="W437" s="222" t="s">
        <v>283</v>
      </c>
      <c r="X437" s="222" t="s">
        <v>283</v>
      </c>
      <c r="Y437" s="223" t="s">
        <v>283</v>
      </c>
    </row>
    <row r="438" spans="1:25">
      <c r="A438" s="217">
        <v>8</v>
      </c>
      <c r="B438" s="218" t="str">
        <f>VLOOKUP(Tabel10[[#This Row],[Code]],Ruimtegroepen[[Code]:[Ruimte omschrijving]],2,FALSE)</f>
        <v>Kinderopvang</v>
      </c>
      <c r="C438" s="219" t="s">
        <v>648</v>
      </c>
      <c r="D438" s="218" t="s">
        <v>0</v>
      </c>
      <c r="E438" s="219" t="s">
        <v>101</v>
      </c>
      <c r="F438" s="219" t="s">
        <v>651</v>
      </c>
      <c r="G438" s="224" t="s">
        <v>283</v>
      </c>
      <c r="H438" s="220" t="s">
        <v>283</v>
      </c>
      <c r="I438" s="220" t="s">
        <v>283</v>
      </c>
      <c r="J438" s="220" t="s">
        <v>16</v>
      </c>
      <c r="K438" s="220" t="s">
        <v>284</v>
      </c>
      <c r="L438" s="220" t="s">
        <v>283</v>
      </c>
      <c r="M438" s="220" t="s">
        <v>283</v>
      </c>
      <c r="N438" s="220" t="s">
        <v>283</v>
      </c>
      <c r="O438" s="221" t="s">
        <v>16</v>
      </c>
      <c r="P438" s="221" t="s">
        <v>16</v>
      </c>
      <c r="Q438" s="221" t="s">
        <v>16</v>
      </c>
      <c r="R438" s="221" t="s">
        <v>16</v>
      </c>
      <c r="S438" s="221" t="s">
        <v>16</v>
      </c>
      <c r="T438" s="221" t="s">
        <v>330</v>
      </c>
      <c r="U438" s="221" t="s">
        <v>250</v>
      </c>
      <c r="V438" s="221" t="s">
        <v>283</v>
      </c>
      <c r="W438" s="222" t="s">
        <v>283</v>
      </c>
      <c r="X438" s="222" t="s">
        <v>283</v>
      </c>
      <c r="Y438" s="223" t="s">
        <v>283</v>
      </c>
    </row>
    <row r="439" spans="1:25">
      <c r="A439" s="217">
        <v>8</v>
      </c>
      <c r="B439" s="218" t="str">
        <f>VLOOKUP(Tabel10[[#This Row],[Code]],Ruimtegroepen[[Code]:[Ruimte omschrijving]],2,FALSE)</f>
        <v>Kinderopvang</v>
      </c>
      <c r="C439" s="219" t="s">
        <v>648</v>
      </c>
      <c r="D439" s="218" t="s">
        <v>0</v>
      </c>
      <c r="E439" s="219" t="s">
        <v>102</v>
      </c>
      <c r="F439" s="219" t="s">
        <v>652</v>
      </c>
      <c r="G439" s="224" t="s">
        <v>283</v>
      </c>
      <c r="H439" s="220" t="s">
        <v>283</v>
      </c>
      <c r="I439" s="220" t="s">
        <v>283</v>
      </c>
      <c r="J439" s="220" t="s">
        <v>16</v>
      </c>
      <c r="K439" s="220" t="s">
        <v>284</v>
      </c>
      <c r="L439" s="220" t="s">
        <v>283</v>
      </c>
      <c r="M439" s="220" t="s">
        <v>283</v>
      </c>
      <c r="N439" s="220" t="s">
        <v>283</v>
      </c>
      <c r="O439" s="221" t="s">
        <v>16</v>
      </c>
      <c r="P439" s="221" t="s">
        <v>16</v>
      </c>
      <c r="Q439" s="221" t="s">
        <v>16</v>
      </c>
      <c r="R439" s="221" t="s">
        <v>16</v>
      </c>
      <c r="S439" s="221" t="s">
        <v>16</v>
      </c>
      <c r="T439" s="221" t="s">
        <v>330</v>
      </c>
      <c r="U439" s="221" t="s">
        <v>250</v>
      </c>
      <c r="V439" s="221" t="s">
        <v>283</v>
      </c>
      <c r="W439" s="222" t="s">
        <v>283</v>
      </c>
      <c r="X439" s="222" t="s">
        <v>283</v>
      </c>
      <c r="Y439" s="223" t="s">
        <v>283</v>
      </c>
    </row>
    <row r="440" spans="1:25">
      <c r="A440" s="217">
        <v>8</v>
      </c>
      <c r="B440" s="218" t="str">
        <f>VLOOKUP(Tabel10[[#This Row],[Code]],Ruimtegroepen[[Code]:[Ruimte omschrijving]],2,FALSE)</f>
        <v>Kinderopvang</v>
      </c>
      <c r="C440" s="219" t="s">
        <v>648</v>
      </c>
      <c r="D440" s="218" t="s">
        <v>0</v>
      </c>
      <c r="E440" s="219" t="s">
        <v>99</v>
      </c>
      <c r="F440" s="219" t="s">
        <v>650</v>
      </c>
      <c r="G440" s="224" t="s">
        <v>283</v>
      </c>
      <c r="H440" s="220" t="s">
        <v>16</v>
      </c>
      <c r="I440" s="220" t="s">
        <v>283</v>
      </c>
      <c r="J440" s="220" t="s">
        <v>283</v>
      </c>
      <c r="K440" s="220" t="s">
        <v>283</v>
      </c>
      <c r="L440" s="220" t="s">
        <v>283</v>
      </c>
      <c r="M440" s="220" t="s">
        <v>283</v>
      </c>
      <c r="N440" s="220" t="s">
        <v>283</v>
      </c>
      <c r="O440" s="221" t="s">
        <v>16</v>
      </c>
      <c r="P440" s="221" t="s">
        <v>16</v>
      </c>
      <c r="Q440" s="221" t="s">
        <v>16</v>
      </c>
      <c r="R440" s="221" t="s">
        <v>16</v>
      </c>
      <c r="S440" s="221" t="s">
        <v>16</v>
      </c>
      <c r="T440" s="221" t="s">
        <v>330</v>
      </c>
      <c r="U440" s="221" t="s">
        <v>250</v>
      </c>
      <c r="V440" s="221" t="s">
        <v>283</v>
      </c>
      <c r="W440" s="222" t="s">
        <v>283</v>
      </c>
      <c r="X440" s="222" t="s">
        <v>283</v>
      </c>
      <c r="Y440" s="223" t="s">
        <v>283</v>
      </c>
    </row>
    <row r="441" spans="1:25">
      <c r="A441" s="217">
        <v>8</v>
      </c>
      <c r="B441" s="218" t="str">
        <f>VLOOKUP(Tabel10[[#This Row],[Code]],Ruimtegroepen[[Code]:[Ruimte omschrijving]],2,FALSE)</f>
        <v>Kinderopvang</v>
      </c>
      <c r="C441" s="219" t="s">
        <v>648</v>
      </c>
      <c r="D441" s="218" t="s">
        <v>0</v>
      </c>
      <c r="E441" s="219" t="s">
        <v>1313</v>
      </c>
      <c r="F441" s="219" t="s">
        <v>1352</v>
      </c>
      <c r="G441" s="224" t="s">
        <v>283</v>
      </c>
      <c r="H441" s="220" t="s">
        <v>283</v>
      </c>
      <c r="I441" s="220" t="s">
        <v>283</v>
      </c>
      <c r="J441" s="220" t="s">
        <v>16</v>
      </c>
      <c r="K441" s="220" t="s">
        <v>284</v>
      </c>
      <c r="L441" s="220" t="s">
        <v>283</v>
      </c>
      <c r="M441" s="220" t="s">
        <v>283</v>
      </c>
      <c r="N441" s="220" t="s">
        <v>283</v>
      </c>
      <c r="O441" s="221" t="s">
        <v>16</v>
      </c>
      <c r="P441" s="221" t="s">
        <v>16</v>
      </c>
      <c r="Q441" s="221" t="s">
        <v>16</v>
      </c>
      <c r="R441" s="221" t="s">
        <v>16</v>
      </c>
      <c r="S441" s="221" t="s">
        <v>16</v>
      </c>
      <c r="T441" s="221" t="s">
        <v>330</v>
      </c>
      <c r="U441" s="221" t="s">
        <v>250</v>
      </c>
      <c r="V441" s="221" t="s">
        <v>283</v>
      </c>
      <c r="W441" s="222" t="s">
        <v>283</v>
      </c>
      <c r="X441" s="222" t="s">
        <v>283</v>
      </c>
      <c r="Y441" s="223" t="s">
        <v>283</v>
      </c>
    </row>
    <row r="442" spans="1:25">
      <c r="A442" s="217">
        <v>8</v>
      </c>
      <c r="B442" s="218" t="str">
        <f>VLOOKUP(Tabel10[[#This Row],[Code]],Ruimtegroepen[[Code]:[Ruimte omschrijving]],2,FALSE)</f>
        <v>Kinderopvang</v>
      </c>
      <c r="C442" s="219" t="s">
        <v>653</v>
      </c>
      <c r="D442" s="218" t="s">
        <v>27</v>
      </c>
      <c r="E442" s="219" t="s">
        <v>100</v>
      </c>
      <c r="F442" s="219" t="s">
        <v>654</v>
      </c>
      <c r="G442" s="224" t="s">
        <v>283</v>
      </c>
      <c r="H442" s="220" t="s">
        <v>283</v>
      </c>
      <c r="I442" s="220" t="s">
        <v>15</v>
      </c>
      <c r="J442" s="220" t="s">
        <v>283</v>
      </c>
      <c r="K442" s="220" t="s">
        <v>283</v>
      </c>
      <c r="L442" s="220" t="s">
        <v>283</v>
      </c>
      <c r="M442" s="220" t="s">
        <v>283</v>
      </c>
      <c r="N442" s="220" t="s">
        <v>283</v>
      </c>
      <c r="O442" s="221" t="s">
        <v>15</v>
      </c>
      <c r="P442" s="221" t="s">
        <v>15</v>
      </c>
      <c r="Q442" s="221" t="s">
        <v>15</v>
      </c>
      <c r="R442" s="221" t="s">
        <v>283</v>
      </c>
      <c r="S442" s="221" t="s">
        <v>283</v>
      </c>
      <c r="T442" s="221" t="s">
        <v>283</v>
      </c>
      <c r="U442" s="221" t="s">
        <v>283</v>
      </c>
      <c r="V442" s="221" t="s">
        <v>283</v>
      </c>
      <c r="W442" s="222" t="s">
        <v>283</v>
      </c>
      <c r="X442" s="222" t="s">
        <v>283</v>
      </c>
      <c r="Y442" s="223" t="s">
        <v>283</v>
      </c>
    </row>
    <row r="443" spans="1:25">
      <c r="A443" s="217">
        <v>8</v>
      </c>
      <c r="B443" s="218" t="str">
        <f>VLOOKUP(Tabel10[[#This Row],[Code]],Ruimtegroepen[[Code]:[Ruimte omschrijving]],2,FALSE)</f>
        <v>Kinderopvang</v>
      </c>
      <c r="C443" s="219" t="s">
        <v>653</v>
      </c>
      <c r="D443" s="218" t="s">
        <v>27</v>
      </c>
      <c r="E443" s="219" t="s">
        <v>99</v>
      </c>
      <c r="F443" s="219" t="s">
        <v>655</v>
      </c>
      <c r="G443" s="224" t="s">
        <v>283</v>
      </c>
      <c r="H443" s="220" t="s">
        <v>15</v>
      </c>
      <c r="I443" s="220" t="s">
        <v>283</v>
      </c>
      <c r="J443" s="220" t="s">
        <v>283</v>
      </c>
      <c r="K443" s="220" t="s">
        <v>283</v>
      </c>
      <c r="L443" s="220" t="s">
        <v>283</v>
      </c>
      <c r="M443" s="220" t="s">
        <v>283</v>
      </c>
      <c r="N443" s="220" t="s">
        <v>283</v>
      </c>
      <c r="O443" s="221" t="s">
        <v>15</v>
      </c>
      <c r="P443" s="221" t="s">
        <v>15</v>
      </c>
      <c r="Q443" s="221" t="s">
        <v>15</v>
      </c>
      <c r="R443" s="221" t="s">
        <v>283</v>
      </c>
      <c r="S443" s="221" t="s">
        <v>283</v>
      </c>
      <c r="T443" s="221" t="s">
        <v>283</v>
      </c>
      <c r="U443" s="221" t="s">
        <v>283</v>
      </c>
      <c r="V443" s="221" t="s">
        <v>283</v>
      </c>
      <c r="W443" s="222" t="s">
        <v>283</v>
      </c>
      <c r="X443" s="222" t="s">
        <v>283</v>
      </c>
      <c r="Y443" s="223" t="s">
        <v>283</v>
      </c>
    </row>
    <row r="444" spans="1:25">
      <c r="A444" s="217">
        <v>8</v>
      </c>
      <c r="B444" s="218" t="str">
        <f>VLOOKUP(Tabel10[[#This Row],[Code]],Ruimtegroepen[[Code]:[Ruimte omschrijving]],2,FALSE)</f>
        <v>Kinderopvang</v>
      </c>
      <c r="C444" s="219" t="s">
        <v>653</v>
      </c>
      <c r="D444" s="218" t="s">
        <v>27</v>
      </c>
      <c r="E444" s="219" t="s">
        <v>101</v>
      </c>
      <c r="F444" s="219" t="s">
        <v>656</v>
      </c>
      <c r="G444" s="224" t="s">
        <v>283</v>
      </c>
      <c r="H444" s="220" t="s">
        <v>283</v>
      </c>
      <c r="I444" s="220" t="s">
        <v>15</v>
      </c>
      <c r="J444" s="220" t="s">
        <v>283</v>
      </c>
      <c r="K444" s="220" t="s">
        <v>283</v>
      </c>
      <c r="L444" s="220" t="s">
        <v>283</v>
      </c>
      <c r="M444" s="220" t="s">
        <v>283</v>
      </c>
      <c r="N444" s="220" t="s">
        <v>283</v>
      </c>
      <c r="O444" s="221" t="s">
        <v>15</v>
      </c>
      <c r="P444" s="221" t="s">
        <v>15</v>
      </c>
      <c r="Q444" s="221" t="s">
        <v>15</v>
      </c>
      <c r="R444" s="221" t="s">
        <v>283</v>
      </c>
      <c r="S444" s="221" t="s">
        <v>283</v>
      </c>
      <c r="T444" s="221" t="s">
        <v>283</v>
      </c>
      <c r="U444" s="221" t="s">
        <v>283</v>
      </c>
      <c r="V444" s="221" t="s">
        <v>283</v>
      </c>
      <c r="W444" s="222" t="s">
        <v>283</v>
      </c>
      <c r="X444" s="222" t="s">
        <v>283</v>
      </c>
      <c r="Y444" s="223" t="s">
        <v>283</v>
      </c>
    </row>
    <row r="445" spans="1:25">
      <c r="A445" s="217">
        <v>8</v>
      </c>
      <c r="B445" s="218" t="str">
        <f>VLOOKUP(Tabel10[[#This Row],[Code]],Ruimtegroepen[[Code]:[Ruimte omschrijving]],2,FALSE)</f>
        <v>Kinderopvang</v>
      </c>
      <c r="C445" s="219" t="s">
        <v>653</v>
      </c>
      <c r="D445" s="218" t="s">
        <v>27</v>
      </c>
      <c r="E445" s="219" t="s">
        <v>102</v>
      </c>
      <c r="F445" s="219" t="s">
        <v>657</v>
      </c>
      <c r="G445" s="224" t="s">
        <v>283</v>
      </c>
      <c r="H445" s="220" t="s">
        <v>283</v>
      </c>
      <c r="I445" s="220" t="s">
        <v>15</v>
      </c>
      <c r="J445" s="220" t="s">
        <v>283</v>
      </c>
      <c r="K445" s="220" t="s">
        <v>283</v>
      </c>
      <c r="L445" s="220" t="s">
        <v>283</v>
      </c>
      <c r="M445" s="220" t="s">
        <v>283</v>
      </c>
      <c r="N445" s="220" t="s">
        <v>283</v>
      </c>
      <c r="O445" s="221" t="s">
        <v>15</v>
      </c>
      <c r="P445" s="221" t="s">
        <v>15</v>
      </c>
      <c r="Q445" s="221" t="s">
        <v>15</v>
      </c>
      <c r="R445" s="221" t="s">
        <v>283</v>
      </c>
      <c r="S445" s="221" t="s">
        <v>283</v>
      </c>
      <c r="T445" s="221" t="s">
        <v>283</v>
      </c>
      <c r="U445" s="221" t="s">
        <v>283</v>
      </c>
      <c r="V445" s="221" t="s">
        <v>283</v>
      </c>
      <c r="W445" s="222" t="s">
        <v>283</v>
      </c>
      <c r="X445" s="222" t="s">
        <v>283</v>
      </c>
      <c r="Y445" s="223" t="s">
        <v>283</v>
      </c>
    </row>
    <row r="446" spans="1:25">
      <c r="A446" s="217">
        <v>8</v>
      </c>
      <c r="B446" s="218" t="str">
        <f>VLOOKUP(Tabel10[[#This Row],[Code]],Ruimtegroepen[[Code]:[Ruimte omschrijving]],2,FALSE)</f>
        <v>Kinderopvang</v>
      </c>
      <c r="C446" s="219" t="s">
        <v>653</v>
      </c>
      <c r="D446" s="218" t="s">
        <v>27</v>
      </c>
      <c r="E446" s="219" t="s">
        <v>99</v>
      </c>
      <c r="F446" s="219" t="s">
        <v>655</v>
      </c>
      <c r="G446" s="224" t="s">
        <v>283</v>
      </c>
      <c r="H446" s="220" t="s">
        <v>15</v>
      </c>
      <c r="I446" s="220" t="s">
        <v>283</v>
      </c>
      <c r="J446" s="220" t="s">
        <v>283</v>
      </c>
      <c r="K446" s="220" t="s">
        <v>283</v>
      </c>
      <c r="L446" s="220" t="s">
        <v>283</v>
      </c>
      <c r="M446" s="220" t="s">
        <v>283</v>
      </c>
      <c r="N446" s="220" t="s">
        <v>283</v>
      </c>
      <c r="O446" s="221" t="s">
        <v>15</v>
      </c>
      <c r="P446" s="221" t="s">
        <v>15</v>
      </c>
      <c r="Q446" s="221" t="s">
        <v>15</v>
      </c>
      <c r="R446" s="221" t="s">
        <v>283</v>
      </c>
      <c r="S446" s="221" t="s">
        <v>283</v>
      </c>
      <c r="T446" s="221" t="s">
        <v>283</v>
      </c>
      <c r="U446" s="221" t="s">
        <v>283</v>
      </c>
      <c r="V446" s="221" t="s">
        <v>283</v>
      </c>
      <c r="W446" s="222" t="s">
        <v>283</v>
      </c>
      <c r="X446" s="222" t="s">
        <v>283</v>
      </c>
      <c r="Y446" s="223" t="s">
        <v>283</v>
      </c>
    </row>
    <row r="447" spans="1:25">
      <c r="A447" s="217">
        <v>8</v>
      </c>
      <c r="B447" s="218" t="str">
        <f>VLOOKUP(Tabel10[[#This Row],[Code]],Ruimtegroepen[[Code]:[Ruimte omschrijving]],2,FALSE)</f>
        <v>Kinderopvang</v>
      </c>
      <c r="C447" s="219" t="s">
        <v>653</v>
      </c>
      <c r="D447" s="218" t="s">
        <v>27</v>
      </c>
      <c r="E447" s="219" t="s">
        <v>1313</v>
      </c>
      <c r="F447" s="219" t="s">
        <v>1385</v>
      </c>
      <c r="G447" s="224" t="s">
        <v>283</v>
      </c>
      <c r="H447" s="220" t="s">
        <v>283</v>
      </c>
      <c r="I447" s="220" t="s">
        <v>15</v>
      </c>
      <c r="J447" s="220" t="s">
        <v>283</v>
      </c>
      <c r="K447" s="220" t="s">
        <v>283</v>
      </c>
      <c r="L447" s="220" t="s">
        <v>283</v>
      </c>
      <c r="M447" s="220" t="s">
        <v>283</v>
      </c>
      <c r="N447" s="220" t="s">
        <v>283</v>
      </c>
      <c r="O447" s="221" t="s">
        <v>15</v>
      </c>
      <c r="P447" s="221" t="s">
        <v>15</v>
      </c>
      <c r="Q447" s="221" t="s">
        <v>15</v>
      </c>
      <c r="R447" s="221" t="s">
        <v>283</v>
      </c>
      <c r="S447" s="221" t="s">
        <v>283</v>
      </c>
      <c r="T447" s="221" t="s">
        <v>283</v>
      </c>
      <c r="U447" s="221" t="s">
        <v>283</v>
      </c>
      <c r="V447" s="221" t="s">
        <v>283</v>
      </c>
      <c r="W447" s="222" t="s">
        <v>283</v>
      </c>
      <c r="X447" s="222" t="s">
        <v>283</v>
      </c>
      <c r="Y447" s="223" t="s">
        <v>283</v>
      </c>
    </row>
    <row r="448" spans="1:25">
      <c r="A448" s="217">
        <v>8</v>
      </c>
      <c r="B448" s="218" t="str">
        <f>VLOOKUP(Tabel10[[#This Row],[Code]],Ruimtegroepen[[Code]:[Ruimte omschrijving]],2,FALSE)</f>
        <v>Kinderopvang</v>
      </c>
      <c r="C448" s="219" t="s">
        <v>658</v>
      </c>
      <c r="D448" s="218" t="s">
        <v>28</v>
      </c>
      <c r="E448" s="219" t="s">
        <v>100</v>
      </c>
      <c r="F448" s="219" t="s">
        <v>659</v>
      </c>
      <c r="G448" s="224" t="s">
        <v>283</v>
      </c>
      <c r="H448" s="220" t="s">
        <v>283</v>
      </c>
      <c r="I448" s="220" t="s">
        <v>17</v>
      </c>
      <c r="J448" s="220" t="s">
        <v>283</v>
      </c>
      <c r="K448" s="220" t="s">
        <v>283</v>
      </c>
      <c r="L448" s="220" t="s">
        <v>283</v>
      </c>
      <c r="M448" s="220" t="s">
        <v>283</v>
      </c>
      <c r="N448" s="220" t="s">
        <v>283</v>
      </c>
      <c r="O448" s="221" t="s">
        <v>17</v>
      </c>
      <c r="P448" s="221" t="s">
        <v>17</v>
      </c>
      <c r="Q448" s="221" t="s">
        <v>15</v>
      </c>
      <c r="R448" s="221" t="s">
        <v>283</v>
      </c>
      <c r="S448" s="221" t="s">
        <v>283</v>
      </c>
      <c r="T448" s="221" t="s">
        <v>283</v>
      </c>
      <c r="U448" s="221" t="s">
        <v>283</v>
      </c>
      <c r="V448" s="221" t="s">
        <v>283</v>
      </c>
      <c r="W448" s="222" t="s">
        <v>283</v>
      </c>
      <c r="X448" s="222" t="s">
        <v>283</v>
      </c>
      <c r="Y448" s="223" t="s">
        <v>283</v>
      </c>
    </row>
    <row r="449" spans="1:25">
      <c r="A449" s="217">
        <v>8</v>
      </c>
      <c r="B449" s="218" t="str">
        <f>VLOOKUP(Tabel10[[#This Row],[Code]],Ruimtegroepen[[Code]:[Ruimte omschrijving]],2,FALSE)</f>
        <v>Kinderopvang</v>
      </c>
      <c r="C449" s="219" t="s">
        <v>658</v>
      </c>
      <c r="D449" s="218" t="s">
        <v>28</v>
      </c>
      <c r="E449" s="219" t="s">
        <v>99</v>
      </c>
      <c r="F449" s="219" t="s">
        <v>660</v>
      </c>
      <c r="G449" s="224" t="s">
        <v>283</v>
      </c>
      <c r="H449" s="220" t="s">
        <v>17</v>
      </c>
      <c r="I449" s="220" t="s">
        <v>283</v>
      </c>
      <c r="J449" s="220" t="s">
        <v>283</v>
      </c>
      <c r="K449" s="220" t="s">
        <v>283</v>
      </c>
      <c r="L449" s="220" t="s">
        <v>283</v>
      </c>
      <c r="M449" s="220" t="s">
        <v>283</v>
      </c>
      <c r="N449" s="220" t="s">
        <v>283</v>
      </c>
      <c r="O449" s="221" t="s">
        <v>17</v>
      </c>
      <c r="P449" s="221" t="s">
        <v>17</v>
      </c>
      <c r="Q449" s="221" t="s">
        <v>15</v>
      </c>
      <c r="R449" s="221" t="s">
        <v>283</v>
      </c>
      <c r="S449" s="221" t="s">
        <v>283</v>
      </c>
      <c r="T449" s="221" t="s">
        <v>283</v>
      </c>
      <c r="U449" s="221" t="s">
        <v>283</v>
      </c>
      <c r="V449" s="221" t="s">
        <v>283</v>
      </c>
      <c r="W449" s="222" t="s">
        <v>283</v>
      </c>
      <c r="X449" s="222" t="s">
        <v>283</v>
      </c>
      <c r="Y449" s="223" t="s">
        <v>283</v>
      </c>
    </row>
    <row r="450" spans="1:25">
      <c r="A450" s="217">
        <v>8</v>
      </c>
      <c r="B450" s="218" t="str">
        <f>VLOOKUP(Tabel10[[#This Row],[Code]],Ruimtegroepen[[Code]:[Ruimte omschrijving]],2,FALSE)</f>
        <v>Kinderopvang</v>
      </c>
      <c r="C450" s="219" t="s">
        <v>658</v>
      </c>
      <c r="D450" s="218" t="s">
        <v>28</v>
      </c>
      <c r="E450" s="219" t="s">
        <v>101</v>
      </c>
      <c r="F450" s="219" t="s">
        <v>661</v>
      </c>
      <c r="G450" s="224" t="s">
        <v>283</v>
      </c>
      <c r="H450" s="220" t="s">
        <v>283</v>
      </c>
      <c r="I450" s="220" t="s">
        <v>17</v>
      </c>
      <c r="J450" s="220" t="s">
        <v>283</v>
      </c>
      <c r="K450" s="220" t="s">
        <v>283</v>
      </c>
      <c r="L450" s="220" t="s">
        <v>283</v>
      </c>
      <c r="M450" s="220" t="s">
        <v>283</v>
      </c>
      <c r="N450" s="220" t="s">
        <v>283</v>
      </c>
      <c r="O450" s="221" t="s">
        <v>17</v>
      </c>
      <c r="P450" s="221" t="s">
        <v>17</v>
      </c>
      <c r="Q450" s="221" t="s">
        <v>15</v>
      </c>
      <c r="R450" s="221" t="s">
        <v>283</v>
      </c>
      <c r="S450" s="221" t="s">
        <v>283</v>
      </c>
      <c r="T450" s="221" t="s">
        <v>283</v>
      </c>
      <c r="U450" s="221" t="s">
        <v>283</v>
      </c>
      <c r="V450" s="221" t="s">
        <v>283</v>
      </c>
      <c r="W450" s="222" t="s">
        <v>283</v>
      </c>
      <c r="X450" s="222" t="s">
        <v>283</v>
      </c>
      <c r="Y450" s="223" t="s">
        <v>283</v>
      </c>
    </row>
    <row r="451" spans="1:25">
      <c r="A451" s="217">
        <v>8</v>
      </c>
      <c r="B451" s="218" t="str">
        <f>VLOOKUP(Tabel10[[#This Row],[Code]],Ruimtegroepen[[Code]:[Ruimte omschrijving]],2,FALSE)</f>
        <v>Kinderopvang</v>
      </c>
      <c r="C451" s="219" t="s">
        <v>658</v>
      </c>
      <c r="D451" s="218" t="s">
        <v>28</v>
      </c>
      <c r="E451" s="219" t="s">
        <v>102</v>
      </c>
      <c r="F451" s="219" t="s">
        <v>662</v>
      </c>
      <c r="G451" s="224" t="s">
        <v>283</v>
      </c>
      <c r="H451" s="220" t="s">
        <v>283</v>
      </c>
      <c r="I451" s="220" t="s">
        <v>17</v>
      </c>
      <c r="J451" s="220" t="s">
        <v>283</v>
      </c>
      <c r="K451" s="220" t="s">
        <v>283</v>
      </c>
      <c r="L451" s="220" t="s">
        <v>283</v>
      </c>
      <c r="M451" s="220" t="s">
        <v>283</v>
      </c>
      <c r="N451" s="220" t="s">
        <v>283</v>
      </c>
      <c r="O451" s="221" t="s">
        <v>17</v>
      </c>
      <c r="P451" s="221" t="s">
        <v>17</v>
      </c>
      <c r="Q451" s="221" t="s">
        <v>15</v>
      </c>
      <c r="R451" s="221" t="s">
        <v>283</v>
      </c>
      <c r="S451" s="221" t="s">
        <v>283</v>
      </c>
      <c r="T451" s="221" t="s">
        <v>283</v>
      </c>
      <c r="U451" s="221" t="s">
        <v>283</v>
      </c>
      <c r="V451" s="221" t="s">
        <v>283</v>
      </c>
      <c r="W451" s="222" t="s">
        <v>283</v>
      </c>
      <c r="X451" s="222" t="s">
        <v>283</v>
      </c>
      <c r="Y451" s="223" t="s">
        <v>283</v>
      </c>
    </row>
    <row r="452" spans="1:25">
      <c r="A452" s="217">
        <v>8</v>
      </c>
      <c r="B452" s="218" t="str">
        <f>VLOOKUP(Tabel10[[#This Row],[Code]],Ruimtegroepen[[Code]:[Ruimte omschrijving]],2,FALSE)</f>
        <v>Kinderopvang</v>
      </c>
      <c r="C452" s="219" t="s">
        <v>658</v>
      </c>
      <c r="D452" s="218" t="s">
        <v>28</v>
      </c>
      <c r="E452" s="219" t="s">
        <v>99</v>
      </c>
      <c r="F452" s="219" t="s">
        <v>660</v>
      </c>
      <c r="G452" s="224" t="s">
        <v>283</v>
      </c>
      <c r="H452" s="220" t="s">
        <v>17</v>
      </c>
      <c r="I452" s="220" t="s">
        <v>283</v>
      </c>
      <c r="J452" s="220" t="s">
        <v>283</v>
      </c>
      <c r="K452" s="220" t="s">
        <v>283</v>
      </c>
      <c r="L452" s="220" t="s">
        <v>283</v>
      </c>
      <c r="M452" s="220" t="s">
        <v>283</v>
      </c>
      <c r="N452" s="220" t="s">
        <v>283</v>
      </c>
      <c r="O452" s="221" t="s">
        <v>17</v>
      </c>
      <c r="P452" s="221" t="s">
        <v>17</v>
      </c>
      <c r="Q452" s="221" t="s">
        <v>15</v>
      </c>
      <c r="R452" s="221" t="s">
        <v>283</v>
      </c>
      <c r="S452" s="221" t="s">
        <v>283</v>
      </c>
      <c r="T452" s="221" t="s">
        <v>283</v>
      </c>
      <c r="U452" s="221" t="s">
        <v>283</v>
      </c>
      <c r="V452" s="221" t="s">
        <v>283</v>
      </c>
      <c r="W452" s="222" t="s">
        <v>283</v>
      </c>
      <c r="X452" s="222" t="s">
        <v>283</v>
      </c>
      <c r="Y452" s="223" t="s">
        <v>283</v>
      </c>
    </row>
    <row r="453" spans="1:25">
      <c r="A453" s="217">
        <v>8</v>
      </c>
      <c r="B453" s="218" t="str">
        <f>VLOOKUP(Tabel10[[#This Row],[Code]],Ruimtegroepen[[Code]:[Ruimte omschrijving]],2,FALSE)</f>
        <v>Kinderopvang</v>
      </c>
      <c r="C453" s="219" t="s">
        <v>658</v>
      </c>
      <c r="D453" s="218" t="s">
        <v>28</v>
      </c>
      <c r="E453" s="219" t="s">
        <v>1313</v>
      </c>
      <c r="F453" s="219" t="s">
        <v>1418</v>
      </c>
      <c r="G453" s="224" t="s">
        <v>283</v>
      </c>
      <c r="H453" s="220" t="s">
        <v>283</v>
      </c>
      <c r="I453" s="220" t="s">
        <v>17</v>
      </c>
      <c r="J453" s="220" t="s">
        <v>283</v>
      </c>
      <c r="K453" s="220" t="s">
        <v>283</v>
      </c>
      <c r="L453" s="220" t="s">
        <v>283</v>
      </c>
      <c r="M453" s="220" t="s">
        <v>283</v>
      </c>
      <c r="N453" s="220" t="s">
        <v>283</v>
      </c>
      <c r="O453" s="221" t="s">
        <v>17</v>
      </c>
      <c r="P453" s="221" t="s">
        <v>17</v>
      </c>
      <c r="Q453" s="221" t="s">
        <v>15</v>
      </c>
      <c r="R453" s="221" t="s">
        <v>283</v>
      </c>
      <c r="S453" s="221" t="s">
        <v>283</v>
      </c>
      <c r="T453" s="221" t="s">
        <v>283</v>
      </c>
      <c r="U453" s="221" t="s">
        <v>283</v>
      </c>
      <c r="V453" s="221" t="s">
        <v>283</v>
      </c>
      <c r="W453" s="222" t="s">
        <v>283</v>
      </c>
      <c r="X453" s="222" t="s">
        <v>283</v>
      </c>
      <c r="Y453" s="223" t="s">
        <v>283</v>
      </c>
    </row>
    <row r="454" spans="1:25">
      <c r="A454" s="217">
        <v>9</v>
      </c>
      <c r="B454" s="218" t="str">
        <f>VLOOKUP(Tabel10[[#This Row],[Code]],Ruimtegroepen[[Code]:[Ruimte omschrijving]],2,FALSE)</f>
        <v>Bibliotheek/OLC</v>
      </c>
      <c r="C454" s="219" t="s">
        <v>663</v>
      </c>
      <c r="D454" s="218" t="s">
        <v>29</v>
      </c>
      <c r="E454" s="219" t="s">
        <v>100</v>
      </c>
      <c r="F454" s="219" t="s">
        <v>664</v>
      </c>
      <c r="G454" s="224" t="s">
        <v>283</v>
      </c>
      <c r="H454" s="220" t="s">
        <v>283</v>
      </c>
      <c r="I454" s="220" t="s">
        <v>20</v>
      </c>
      <c r="J454" s="220" t="s">
        <v>15</v>
      </c>
      <c r="K454" s="220" t="s">
        <v>283</v>
      </c>
      <c r="L454" s="220" t="s">
        <v>283</v>
      </c>
      <c r="M454" s="220" t="s">
        <v>283</v>
      </c>
      <c r="N454" s="220" t="s">
        <v>2</v>
      </c>
      <c r="O454" s="221" t="s">
        <v>2</v>
      </c>
      <c r="P454" s="221" t="s">
        <v>2</v>
      </c>
      <c r="Q454" s="221" t="s">
        <v>15</v>
      </c>
      <c r="R454" s="221" t="s">
        <v>15</v>
      </c>
      <c r="S454" s="221" t="s">
        <v>16</v>
      </c>
      <c r="T454" s="221" t="s">
        <v>330</v>
      </c>
      <c r="U454" s="221" t="s">
        <v>250</v>
      </c>
      <c r="V454" s="221" t="s">
        <v>2</v>
      </c>
      <c r="W454" s="222" t="s">
        <v>283</v>
      </c>
      <c r="X454" s="222" t="s">
        <v>283</v>
      </c>
      <c r="Y454" s="223" t="s">
        <v>283</v>
      </c>
    </row>
    <row r="455" spans="1:25">
      <c r="A455" s="217">
        <v>9</v>
      </c>
      <c r="B455" s="218" t="str">
        <f>VLOOKUP(Tabel10[[#This Row],[Code]],Ruimtegroepen[[Code]:[Ruimte omschrijving]],2,FALSE)</f>
        <v>Bibliotheek/OLC</v>
      </c>
      <c r="C455" s="219" t="s">
        <v>663</v>
      </c>
      <c r="D455" s="218" t="s">
        <v>29</v>
      </c>
      <c r="E455" s="219" t="s">
        <v>99</v>
      </c>
      <c r="F455" s="219" t="s">
        <v>665</v>
      </c>
      <c r="G455" s="224" t="s">
        <v>283</v>
      </c>
      <c r="H455" s="220" t="s">
        <v>2</v>
      </c>
      <c r="I455" s="220" t="s">
        <v>283</v>
      </c>
      <c r="J455" s="220" t="s">
        <v>283</v>
      </c>
      <c r="K455" s="220" t="s">
        <v>283</v>
      </c>
      <c r="L455" s="220" t="s">
        <v>283</v>
      </c>
      <c r="M455" s="220" t="s">
        <v>283</v>
      </c>
      <c r="N455" s="220" t="s">
        <v>2</v>
      </c>
      <c r="O455" s="221" t="s">
        <v>2</v>
      </c>
      <c r="P455" s="221" t="s">
        <v>2</v>
      </c>
      <c r="Q455" s="221" t="s">
        <v>15</v>
      </c>
      <c r="R455" s="221" t="s">
        <v>15</v>
      </c>
      <c r="S455" s="221" t="s">
        <v>16</v>
      </c>
      <c r="T455" s="221" t="s">
        <v>330</v>
      </c>
      <c r="U455" s="221" t="s">
        <v>250</v>
      </c>
      <c r="V455" s="221" t="s">
        <v>2</v>
      </c>
      <c r="W455" s="222" t="s">
        <v>283</v>
      </c>
      <c r="X455" s="222" t="s">
        <v>283</v>
      </c>
      <c r="Y455" s="223" t="s">
        <v>283</v>
      </c>
    </row>
    <row r="456" spans="1:25">
      <c r="A456" s="217">
        <v>9</v>
      </c>
      <c r="B456" s="218" t="str">
        <f>VLOOKUP(Tabel10[[#This Row],[Code]],Ruimtegroepen[[Code]:[Ruimte omschrijving]],2,FALSE)</f>
        <v>Bibliotheek/OLC</v>
      </c>
      <c r="C456" s="219" t="s">
        <v>663</v>
      </c>
      <c r="D456" s="218" t="s">
        <v>29</v>
      </c>
      <c r="E456" s="219" t="s">
        <v>101</v>
      </c>
      <c r="F456" s="219" t="s">
        <v>666</v>
      </c>
      <c r="G456" s="224" t="s">
        <v>283</v>
      </c>
      <c r="H456" s="220" t="s">
        <v>283</v>
      </c>
      <c r="I456" s="220" t="s">
        <v>20</v>
      </c>
      <c r="J456" s="220" t="s">
        <v>15</v>
      </c>
      <c r="K456" s="220" t="s">
        <v>284</v>
      </c>
      <c r="L456" s="220" t="s">
        <v>283</v>
      </c>
      <c r="M456" s="220" t="s">
        <v>283</v>
      </c>
      <c r="N456" s="220" t="s">
        <v>2</v>
      </c>
      <c r="O456" s="221" t="s">
        <v>2</v>
      </c>
      <c r="P456" s="221" t="s">
        <v>2</v>
      </c>
      <c r="Q456" s="221" t="s">
        <v>15</v>
      </c>
      <c r="R456" s="221" t="s">
        <v>15</v>
      </c>
      <c r="S456" s="221" t="s">
        <v>16</v>
      </c>
      <c r="T456" s="221" t="s">
        <v>330</v>
      </c>
      <c r="U456" s="221" t="s">
        <v>250</v>
      </c>
      <c r="V456" s="221" t="s">
        <v>2</v>
      </c>
      <c r="W456" s="222" t="s">
        <v>283</v>
      </c>
      <c r="X456" s="222" t="s">
        <v>283</v>
      </c>
      <c r="Y456" s="223" t="s">
        <v>283</v>
      </c>
    </row>
    <row r="457" spans="1:25">
      <c r="A457" s="217">
        <v>9</v>
      </c>
      <c r="B457" s="218" t="str">
        <f>VLOOKUP(Tabel10[[#This Row],[Code]],Ruimtegroepen[[Code]:[Ruimte omschrijving]],2,FALSE)</f>
        <v>Bibliotheek/OLC</v>
      </c>
      <c r="C457" s="219" t="s">
        <v>663</v>
      </c>
      <c r="D457" s="218" t="s">
        <v>29</v>
      </c>
      <c r="E457" s="219" t="s">
        <v>102</v>
      </c>
      <c r="F457" s="219" t="s">
        <v>667</v>
      </c>
      <c r="G457" s="224" t="s">
        <v>283</v>
      </c>
      <c r="H457" s="220" t="s">
        <v>283</v>
      </c>
      <c r="I457" s="220" t="s">
        <v>20</v>
      </c>
      <c r="J457" s="220" t="s">
        <v>15</v>
      </c>
      <c r="K457" s="220" t="s">
        <v>284</v>
      </c>
      <c r="L457" s="220" t="s">
        <v>283</v>
      </c>
      <c r="M457" s="220" t="s">
        <v>283</v>
      </c>
      <c r="N457" s="220" t="s">
        <v>2</v>
      </c>
      <c r="O457" s="221" t="s">
        <v>2</v>
      </c>
      <c r="P457" s="221" t="s">
        <v>2</v>
      </c>
      <c r="Q457" s="221" t="s">
        <v>15</v>
      </c>
      <c r="R457" s="221" t="s">
        <v>15</v>
      </c>
      <c r="S457" s="221" t="s">
        <v>16</v>
      </c>
      <c r="T457" s="221" t="s">
        <v>330</v>
      </c>
      <c r="U457" s="221" t="s">
        <v>250</v>
      </c>
      <c r="V457" s="221" t="s">
        <v>2</v>
      </c>
      <c r="W457" s="222" t="s">
        <v>283</v>
      </c>
      <c r="X457" s="222" t="s">
        <v>283</v>
      </c>
      <c r="Y457" s="223" t="s">
        <v>283</v>
      </c>
    </row>
    <row r="458" spans="1:25">
      <c r="A458" s="217">
        <v>9</v>
      </c>
      <c r="B458" s="218" t="str">
        <f>VLOOKUP(Tabel10[[#This Row],[Code]],Ruimtegroepen[[Code]:[Ruimte omschrijving]],2,FALSE)</f>
        <v>Bibliotheek/OLC</v>
      </c>
      <c r="C458" s="219" t="s">
        <v>663</v>
      </c>
      <c r="D458" s="218" t="s">
        <v>29</v>
      </c>
      <c r="E458" s="219" t="s">
        <v>99</v>
      </c>
      <c r="F458" s="219" t="s">
        <v>665</v>
      </c>
      <c r="G458" s="224" t="s">
        <v>283</v>
      </c>
      <c r="H458" s="220" t="s">
        <v>2</v>
      </c>
      <c r="I458" s="220" t="s">
        <v>283</v>
      </c>
      <c r="J458" s="220" t="s">
        <v>283</v>
      </c>
      <c r="K458" s="220" t="s">
        <v>283</v>
      </c>
      <c r="L458" s="220" t="s">
        <v>283</v>
      </c>
      <c r="M458" s="220" t="s">
        <v>283</v>
      </c>
      <c r="N458" s="220" t="s">
        <v>2</v>
      </c>
      <c r="O458" s="221" t="s">
        <v>2</v>
      </c>
      <c r="P458" s="221" t="s">
        <v>2</v>
      </c>
      <c r="Q458" s="221" t="s">
        <v>15</v>
      </c>
      <c r="R458" s="221" t="s">
        <v>15</v>
      </c>
      <c r="S458" s="221" t="s">
        <v>16</v>
      </c>
      <c r="T458" s="221" t="s">
        <v>330</v>
      </c>
      <c r="U458" s="221" t="s">
        <v>250</v>
      </c>
      <c r="V458" s="221" t="s">
        <v>2</v>
      </c>
      <c r="W458" s="222" t="s">
        <v>283</v>
      </c>
      <c r="X458" s="222" t="s">
        <v>283</v>
      </c>
      <c r="Y458" s="223" t="s">
        <v>283</v>
      </c>
    </row>
    <row r="459" spans="1:25">
      <c r="A459" s="217">
        <v>9</v>
      </c>
      <c r="B459" s="218" t="str">
        <f>VLOOKUP(Tabel10[[#This Row],[Code]],Ruimtegroepen[[Code]:[Ruimte omschrijving]],2,FALSE)</f>
        <v>Bibliotheek/OLC</v>
      </c>
      <c r="C459" s="219" t="s">
        <v>663</v>
      </c>
      <c r="D459" s="218" t="s">
        <v>29</v>
      </c>
      <c r="E459" s="219" t="s">
        <v>1313</v>
      </c>
      <c r="F459" s="219" t="s">
        <v>1486</v>
      </c>
      <c r="G459" s="224" t="s">
        <v>283</v>
      </c>
      <c r="H459" s="220" t="s">
        <v>283</v>
      </c>
      <c r="I459" s="220" t="s">
        <v>20</v>
      </c>
      <c r="J459" s="220" t="s">
        <v>15</v>
      </c>
      <c r="K459" s="220" t="s">
        <v>284</v>
      </c>
      <c r="L459" s="220" t="s">
        <v>283</v>
      </c>
      <c r="M459" s="220" t="s">
        <v>283</v>
      </c>
      <c r="N459" s="220" t="s">
        <v>2</v>
      </c>
      <c r="O459" s="221" t="s">
        <v>2</v>
      </c>
      <c r="P459" s="221" t="s">
        <v>2</v>
      </c>
      <c r="Q459" s="221" t="s">
        <v>15</v>
      </c>
      <c r="R459" s="221" t="s">
        <v>15</v>
      </c>
      <c r="S459" s="221" t="s">
        <v>16</v>
      </c>
      <c r="T459" s="221" t="s">
        <v>330</v>
      </c>
      <c r="U459" s="221" t="s">
        <v>250</v>
      </c>
      <c r="V459" s="221" t="s">
        <v>2</v>
      </c>
      <c r="W459" s="222" t="s">
        <v>283</v>
      </c>
      <c r="X459" s="222" t="s">
        <v>283</v>
      </c>
      <c r="Y459" s="223" t="s">
        <v>283</v>
      </c>
    </row>
    <row r="460" spans="1:25">
      <c r="A460" s="217">
        <v>9</v>
      </c>
      <c r="B460" s="218" t="str">
        <f>VLOOKUP(Tabel10[[#This Row],[Code]],Ruimtegroepen[[Code]:[Ruimte omschrijving]],2,FALSE)</f>
        <v>Bibliotheek/OLC</v>
      </c>
      <c r="C460" s="219" t="s">
        <v>668</v>
      </c>
      <c r="D460" s="218" t="s">
        <v>1</v>
      </c>
      <c r="E460" s="219" t="s">
        <v>100</v>
      </c>
      <c r="F460" s="219" t="s">
        <v>669</v>
      </c>
      <c r="G460" s="224" t="s">
        <v>283</v>
      </c>
      <c r="H460" s="220" t="s">
        <v>283</v>
      </c>
      <c r="I460" s="220" t="s">
        <v>20</v>
      </c>
      <c r="J460" s="220" t="s">
        <v>15</v>
      </c>
      <c r="K460" s="220" t="s">
        <v>283</v>
      </c>
      <c r="L460" s="220" t="s">
        <v>283</v>
      </c>
      <c r="M460" s="220" t="s">
        <v>283</v>
      </c>
      <c r="N460" s="220" t="s">
        <v>283</v>
      </c>
      <c r="O460" s="221" t="s">
        <v>2</v>
      </c>
      <c r="P460" s="221" t="s">
        <v>2</v>
      </c>
      <c r="Q460" s="221" t="s">
        <v>15</v>
      </c>
      <c r="R460" s="221" t="s">
        <v>15</v>
      </c>
      <c r="S460" s="221" t="s">
        <v>16</v>
      </c>
      <c r="T460" s="221" t="s">
        <v>330</v>
      </c>
      <c r="U460" s="221" t="s">
        <v>250</v>
      </c>
      <c r="V460" s="221" t="s">
        <v>283</v>
      </c>
      <c r="W460" s="222" t="s">
        <v>283</v>
      </c>
      <c r="X460" s="222" t="s">
        <v>283</v>
      </c>
      <c r="Y460" s="223" t="s">
        <v>283</v>
      </c>
    </row>
    <row r="461" spans="1:25">
      <c r="A461" s="217">
        <v>9</v>
      </c>
      <c r="B461" s="218" t="str">
        <f>VLOOKUP(Tabel10[[#This Row],[Code]],Ruimtegroepen[[Code]:[Ruimte omschrijving]],2,FALSE)</f>
        <v>Bibliotheek/OLC</v>
      </c>
      <c r="C461" s="219" t="s">
        <v>668</v>
      </c>
      <c r="D461" s="218" t="s">
        <v>1</v>
      </c>
      <c r="E461" s="219" t="s">
        <v>99</v>
      </c>
      <c r="F461" s="219" t="s">
        <v>670</v>
      </c>
      <c r="G461" s="224" t="s">
        <v>283</v>
      </c>
      <c r="H461" s="220" t="s">
        <v>2</v>
      </c>
      <c r="I461" s="220" t="s">
        <v>283</v>
      </c>
      <c r="J461" s="220" t="s">
        <v>283</v>
      </c>
      <c r="K461" s="220" t="s">
        <v>283</v>
      </c>
      <c r="L461" s="220" t="s">
        <v>283</v>
      </c>
      <c r="M461" s="220" t="s">
        <v>283</v>
      </c>
      <c r="N461" s="220" t="s">
        <v>283</v>
      </c>
      <c r="O461" s="221" t="s">
        <v>2</v>
      </c>
      <c r="P461" s="221" t="s">
        <v>2</v>
      </c>
      <c r="Q461" s="221" t="s">
        <v>15</v>
      </c>
      <c r="R461" s="221" t="s">
        <v>15</v>
      </c>
      <c r="S461" s="221" t="s">
        <v>16</v>
      </c>
      <c r="T461" s="221" t="s">
        <v>330</v>
      </c>
      <c r="U461" s="221" t="s">
        <v>250</v>
      </c>
      <c r="V461" s="221" t="s">
        <v>283</v>
      </c>
      <c r="W461" s="222" t="s">
        <v>283</v>
      </c>
      <c r="X461" s="222" t="s">
        <v>283</v>
      </c>
      <c r="Y461" s="223" t="s">
        <v>283</v>
      </c>
    </row>
    <row r="462" spans="1:25">
      <c r="A462" s="217">
        <v>9</v>
      </c>
      <c r="B462" s="218" t="str">
        <f>VLOOKUP(Tabel10[[#This Row],[Code]],Ruimtegroepen[[Code]:[Ruimte omschrijving]],2,FALSE)</f>
        <v>Bibliotheek/OLC</v>
      </c>
      <c r="C462" s="219" t="s">
        <v>668</v>
      </c>
      <c r="D462" s="218" t="s">
        <v>1</v>
      </c>
      <c r="E462" s="219" t="s">
        <v>101</v>
      </c>
      <c r="F462" s="219" t="s">
        <v>671</v>
      </c>
      <c r="G462" s="224" t="s">
        <v>283</v>
      </c>
      <c r="H462" s="220" t="s">
        <v>283</v>
      </c>
      <c r="I462" s="220" t="s">
        <v>20</v>
      </c>
      <c r="J462" s="220" t="s">
        <v>15</v>
      </c>
      <c r="K462" s="220" t="s">
        <v>284</v>
      </c>
      <c r="L462" s="220" t="s">
        <v>283</v>
      </c>
      <c r="M462" s="220" t="s">
        <v>283</v>
      </c>
      <c r="N462" s="220" t="s">
        <v>283</v>
      </c>
      <c r="O462" s="221" t="s">
        <v>2</v>
      </c>
      <c r="P462" s="221" t="s">
        <v>2</v>
      </c>
      <c r="Q462" s="221" t="s">
        <v>15</v>
      </c>
      <c r="R462" s="221" t="s">
        <v>15</v>
      </c>
      <c r="S462" s="221" t="s">
        <v>16</v>
      </c>
      <c r="T462" s="221" t="s">
        <v>330</v>
      </c>
      <c r="U462" s="221" t="s">
        <v>250</v>
      </c>
      <c r="V462" s="221" t="s">
        <v>283</v>
      </c>
      <c r="W462" s="222" t="s">
        <v>283</v>
      </c>
      <c r="X462" s="222" t="s">
        <v>283</v>
      </c>
      <c r="Y462" s="223" t="s">
        <v>283</v>
      </c>
    </row>
    <row r="463" spans="1:25">
      <c r="A463" s="217">
        <v>9</v>
      </c>
      <c r="B463" s="218" t="str">
        <f>VLOOKUP(Tabel10[[#This Row],[Code]],Ruimtegroepen[[Code]:[Ruimte omschrijving]],2,FALSE)</f>
        <v>Bibliotheek/OLC</v>
      </c>
      <c r="C463" s="219" t="s">
        <v>668</v>
      </c>
      <c r="D463" s="218" t="s">
        <v>1</v>
      </c>
      <c r="E463" s="219" t="s">
        <v>102</v>
      </c>
      <c r="F463" s="219" t="s">
        <v>672</v>
      </c>
      <c r="G463" s="224" t="s">
        <v>283</v>
      </c>
      <c r="H463" s="220" t="s">
        <v>283</v>
      </c>
      <c r="I463" s="220" t="s">
        <v>2</v>
      </c>
      <c r="J463" s="220" t="s">
        <v>283</v>
      </c>
      <c r="K463" s="220" t="s">
        <v>284</v>
      </c>
      <c r="L463" s="220" t="s">
        <v>283</v>
      </c>
      <c r="M463" s="220" t="s">
        <v>283</v>
      </c>
      <c r="N463" s="220" t="s">
        <v>283</v>
      </c>
      <c r="O463" s="221" t="s">
        <v>2</v>
      </c>
      <c r="P463" s="221" t="s">
        <v>2</v>
      </c>
      <c r="Q463" s="221" t="s">
        <v>15</v>
      </c>
      <c r="R463" s="221" t="s">
        <v>15</v>
      </c>
      <c r="S463" s="221" t="s">
        <v>16</v>
      </c>
      <c r="T463" s="221" t="s">
        <v>330</v>
      </c>
      <c r="U463" s="221" t="s">
        <v>250</v>
      </c>
      <c r="V463" s="221" t="s">
        <v>283</v>
      </c>
      <c r="W463" s="222" t="s">
        <v>283</v>
      </c>
      <c r="X463" s="222" t="s">
        <v>283</v>
      </c>
      <c r="Y463" s="223" t="s">
        <v>283</v>
      </c>
    </row>
    <row r="464" spans="1:25">
      <c r="A464" s="217">
        <v>9</v>
      </c>
      <c r="B464" s="218" t="str">
        <f>VLOOKUP(Tabel10[[#This Row],[Code]],Ruimtegroepen[[Code]:[Ruimte omschrijving]],2,FALSE)</f>
        <v>Bibliotheek/OLC</v>
      </c>
      <c r="C464" s="219" t="s">
        <v>668</v>
      </c>
      <c r="D464" s="218" t="s">
        <v>1</v>
      </c>
      <c r="E464" s="219" t="s">
        <v>99</v>
      </c>
      <c r="F464" s="219" t="s">
        <v>670</v>
      </c>
      <c r="G464" s="224" t="s">
        <v>283</v>
      </c>
      <c r="H464" s="220" t="s">
        <v>2</v>
      </c>
      <c r="I464" s="220" t="s">
        <v>283</v>
      </c>
      <c r="J464" s="220" t="s">
        <v>283</v>
      </c>
      <c r="K464" s="220" t="s">
        <v>283</v>
      </c>
      <c r="L464" s="220" t="s">
        <v>283</v>
      </c>
      <c r="M464" s="220" t="s">
        <v>283</v>
      </c>
      <c r="N464" s="220" t="s">
        <v>283</v>
      </c>
      <c r="O464" s="221" t="s">
        <v>2</v>
      </c>
      <c r="P464" s="221" t="s">
        <v>2</v>
      </c>
      <c r="Q464" s="221" t="s">
        <v>15</v>
      </c>
      <c r="R464" s="221" t="s">
        <v>15</v>
      </c>
      <c r="S464" s="221" t="s">
        <v>16</v>
      </c>
      <c r="T464" s="221" t="s">
        <v>330</v>
      </c>
      <c r="U464" s="221" t="s">
        <v>250</v>
      </c>
      <c r="V464" s="221" t="s">
        <v>283</v>
      </c>
      <c r="W464" s="222" t="s">
        <v>283</v>
      </c>
      <c r="X464" s="222" t="s">
        <v>283</v>
      </c>
      <c r="Y464" s="223" t="s">
        <v>283</v>
      </c>
    </row>
    <row r="465" spans="1:25">
      <c r="A465" s="217">
        <v>9</v>
      </c>
      <c r="B465" s="218" t="str">
        <f>VLOOKUP(Tabel10[[#This Row],[Code]],Ruimtegroepen[[Code]:[Ruimte omschrijving]],2,FALSE)</f>
        <v>Bibliotheek/OLC</v>
      </c>
      <c r="C465" s="219" t="s">
        <v>668</v>
      </c>
      <c r="D465" s="218" t="s">
        <v>1</v>
      </c>
      <c r="E465" s="219" t="s">
        <v>1313</v>
      </c>
      <c r="F465" s="219" t="s">
        <v>1470</v>
      </c>
      <c r="G465" s="224" t="s">
        <v>283</v>
      </c>
      <c r="H465" s="220" t="s">
        <v>283</v>
      </c>
      <c r="I465" s="220" t="s">
        <v>2</v>
      </c>
      <c r="J465" s="220" t="s">
        <v>283</v>
      </c>
      <c r="K465" s="220" t="s">
        <v>284</v>
      </c>
      <c r="L465" s="220" t="s">
        <v>283</v>
      </c>
      <c r="M465" s="220" t="s">
        <v>283</v>
      </c>
      <c r="N465" s="220" t="s">
        <v>283</v>
      </c>
      <c r="O465" s="221" t="s">
        <v>2</v>
      </c>
      <c r="P465" s="221" t="s">
        <v>2</v>
      </c>
      <c r="Q465" s="221" t="s">
        <v>15</v>
      </c>
      <c r="R465" s="221" t="s">
        <v>15</v>
      </c>
      <c r="S465" s="221" t="s">
        <v>16</v>
      </c>
      <c r="T465" s="221" t="s">
        <v>330</v>
      </c>
      <c r="U465" s="221" t="s">
        <v>250</v>
      </c>
      <c r="V465" s="221" t="s">
        <v>283</v>
      </c>
      <c r="W465" s="222" t="s">
        <v>283</v>
      </c>
      <c r="X465" s="222" t="s">
        <v>283</v>
      </c>
      <c r="Y465" s="223" t="s">
        <v>283</v>
      </c>
    </row>
    <row r="466" spans="1:25">
      <c r="A466" s="217">
        <v>9</v>
      </c>
      <c r="B466" s="218" t="str">
        <f>VLOOKUP(Tabel10[[#This Row],[Code]],Ruimtegroepen[[Code]:[Ruimte omschrijving]],2,FALSE)</f>
        <v>Bibliotheek/OLC</v>
      </c>
      <c r="C466" s="219" t="s">
        <v>673</v>
      </c>
      <c r="D466" s="218" t="s">
        <v>21</v>
      </c>
      <c r="E466" s="219" t="s">
        <v>100</v>
      </c>
      <c r="F466" s="219" t="s">
        <v>674</v>
      </c>
      <c r="G466" s="224" t="s">
        <v>283</v>
      </c>
      <c r="H466" s="220" t="s">
        <v>283</v>
      </c>
      <c r="I466" s="220" t="s">
        <v>18</v>
      </c>
      <c r="J466" s="220" t="s">
        <v>15</v>
      </c>
      <c r="K466" s="220" t="s">
        <v>283</v>
      </c>
      <c r="L466" s="220" t="s">
        <v>283</v>
      </c>
      <c r="M466" s="220" t="s">
        <v>283</v>
      </c>
      <c r="N466" s="220" t="s">
        <v>283</v>
      </c>
      <c r="O466" s="221" t="s">
        <v>20</v>
      </c>
      <c r="P466" s="221" t="s">
        <v>20</v>
      </c>
      <c r="Q466" s="221" t="s">
        <v>15</v>
      </c>
      <c r="R466" s="221" t="s">
        <v>15</v>
      </c>
      <c r="S466" s="221" t="s">
        <v>16</v>
      </c>
      <c r="T466" s="221" t="s">
        <v>330</v>
      </c>
      <c r="U466" s="221" t="s">
        <v>250</v>
      </c>
      <c r="V466" s="221" t="s">
        <v>283</v>
      </c>
      <c r="W466" s="222" t="s">
        <v>283</v>
      </c>
      <c r="X466" s="222" t="s">
        <v>283</v>
      </c>
      <c r="Y466" s="223" t="s">
        <v>283</v>
      </c>
    </row>
    <row r="467" spans="1:25">
      <c r="A467" s="217">
        <v>9</v>
      </c>
      <c r="B467" s="218" t="str">
        <f>VLOOKUP(Tabel10[[#This Row],[Code]],Ruimtegroepen[[Code]:[Ruimte omschrijving]],2,FALSE)</f>
        <v>Bibliotheek/OLC</v>
      </c>
      <c r="C467" s="219" t="s">
        <v>673</v>
      </c>
      <c r="D467" s="218" t="s">
        <v>21</v>
      </c>
      <c r="E467" s="219" t="s">
        <v>99</v>
      </c>
      <c r="F467" s="219" t="s">
        <v>675</v>
      </c>
      <c r="G467" s="224" t="s">
        <v>283</v>
      </c>
      <c r="H467" s="220" t="s">
        <v>20</v>
      </c>
      <c r="I467" s="220" t="s">
        <v>283</v>
      </c>
      <c r="J467" s="220" t="s">
        <v>283</v>
      </c>
      <c r="K467" s="220" t="s">
        <v>283</v>
      </c>
      <c r="L467" s="220" t="s">
        <v>283</v>
      </c>
      <c r="M467" s="220" t="s">
        <v>283</v>
      </c>
      <c r="N467" s="220" t="s">
        <v>283</v>
      </c>
      <c r="O467" s="221" t="s">
        <v>20</v>
      </c>
      <c r="P467" s="221" t="s">
        <v>20</v>
      </c>
      <c r="Q467" s="221" t="s">
        <v>15</v>
      </c>
      <c r="R467" s="221" t="s">
        <v>15</v>
      </c>
      <c r="S467" s="221" t="s">
        <v>16</v>
      </c>
      <c r="T467" s="221" t="s">
        <v>330</v>
      </c>
      <c r="U467" s="221" t="s">
        <v>250</v>
      </c>
      <c r="V467" s="221" t="s">
        <v>283</v>
      </c>
      <c r="W467" s="222" t="s">
        <v>283</v>
      </c>
      <c r="X467" s="222" t="s">
        <v>283</v>
      </c>
      <c r="Y467" s="223" t="s">
        <v>283</v>
      </c>
    </row>
    <row r="468" spans="1:25">
      <c r="A468" s="217">
        <v>9</v>
      </c>
      <c r="B468" s="218" t="str">
        <f>VLOOKUP(Tabel10[[#This Row],[Code]],Ruimtegroepen[[Code]:[Ruimte omschrijving]],2,FALSE)</f>
        <v>Bibliotheek/OLC</v>
      </c>
      <c r="C468" s="219" t="s">
        <v>673</v>
      </c>
      <c r="D468" s="218" t="s">
        <v>21</v>
      </c>
      <c r="E468" s="219" t="s">
        <v>101</v>
      </c>
      <c r="F468" s="219" t="s">
        <v>676</v>
      </c>
      <c r="G468" s="224" t="s">
        <v>283</v>
      </c>
      <c r="H468" s="220" t="s">
        <v>283</v>
      </c>
      <c r="I468" s="220" t="s">
        <v>18</v>
      </c>
      <c r="J468" s="220" t="s">
        <v>15</v>
      </c>
      <c r="K468" s="220" t="s">
        <v>284</v>
      </c>
      <c r="L468" s="220" t="s">
        <v>283</v>
      </c>
      <c r="M468" s="220" t="s">
        <v>283</v>
      </c>
      <c r="N468" s="220" t="s">
        <v>283</v>
      </c>
      <c r="O468" s="221" t="s">
        <v>20</v>
      </c>
      <c r="P468" s="221" t="s">
        <v>20</v>
      </c>
      <c r="Q468" s="221" t="s">
        <v>15</v>
      </c>
      <c r="R468" s="221" t="s">
        <v>15</v>
      </c>
      <c r="S468" s="221" t="s">
        <v>16</v>
      </c>
      <c r="T468" s="221" t="s">
        <v>330</v>
      </c>
      <c r="U468" s="221" t="s">
        <v>250</v>
      </c>
      <c r="V468" s="221" t="s">
        <v>283</v>
      </c>
      <c r="W468" s="222" t="s">
        <v>283</v>
      </c>
      <c r="X468" s="222" t="s">
        <v>283</v>
      </c>
      <c r="Y468" s="223" t="s">
        <v>283</v>
      </c>
    </row>
    <row r="469" spans="1:25">
      <c r="A469" s="217">
        <v>9</v>
      </c>
      <c r="B469" s="218" t="str">
        <f>VLOOKUP(Tabel10[[#This Row],[Code]],Ruimtegroepen[[Code]:[Ruimte omschrijving]],2,FALSE)</f>
        <v>Bibliotheek/OLC</v>
      </c>
      <c r="C469" s="219" t="s">
        <v>673</v>
      </c>
      <c r="D469" s="218" t="s">
        <v>21</v>
      </c>
      <c r="E469" s="219" t="s">
        <v>102</v>
      </c>
      <c r="F469" s="219" t="s">
        <v>677</v>
      </c>
      <c r="G469" s="224" t="s">
        <v>283</v>
      </c>
      <c r="H469" s="220" t="s">
        <v>283</v>
      </c>
      <c r="I469" s="220" t="s">
        <v>18</v>
      </c>
      <c r="J469" s="220" t="s">
        <v>15</v>
      </c>
      <c r="K469" s="220" t="s">
        <v>284</v>
      </c>
      <c r="L469" s="220" t="s">
        <v>283</v>
      </c>
      <c r="M469" s="220" t="s">
        <v>283</v>
      </c>
      <c r="N469" s="220" t="s">
        <v>283</v>
      </c>
      <c r="O469" s="221" t="s">
        <v>20</v>
      </c>
      <c r="P469" s="221" t="s">
        <v>20</v>
      </c>
      <c r="Q469" s="221" t="s">
        <v>15</v>
      </c>
      <c r="R469" s="221" t="s">
        <v>15</v>
      </c>
      <c r="S469" s="221" t="s">
        <v>16</v>
      </c>
      <c r="T469" s="221" t="s">
        <v>330</v>
      </c>
      <c r="U469" s="221" t="s">
        <v>250</v>
      </c>
      <c r="V469" s="221" t="s">
        <v>283</v>
      </c>
      <c r="W469" s="222" t="s">
        <v>283</v>
      </c>
      <c r="X469" s="222" t="s">
        <v>283</v>
      </c>
      <c r="Y469" s="223" t="s">
        <v>283</v>
      </c>
    </row>
    <row r="470" spans="1:25">
      <c r="A470" s="217">
        <v>9</v>
      </c>
      <c r="B470" s="218" t="str">
        <f>VLOOKUP(Tabel10[[#This Row],[Code]],Ruimtegroepen[[Code]:[Ruimte omschrijving]],2,FALSE)</f>
        <v>Bibliotheek/OLC</v>
      </c>
      <c r="C470" s="219" t="s">
        <v>673</v>
      </c>
      <c r="D470" s="218" t="s">
        <v>21</v>
      </c>
      <c r="E470" s="219" t="s">
        <v>99</v>
      </c>
      <c r="F470" s="219" t="s">
        <v>675</v>
      </c>
      <c r="G470" s="224" t="s">
        <v>283</v>
      </c>
      <c r="H470" s="220" t="s">
        <v>20</v>
      </c>
      <c r="I470" s="220" t="s">
        <v>283</v>
      </c>
      <c r="J470" s="220" t="s">
        <v>283</v>
      </c>
      <c r="K470" s="220" t="s">
        <v>283</v>
      </c>
      <c r="L470" s="220" t="s">
        <v>283</v>
      </c>
      <c r="M470" s="220" t="s">
        <v>283</v>
      </c>
      <c r="N470" s="220" t="s">
        <v>283</v>
      </c>
      <c r="O470" s="221" t="s">
        <v>20</v>
      </c>
      <c r="P470" s="221" t="s">
        <v>20</v>
      </c>
      <c r="Q470" s="221" t="s">
        <v>15</v>
      </c>
      <c r="R470" s="221" t="s">
        <v>15</v>
      </c>
      <c r="S470" s="221" t="s">
        <v>16</v>
      </c>
      <c r="T470" s="221" t="s">
        <v>330</v>
      </c>
      <c r="U470" s="221" t="s">
        <v>250</v>
      </c>
      <c r="V470" s="221" t="s">
        <v>283</v>
      </c>
      <c r="W470" s="222" t="s">
        <v>283</v>
      </c>
      <c r="X470" s="222" t="s">
        <v>283</v>
      </c>
      <c r="Y470" s="223" t="s">
        <v>283</v>
      </c>
    </row>
    <row r="471" spans="1:25">
      <c r="A471" s="217">
        <v>9</v>
      </c>
      <c r="B471" s="218" t="str">
        <f>VLOOKUP(Tabel10[[#This Row],[Code]],Ruimtegroepen[[Code]:[Ruimte omschrijving]],2,FALSE)</f>
        <v>Bibliotheek/OLC</v>
      </c>
      <c r="C471" s="219" t="s">
        <v>673</v>
      </c>
      <c r="D471" s="218" t="s">
        <v>21</v>
      </c>
      <c r="E471" s="219" t="s">
        <v>1313</v>
      </c>
      <c r="F471" s="219" t="s">
        <v>1453</v>
      </c>
      <c r="G471" s="224" t="s">
        <v>283</v>
      </c>
      <c r="H471" s="220" t="s">
        <v>283</v>
      </c>
      <c r="I471" s="220" t="s">
        <v>18</v>
      </c>
      <c r="J471" s="220" t="s">
        <v>15</v>
      </c>
      <c r="K471" s="220" t="s">
        <v>284</v>
      </c>
      <c r="L471" s="220" t="s">
        <v>283</v>
      </c>
      <c r="M471" s="220" t="s">
        <v>283</v>
      </c>
      <c r="N471" s="220" t="s">
        <v>283</v>
      </c>
      <c r="O471" s="221" t="s">
        <v>20</v>
      </c>
      <c r="P471" s="221" t="s">
        <v>20</v>
      </c>
      <c r="Q471" s="221" t="s">
        <v>15</v>
      </c>
      <c r="R471" s="221" t="s">
        <v>15</v>
      </c>
      <c r="S471" s="221" t="s">
        <v>16</v>
      </c>
      <c r="T471" s="221" t="s">
        <v>330</v>
      </c>
      <c r="U471" s="221" t="s">
        <v>250</v>
      </c>
      <c r="V471" s="221" t="s">
        <v>283</v>
      </c>
      <c r="W471" s="222" t="s">
        <v>283</v>
      </c>
      <c r="X471" s="222" t="s">
        <v>283</v>
      </c>
      <c r="Y471" s="223" t="s">
        <v>283</v>
      </c>
    </row>
    <row r="472" spans="1:25">
      <c r="A472" s="217">
        <v>9</v>
      </c>
      <c r="B472" s="218" t="str">
        <f>VLOOKUP(Tabel10[[#This Row],[Code]],Ruimtegroepen[[Code]:[Ruimte omschrijving]],2,FALSE)</f>
        <v>Bibliotheek/OLC</v>
      </c>
      <c r="C472" s="219" t="s">
        <v>678</v>
      </c>
      <c r="D472" s="218" t="s">
        <v>12</v>
      </c>
      <c r="E472" s="219" t="s">
        <v>100</v>
      </c>
      <c r="F472" s="219" t="s">
        <v>679</v>
      </c>
      <c r="G472" s="224" t="s">
        <v>283</v>
      </c>
      <c r="H472" s="220" t="s">
        <v>283</v>
      </c>
      <c r="I472" s="220" t="s">
        <v>17</v>
      </c>
      <c r="J472" s="220" t="s">
        <v>15</v>
      </c>
      <c r="K472" s="220" t="s">
        <v>283</v>
      </c>
      <c r="L472" s="220" t="s">
        <v>283</v>
      </c>
      <c r="M472" s="220" t="s">
        <v>283</v>
      </c>
      <c r="N472" s="220" t="s">
        <v>283</v>
      </c>
      <c r="O472" s="221" t="s">
        <v>18</v>
      </c>
      <c r="P472" s="221" t="s">
        <v>18</v>
      </c>
      <c r="Q472" s="221" t="s">
        <v>15</v>
      </c>
      <c r="R472" s="221" t="s">
        <v>15</v>
      </c>
      <c r="S472" s="221" t="s">
        <v>16</v>
      </c>
      <c r="T472" s="221" t="s">
        <v>330</v>
      </c>
      <c r="U472" s="221" t="s">
        <v>250</v>
      </c>
      <c r="V472" s="221" t="s">
        <v>283</v>
      </c>
      <c r="W472" s="222" t="s">
        <v>283</v>
      </c>
      <c r="X472" s="222" t="s">
        <v>283</v>
      </c>
      <c r="Y472" s="223" t="s">
        <v>283</v>
      </c>
    </row>
    <row r="473" spans="1:25">
      <c r="A473" s="217">
        <v>9</v>
      </c>
      <c r="B473" s="218" t="str">
        <f>VLOOKUP(Tabel10[[#This Row],[Code]],Ruimtegroepen[[Code]:[Ruimte omschrijving]],2,FALSE)</f>
        <v>Bibliotheek/OLC</v>
      </c>
      <c r="C473" s="219" t="s">
        <v>678</v>
      </c>
      <c r="D473" s="218" t="s">
        <v>12</v>
      </c>
      <c r="E473" s="219" t="s">
        <v>99</v>
      </c>
      <c r="F473" s="219" t="s">
        <v>680</v>
      </c>
      <c r="G473" s="224" t="s">
        <v>283</v>
      </c>
      <c r="H473" s="220" t="s">
        <v>18</v>
      </c>
      <c r="I473" s="220" t="s">
        <v>283</v>
      </c>
      <c r="J473" s="220" t="s">
        <v>283</v>
      </c>
      <c r="K473" s="220" t="s">
        <v>283</v>
      </c>
      <c r="L473" s="220" t="s">
        <v>283</v>
      </c>
      <c r="M473" s="220" t="s">
        <v>283</v>
      </c>
      <c r="N473" s="220" t="s">
        <v>283</v>
      </c>
      <c r="O473" s="221" t="s">
        <v>18</v>
      </c>
      <c r="P473" s="221" t="s">
        <v>18</v>
      </c>
      <c r="Q473" s="221" t="s">
        <v>15</v>
      </c>
      <c r="R473" s="221" t="s">
        <v>15</v>
      </c>
      <c r="S473" s="221" t="s">
        <v>16</v>
      </c>
      <c r="T473" s="221" t="s">
        <v>330</v>
      </c>
      <c r="U473" s="221" t="s">
        <v>250</v>
      </c>
      <c r="V473" s="221" t="s">
        <v>283</v>
      </c>
      <c r="W473" s="222" t="s">
        <v>283</v>
      </c>
      <c r="X473" s="222" t="s">
        <v>283</v>
      </c>
      <c r="Y473" s="223" t="s">
        <v>283</v>
      </c>
    </row>
    <row r="474" spans="1:25">
      <c r="A474" s="217">
        <v>9</v>
      </c>
      <c r="B474" s="218" t="str">
        <f>VLOOKUP(Tabel10[[#This Row],[Code]],Ruimtegroepen[[Code]:[Ruimte omschrijving]],2,FALSE)</f>
        <v>Bibliotheek/OLC</v>
      </c>
      <c r="C474" s="219" t="s">
        <v>678</v>
      </c>
      <c r="D474" s="218" t="s">
        <v>12</v>
      </c>
      <c r="E474" s="219" t="s">
        <v>101</v>
      </c>
      <c r="F474" s="219" t="s">
        <v>681</v>
      </c>
      <c r="G474" s="224" t="s">
        <v>283</v>
      </c>
      <c r="H474" s="220" t="s">
        <v>283</v>
      </c>
      <c r="I474" s="220" t="s">
        <v>17</v>
      </c>
      <c r="J474" s="220" t="s">
        <v>15</v>
      </c>
      <c r="K474" s="220" t="s">
        <v>284</v>
      </c>
      <c r="L474" s="220" t="s">
        <v>283</v>
      </c>
      <c r="M474" s="220" t="s">
        <v>283</v>
      </c>
      <c r="N474" s="220" t="s">
        <v>283</v>
      </c>
      <c r="O474" s="221" t="s">
        <v>18</v>
      </c>
      <c r="P474" s="221" t="s">
        <v>18</v>
      </c>
      <c r="Q474" s="221" t="s">
        <v>15</v>
      </c>
      <c r="R474" s="221" t="s">
        <v>15</v>
      </c>
      <c r="S474" s="221" t="s">
        <v>16</v>
      </c>
      <c r="T474" s="221" t="s">
        <v>330</v>
      </c>
      <c r="U474" s="221" t="s">
        <v>250</v>
      </c>
      <c r="V474" s="221" t="s">
        <v>283</v>
      </c>
      <c r="W474" s="222" t="s">
        <v>283</v>
      </c>
      <c r="X474" s="222" t="s">
        <v>283</v>
      </c>
      <c r="Y474" s="223" t="s">
        <v>283</v>
      </c>
    </row>
    <row r="475" spans="1:25">
      <c r="A475" s="217">
        <v>9</v>
      </c>
      <c r="B475" s="218" t="str">
        <f>VLOOKUP(Tabel10[[#This Row],[Code]],Ruimtegroepen[[Code]:[Ruimte omschrijving]],2,FALSE)</f>
        <v>Bibliotheek/OLC</v>
      </c>
      <c r="C475" s="219" t="s">
        <v>678</v>
      </c>
      <c r="D475" s="218" t="s">
        <v>12</v>
      </c>
      <c r="E475" s="219" t="s">
        <v>102</v>
      </c>
      <c r="F475" s="219" t="s">
        <v>682</v>
      </c>
      <c r="G475" s="224" t="s">
        <v>283</v>
      </c>
      <c r="H475" s="220" t="s">
        <v>283</v>
      </c>
      <c r="I475" s="220" t="s">
        <v>17</v>
      </c>
      <c r="J475" s="220" t="s">
        <v>15</v>
      </c>
      <c r="K475" s="220" t="s">
        <v>284</v>
      </c>
      <c r="L475" s="220" t="s">
        <v>283</v>
      </c>
      <c r="M475" s="220" t="s">
        <v>283</v>
      </c>
      <c r="N475" s="220" t="s">
        <v>283</v>
      </c>
      <c r="O475" s="221" t="s">
        <v>18</v>
      </c>
      <c r="P475" s="221" t="s">
        <v>18</v>
      </c>
      <c r="Q475" s="221" t="s">
        <v>15</v>
      </c>
      <c r="R475" s="221" t="s">
        <v>15</v>
      </c>
      <c r="S475" s="221" t="s">
        <v>16</v>
      </c>
      <c r="T475" s="221" t="s">
        <v>330</v>
      </c>
      <c r="U475" s="221" t="s">
        <v>250</v>
      </c>
      <c r="V475" s="221" t="s">
        <v>283</v>
      </c>
      <c r="W475" s="222" t="s">
        <v>283</v>
      </c>
      <c r="X475" s="222" t="s">
        <v>283</v>
      </c>
      <c r="Y475" s="223" t="s">
        <v>283</v>
      </c>
    </row>
    <row r="476" spans="1:25">
      <c r="A476" s="217">
        <v>9</v>
      </c>
      <c r="B476" s="218" t="str">
        <f>VLOOKUP(Tabel10[[#This Row],[Code]],Ruimtegroepen[[Code]:[Ruimte omschrijving]],2,FALSE)</f>
        <v>Bibliotheek/OLC</v>
      </c>
      <c r="C476" s="219" t="s">
        <v>678</v>
      </c>
      <c r="D476" s="218" t="s">
        <v>12</v>
      </c>
      <c r="E476" s="219" t="s">
        <v>99</v>
      </c>
      <c r="F476" s="219" t="s">
        <v>680</v>
      </c>
      <c r="G476" s="224" t="s">
        <v>283</v>
      </c>
      <c r="H476" s="220" t="s">
        <v>18</v>
      </c>
      <c r="I476" s="220" t="s">
        <v>283</v>
      </c>
      <c r="J476" s="220" t="s">
        <v>283</v>
      </c>
      <c r="K476" s="220" t="s">
        <v>283</v>
      </c>
      <c r="L476" s="220" t="s">
        <v>283</v>
      </c>
      <c r="M476" s="220" t="s">
        <v>283</v>
      </c>
      <c r="N476" s="220" t="s">
        <v>283</v>
      </c>
      <c r="O476" s="221" t="s">
        <v>18</v>
      </c>
      <c r="P476" s="221" t="s">
        <v>18</v>
      </c>
      <c r="Q476" s="221" t="s">
        <v>15</v>
      </c>
      <c r="R476" s="221" t="s">
        <v>15</v>
      </c>
      <c r="S476" s="221" t="s">
        <v>16</v>
      </c>
      <c r="T476" s="221" t="s">
        <v>330</v>
      </c>
      <c r="U476" s="221" t="s">
        <v>250</v>
      </c>
      <c r="V476" s="221" t="s">
        <v>283</v>
      </c>
      <c r="W476" s="222" t="s">
        <v>283</v>
      </c>
      <c r="X476" s="222" t="s">
        <v>283</v>
      </c>
      <c r="Y476" s="223" t="s">
        <v>283</v>
      </c>
    </row>
    <row r="477" spans="1:25">
      <c r="A477" s="217">
        <v>9</v>
      </c>
      <c r="B477" s="218" t="str">
        <f>VLOOKUP(Tabel10[[#This Row],[Code]],Ruimtegroepen[[Code]:[Ruimte omschrijving]],2,FALSE)</f>
        <v>Bibliotheek/OLC</v>
      </c>
      <c r="C477" s="219" t="s">
        <v>678</v>
      </c>
      <c r="D477" s="218" t="s">
        <v>12</v>
      </c>
      <c r="E477" s="219" t="s">
        <v>1313</v>
      </c>
      <c r="F477" s="219" t="s">
        <v>1435</v>
      </c>
      <c r="G477" s="224" t="s">
        <v>283</v>
      </c>
      <c r="H477" s="220" t="s">
        <v>283</v>
      </c>
      <c r="I477" s="220" t="s">
        <v>17</v>
      </c>
      <c r="J477" s="220" t="s">
        <v>15</v>
      </c>
      <c r="K477" s="220" t="s">
        <v>284</v>
      </c>
      <c r="L477" s="220" t="s">
        <v>283</v>
      </c>
      <c r="M477" s="220" t="s">
        <v>283</v>
      </c>
      <c r="N477" s="220" t="s">
        <v>283</v>
      </c>
      <c r="O477" s="221" t="s">
        <v>18</v>
      </c>
      <c r="P477" s="221" t="s">
        <v>18</v>
      </c>
      <c r="Q477" s="221" t="s">
        <v>15</v>
      </c>
      <c r="R477" s="221" t="s">
        <v>15</v>
      </c>
      <c r="S477" s="221" t="s">
        <v>16</v>
      </c>
      <c r="T477" s="221" t="s">
        <v>330</v>
      </c>
      <c r="U477" s="221" t="s">
        <v>250</v>
      </c>
      <c r="V477" s="221" t="s">
        <v>283</v>
      </c>
      <c r="W477" s="222" t="s">
        <v>283</v>
      </c>
      <c r="X477" s="222" t="s">
        <v>283</v>
      </c>
      <c r="Y477" s="223" t="s">
        <v>283</v>
      </c>
    </row>
    <row r="478" spans="1:25">
      <c r="A478" s="217">
        <v>9</v>
      </c>
      <c r="B478" s="218" t="str">
        <f>VLOOKUP(Tabel10[[#This Row],[Code]],Ruimtegroepen[[Code]:[Ruimte omschrijving]],2,FALSE)</f>
        <v>Bibliotheek/OLC</v>
      </c>
      <c r="C478" s="219" t="s">
        <v>683</v>
      </c>
      <c r="D478" s="218" t="s">
        <v>14</v>
      </c>
      <c r="E478" s="219" t="s">
        <v>100</v>
      </c>
      <c r="F478" s="219" t="s">
        <v>684</v>
      </c>
      <c r="G478" s="224" t="s">
        <v>283</v>
      </c>
      <c r="H478" s="220" t="s">
        <v>283</v>
      </c>
      <c r="I478" s="220" t="s">
        <v>15</v>
      </c>
      <c r="J478" s="220" t="s">
        <v>15</v>
      </c>
      <c r="K478" s="220" t="s">
        <v>283</v>
      </c>
      <c r="L478" s="220" t="s">
        <v>283</v>
      </c>
      <c r="M478" s="220" t="s">
        <v>283</v>
      </c>
      <c r="N478" s="220" t="s">
        <v>283</v>
      </c>
      <c r="O478" s="221" t="s">
        <v>17</v>
      </c>
      <c r="P478" s="221" t="s">
        <v>17</v>
      </c>
      <c r="Q478" s="221" t="s">
        <v>15</v>
      </c>
      <c r="R478" s="221" t="s">
        <v>15</v>
      </c>
      <c r="S478" s="221" t="s">
        <v>16</v>
      </c>
      <c r="T478" s="221" t="s">
        <v>330</v>
      </c>
      <c r="U478" s="221" t="s">
        <v>250</v>
      </c>
      <c r="V478" s="221" t="s">
        <v>283</v>
      </c>
      <c r="W478" s="222" t="s">
        <v>283</v>
      </c>
      <c r="X478" s="222" t="s">
        <v>283</v>
      </c>
      <c r="Y478" s="223" t="s">
        <v>283</v>
      </c>
    </row>
    <row r="479" spans="1:25">
      <c r="A479" s="217">
        <v>9</v>
      </c>
      <c r="B479" s="218" t="str">
        <f>VLOOKUP(Tabel10[[#This Row],[Code]],Ruimtegroepen[[Code]:[Ruimte omschrijving]],2,FALSE)</f>
        <v>Bibliotheek/OLC</v>
      </c>
      <c r="C479" s="219" t="s">
        <v>683</v>
      </c>
      <c r="D479" s="218" t="s">
        <v>14</v>
      </c>
      <c r="E479" s="219" t="s">
        <v>99</v>
      </c>
      <c r="F479" s="219" t="s">
        <v>685</v>
      </c>
      <c r="G479" s="224" t="s">
        <v>283</v>
      </c>
      <c r="H479" s="220" t="s">
        <v>17</v>
      </c>
      <c r="I479" s="220" t="s">
        <v>283</v>
      </c>
      <c r="J479" s="220" t="s">
        <v>283</v>
      </c>
      <c r="K479" s="220" t="s">
        <v>283</v>
      </c>
      <c r="L479" s="220" t="s">
        <v>283</v>
      </c>
      <c r="M479" s="220" t="s">
        <v>283</v>
      </c>
      <c r="N479" s="220" t="s">
        <v>283</v>
      </c>
      <c r="O479" s="221" t="s">
        <v>17</v>
      </c>
      <c r="P479" s="221" t="s">
        <v>17</v>
      </c>
      <c r="Q479" s="221" t="s">
        <v>15</v>
      </c>
      <c r="R479" s="221" t="s">
        <v>15</v>
      </c>
      <c r="S479" s="221" t="s">
        <v>16</v>
      </c>
      <c r="T479" s="221" t="s">
        <v>330</v>
      </c>
      <c r="U479" s="221" t="s">
        <v>250</v>
      </c>
      <c r="V479" s="221" t="s">
        <v>283</v>
      </c>
      <c r="W479" s="222" t="s">
        <v>283</v>
      </c>
      <c r="X479" s="222" t="s">
        <v>283</v>
      </c>
      <c r="Y479" s="223" t="s">
        <v>283</v>
      </c>
    </row>
    <row r="480" spans="1:25">
      <c r="A480" s="217">
        <v>9</v>
      </c>
      <c r="B480" s="218" t="str">
        <f>VLOOKUP(Tabel10[[#This Row],[Code]],Ruimtegroepen[[Code]:[Ruimte omschrijving]],2,FALSE)</f>
        <v>Bibliotheek/OLC</v>
      </c>
      <c r="C480" s="219" t="s">
        <v>683</v>
      </c>
      <c r="D480" s="218" t="s">
        <v>14</v>
      </c>
      <c r="E480" s="219" t="s">
        <v>101</v>
      </c>
      <c r="F480" s="219" t="s">
        <v>686</v>
      </c>
      <c r="G480" s="224" t="s">
        <v>283</v>
      </c>
      <c r="H480" s="220" t="s">
        <v>283</v>
      </c>
      <c r="I480" s="220" t="s">
        <v>15</v>
      </c>
      <c r="J480" s="220" t="s">
        <v>15</v>
      </c>
      <c r="K480" s="220" t="s">
        <v>284</v>
      </c>
      <c r="L480" s="220" t="s">
        <v>283</v>
      </c>
      <c r="M480" s="220" t="s">
        <v>283</v>
      </c>
      <c r="N480" s="220" t="s">
        <v>283</v>
      </c>
      <c r="O480" s="221" t="s">
        <v>17</v>
      </c>
      <c r="P480" s="221" t="s">
        <v>17</v>
      </c>
      <c r="Q480" s="221" t="s">
        <v>15</v>
      </c>
      <c r="R480" s="221" t="s">
        <v>15</v>
      </c>
      <c r="S480" s="221" t="s">
        <v>16</v>
      </c>
      <c r="T480" s="221" t="s">
        <v>330</v>
      </c>
      <c r="U480" s="221" t="s">
        <v>250</v>
      </c>
      <c r="V480" s="221" t="s">
        <v>283</v>
      </c>
      <c r="W480" s="222" t="s">
        <v>283</v>
      </c>
      <c r="X480" s="222" t="s">
        <v>283</v>
      </c>
      <c r="Y480" s="223" t="s">
        <v>283</v>
      </c>
    </row>
    <row r="481" spans="1:25">
      <c r="A481" s="217">
        <v>9</v>
      </c>
      <c r="B481" s="218" t="str">
        <f>VLOOKUP(Tabel10[[#This Row],[Code]],Ruimtegroepen[[Code]:[Ruimte omschrijving]],2,FALSE)</f>
        <v>Bibliotheek/OLC</v>
      </c>
      <c r="C481" s="219" t="s">
        <v>683</v>
      </c>
      <c r="D481" s="218" t="s">
        <v>14</v>
      </c>
      <c r="E481" s="219" t="s">
        <v>102</v>
      </c>
      <c r="F481" s="219" t="s">
        <v>687</v>
      </c>
      <c r="G481" s="224" t="s">
        <v>283</v>
      </c>
      <c r="H481" s="220" t="s">
        <v>283</v>
      </c>
      <c r="I481" s="220" t="s">
        <v>15</v>
      </c>
      <c r="J481" s="220" t="s">
        <v>15</v>
      </c>
      <c r="K481" s="220" t="s">
        <v>284</v>
      </c>
      <c r="L481" s="220" t="s">
        <v>283</v>
      </c>
      <c r="M481" s="220" t="s">
        <v>283</v>
      </c>
      <c r="N481" s="220" t="s">
        <v>283</v>
      </c>
      <c r="O481" s="221" t="s">
        <v>17</v>
      </c>
      <c r="P481" s="221" t="s">
        <v>17</v>
      </c>
      <c r="Q481" s="221" t="s">
        <v>15</v>
      </c>
      <c r="R481" s="221" t="s">
        <v>15</v>
      </c>
      <c r="S481" s="221" t="s">
        <v>16</v>
      </c>
      <c r="T481" s="221" t="s">
        <v>330</v>
      </c>
      <c r="U481" s="221" t="s">
        <v>250</v>
      </c>
      <c r="V481" s="221" t="s">
        <v>283</v>
      </c>
      <c r="W481" s="222" t="s">
        <v>283</v>
      </c>
      <c r="X481" s="222" t="s">
        <v>283</v>
      </c>
      <c r="Y481" s="223" t="s">
        <v>283</v>
      </c>
    </row>
    <row r="482" spans="1:25">
      <c r="A482" s="217">
        <v>9</v>
      </c>
      <c r="B482" s="218" t="str">
        <f>VLOOKUP(Tabel10[[#This Row],[Code]],Ruimtegroepen[[Code]:[Ruimte omschrijving]],2,FALSE)</f>
        <v>Bibliotheek/OLC</v>
      </c>
      <c r="C482" s="219" t="s">
        <v>683</v>
      </c>
      <c r="D482" s="218" t="s">
        <v>14</v>
      </c>
      <c r="E482" s="219" t="s">
        <v>99</v>
      </c>
      <c r="F482" s="219" t="s">
        <v>685</v>
      </c>
      <c r="G482" s="224" t="s">
        <v>283</v>
      </c>
      <c r="H482" s="220" t="s">
        <v>17</v>
      </c>
      <c r="I482" s="220" t="s">
        <v>283</v>
      </c>
      <c r="J482" s="220" t="s">
        <v>283</v>
      </c>
      <c r="K482" s="220" t="s">
        <v>283</v>
      </c>
      <c r="L482" s="220" t="s">
        <v>283</v>
      </c>
      <c r="M482" s="220" t="s">
        <v>283</v>
      </c>
      <c r="N482" s="220" t="s">
        <v>283</v>
      </c>
      <c r="O482" s="221" t="s">
        <v>17</v>
      </c>
      <c r="P482" s="221" t="s">
        <v>17</v>
      </c>
      <c r="Q482" s="221" t="s">
        <v>15</v>
      </c>
      <c r="R482" s="221" t="s">
        <v>15</v>
      </c>
      <c r="S482" s="221" t="s">
        <v>16</v>
      </c>
      <c r="T482" s="221" t="s">
        <v>330</v>
      </c>
      <c r="U482" s="221" t="s">
        <v>250</v>
      </c>
      <c r="V482" s="221" t="s">
        <v>283</v>
      </c>
      <c r="W482" s="222" t="s">
        <v>283</v>
      </c>
      <c r="X482" s="222" t="s">
        <v>283</v>
      </c>
      <c r="Y482" s="223" t="s">
        <v>283</v>
      </c>
    </row>
    <row r="483" spans="1:25">
      <c r="A483" s="217">
        <v>9</v>
      </c>
      <c r="B483" s="218" t="str">
        <f>VLOOKUP(Tabel10[[#This Row],[Code]],Ruimtegroepen[[Code]:[Ruimte omschrijving]],2,FALSE)</f>
        <v>Bibliotheek/OLC</v>
      </c>
      <c r="C483" s="219" t="s">
        <v>683</v>
      </c>
      <c r="D483" s="218" t="s">
        <v>14</v>
      </c>
      <c r="E483" s="219" t="s">
        <v>1313</v>
      </c>
      <c r="F483" s="219" t="s">
        <v>1402</v>
      </c>
      <c r="G483" s="224" t="s">
        <v>283</v>
      </c>
      <c r="H483" s="220" t="s">
        <v>283</v>
      </c>
      <c r="I483" s="220" t="s">
        <v>15</v>
      </c>
      <c r="J483" s="220" t="s">
        <v>15</v>
      </c>
      <c r="K483" s="220" t="s">
        <v>284</v>
      </c>
      <c r="L483" s="220" t="s">
        <v>283</v>
      </c>
      <c r="M483" s="220" t="s">
        <v>283</v>
      </c>
      <c r="N483" s="220" t="s">
        <v>283</v>
      </c>
      <c r="O483" s="221" t="s">
        <v>17</v>
      </c>
      <c r="P483" s="221" t="s">
        <v>17</v>
      </c>
      <c r="Q483" s="221" t="s">
        <v>15</v>
      </c>
      <c r="R483" s="221" t="s">
        <v>15</v>
      </c>
      <c r="S483" s="221" t="s">
        <v>16</v>
      </c>
      <c r="T483" s="221" t="s">
        <v>330</v>
      </c>
      <c r="U483" s="221" t="s">
        <v>250</v>
      </c>
      <c r="V483" s="221" t="s">
        <v>283</v>
      </c>
      <c r="W483" s="222" t="s">
        <v>283</v>
      </c>
      <c r="X483" s="222" t="s">
        <v>283</v>
      </c>
      <c r="Y483" s="223" t="s">
        <v>283</v>
      </c>
    </row>
    <row r="484" spans="1:25">
      <c r="A484" s="217">
        <v>9</v>
      </c>
      <c r="B484" s="218" t="str">
        <f>VLOOKUP(Tabel10[[#This Row],[Code]],Ruimtegroepen[[Code]:[Ruimte omschrijving]],2,FALSE)</f>
        <v>Bibliotheek/OLC</v>
      </c>
      <c r="C484" s="219" t="s">
        <v>688</v>
      </c>
      <c r="D484" s="218" t="s">
        <v>13</v>
      </c>
      <c r="E484" s="219" t="s">
        <v>100</v>
      </c>
      <c r="F484" s="219" t="s">
        <v>689</v>
      </c>
      <c r="G484" s="224" t="s">
        <v>283</v>
      </c>
      <c r="H484" s="220" t="s">
        <v>283</v>
      </c>
      <c r="I484" s="220" t="s">
        <v>283</v>
      </c>
      <c r="J484" s="220" t="s">
        <v>15</v>
      </c>
      <c r="K484" s="220" t="s">
        <v>283</v>
      </c>
      <c r="L484" s="220" t="s">
        <v>283</v>
      </c>
      <c r="M484" s="220" t="s">
        <v>283</v>
      </c>
      <c r="N484" s="220" t="s">
        <v>283</v>
      </c>
      <c r="O484" s="221" t="s">
        <v>15</v>
      </c>
      <c r="P484" s="221" t="s">
        <v>15</v>
      </c>
      <c r="Q484" s="221" t="s">
        <v>15</v>
      </c>
      <c r="R484" s="221" t="s">
        <v>15</v>
      </c>
      <c r="S484" s="221" t="s">
        <v>16</v>
      </c>
      <c r="T484" s="221" t="s">
        <v>330</v>
      </c>
      <c r="U484" s="221" t="s">
        <v>250</v>
      </c>
      <c r="V484" s="221" t="s">
        <v>283</v>
      </c>
      <c r="W484" s="222" t="s">
        <v>283</v>
      </c>
      <c r="X484" s="222" t="s">
        <v>283</v>
      </c>
      <c r="Y484" s="223" t="s">
        <v>283</v>
      </c>
    </row>
    <row r="485" spans="1:25">
      <c r="A485" s="217">
        <v>9</v>
      </c>
      <c r="B485" s="218" t="str">
        <f>VLOOKUP(Tabel10[[#This Row],[Code]],Ruimtegroepen[[Code]:[Ruimte omschrijving]],2,FALSE)</f>
        <v>Bibliotheek/OLC</v>
      </c>
      <c r="C485" s="219" t="s">
        <v>688</v>
      </c>
      <c r="D485" s="218" t="s">
        <v>13</v>
      </c>
      <c r="E485" s="219" t="s">
        <v>99</v>
      </c>
      <c r="F485" s="219" t="s">
        <v>690</v>
      </c>
      <c r="G485" s="224" t="s">
        <v>283</v>
      </c>
      <c r="H485" s="220" t="s">
        <v>15</v>
      </c>
      <c r="I485" s="220" t="s">
        <v>283</v>
      </c>
      <c r="J485" s="220" t="s">
        <v>283</v>
      </c>
      <c r="K485" s="220" t="s">
        <v>283</v>
      </c>
      <c r="L485" s="220" t="s">
        <v>283</v>
      </c>
      <c r="M485" s="220" t="s">
        <v>283</v>
      </c>
      <c r="N485" s="220" t="s">
        <v>283</v>
      </c>
      <c r="O485" s="221" t="s">
        <v>15</v>
      </c>
      <c r="P485" s="221" t="s">
        <v>15</v>
      </c>
      <c r="Q485" s="221" t="s">
        <v>15</v>
      </c>
      <c r="R485" s="221" t="s">
        <v>15</v>
      </c>
      <c r="S485" s="221" t="s">
        <v>16</v>
      </c>
      <c r="T485" s="221" t="s">
        <v>330</v>
      </c>
      <c r="U485" s="221" t="s">
        <v>250</v>
      </c>
      <c r="V485" s="221" t="s">
        <v>283</v>
      </c>
      <c r="W485" s="222" t="s">
        <v>283</v>
      </c>
      <c r="X485" s="222" t="s">
        <v>283</v>
      </c>
      <c r="Y485" s="223" t="s">
        <v>283</v>
      </c>
    </row>
    <row r="486" spans="1:25">
      <c r="A486" s="217">
        <v>9</v>
      </c>
      <c r="B486" s="218" t="str">
        <f>VLOOKUP(Tabel10[[#This Row],[Code]],Ruimtegroepen[[Code]:[Ruimte omschrijving]],2,FALSE)</f>
        <v>Bibliotheek/OLC</v>
      </c>
      <c r="C486" s="219" t="s">
        <v>688</v>
      </c>
      <c r="D486" s="218" t="s">
        <v>13</v>
      </c>
      <c r="E486" s="219" t="s">
        <v>101</v>
      </c>
      <c r="F486" s="219" t="s">
        <v>691</v>
      </c>
      <c r="G486" s="224" t="s">
        <v>283</v>
      </c>
      <c r="H486" s="220" t="s">
        <v>283</v>
      </c>
      <c r="I486" s="220" t="s">
        <v>283</v>
      </c>
      <c r="J486" s="220" t="s">
        <v>15</v>
      </c>
      <c r="K486" s="220" t="s">
        <v>284</v>
      </c>
      <c r="L486" s="220" t="s">
        <v>283</v>
      </c>
      <c r="M486" s="220" t="s">
        <v>283</v>
      </c>
      <c r="N486" s="220" t="s">
        <v>283</v>
      </c>
      <c r="O486" s="221" t="s">
        <v>15</v>
      </c>
      <c r="P486" s="221" t="s">
        <v>15</v>
      </c>
      <c r="Q486" s="221" t="s">
        <v>15</v>
      </c>
      <c r="R486" s="221" t="s">
        <v>15</v>
      </c>
      <c r="S486" s="221" t="s">
        <v>16</v>
      </c>
      <c r="T486" s="221" t="s">
        <v>330</v>
      </c>
      <c r="U486" s="221" t="s">
        <v>250</v>
      </c>
      <c r="V486" s="221" t="s">
        <v>283</v>
      </c>
      <c r="W486" s="222" t="s">
        <v>283</v>
      </c>
      <c r="X486" s="222" t="s">
        <v>283</v>
      </c>
      <c r="Y486" s="223" t="s">
        <v>283</v>
      </c>
    </row>
    <row r="487" spans="1:25">
      <c r="A487" s="217">
        <v>9</v>
      </c>
      <c r="B487" s="218" t="str">
        <f>VLOOKUP(Tabel10[[#This Row],[Code]],Ruimtegroepen[[Code]:[Ruimte omschrijving]],2,FALSE)</f>
        <v>Bibliotheek/OLC</v>
      </c>
      <c r="C487" s="219" t="s">
        <v>688</v>
      </c>
      <c r="D487" s="218" t="s">
        <v>13</v>
      </c>
      <c r="E487" s="219" t="s">
        <v>102</v>
      </c>
      <c r="F487" s="219" t="s">
        <v>692</v>
      </c>
      <c r="G487" s="224" t="s">
        <v>283</v>
      </c>
      <c r="H487" s="220" t="s">
        <v>283</v>
      </c>
      <c r="I487" s="220" t="s">
        <v>283</v>
      </c>
      <c r="J487" s="220" t="s">
        <v>15</v>
      </c>
      <c r="K487" s="220" t="s">
        <v>284</v>
      </c>
      <c r="L487" s="220" t="s">
        <v>283</v>
      </c>
      <c r="M487" s="220" t="s">
        <v>283</v>
      </c>
      <c r="N487" s="220" t="s">
        <v>283</v>
      </c>
      <c r="O487" s="221" t="s">
        <v>15</v>
      </c>
      <c r="P487" s="221" t="s">
        <v>15</v>
      </c>
      <c r="Q487" s="221" t="s">
        <v>15</v>
      </c>
      <c r="R487" s="221" t="s">
        <v>15</v>
      </c>
      <c r="S487" s="221" t="s">
        <v>16</v>
      </c>
      <c r="T487" s="221" t="s">
        <v>330</v>
      </c>
      <c r="U487" s="221" t="s">
        <v>250</v>
      </c>
      <c r="V487" s="221" t="s">
        <v>283</v>
      </c>
      <c r="W487" s="222" t="s">
        <v>283</v>
      </c>
      <c r="X487" s="222" t="s">
        <v>283</v>
      </c>
      <c r="Y487" s="223" t="s">
        <v>283</v>
      </c>
    </row>
    <row r="488" spans="1:25">
      <c r="A488" s="217">
        <v>9</v>
      </c>
      <c r="B488" s="218" t="str">
        <f>VLOOKUP(Tabel10[[#This Row],[Code]],Ruimtegroepen[[Code]:[Ruimte omschrijving]],2,FALSE)</f>
        <v>Bibliotheek/OLC</v>
      </c>
      <c r="C488" s="219" t="s">
        <v>688</v>
      </c>
      <c r="D488" s="218" t="s">
        <v>13</v>
      </c>
      <c r="E488" s="219" t="s">
        <v>99</v>
      </c>
      <c r="F488" s="219" t="s">
        <v>690</v>
      </c>
      <c r="G488" s="224" t="s">
        <v>283</v>
      </c>
      <c r="H488" s="220" t="s">
        <v>15</v>
      </c>
      <c r="I488" s="220" t="s">
        <v>283</v>
      </c>
      <c r="J488" s="220" t="s">
        <v>283</v>
      </c>
      <c r="K488" s="220" t="s">
        <v>283</v>
      </c>
      <c r="L488" s="220" t="s">
        <v>283</v>
      </c>
      <c r="M488" s="220" t="s">
        <v>283</v>
      </c>
      <c r="N488" s="220" t="s">
        <v>283</v>
      </c>
      <c r="O488" s="221" t="s">
        <v>15</v>
      </c>
      <c r="P488" s="221" t="s">
        <v>15</v>
      </c>
      <c r="Q488" s="221" t="s">
        <v>15</v>
      </c>
      <c r="R488" s="221" t="s">
        <v>15</v>
      </c>
      <c r="S488" s="221" t="s">
        <v>16</v>
      </c>
      <c r="T488" s="221" t="s">
        <v>330</v>
      </c>
      <c r="U488" s="221" t="s">
        <v>250</v>
      </c>
      <c r="V488" s="221" t="s">
        <v>283</v>
      </c>
      <c r="W488" s="222" t="s">
        <v>283</v>
      </c>
      <c r="X488" s="222" t="s">
        <v>283</v>
      </c>
      <c r="Y488" s="223" t="s">
        <v>283</v>
      </c>
    </row>
    <row r="489" spans="1:25">
      <c r="A489" s="217">
        <v>9</v>
      </c>
      <c r="B489" s="218" t="str">
        <f>VLOOKUP(Tabel10[[#This Row],[Code]],Ruimtegroepen[[Code]:[Ruimte omschrijving]],2,FALSE)</f>
        <v>Bibliotheek/OLC</v>
      </c>
      <c r="C489" s="219" t="s">
        <v>688</v>
      </c>
      <c r="D489" s="218" t="s">
        <v>13</v>
      </c>
      <c r="E489" s="219" t="s">
        <v>1313</v>
      </c>
      <c r="F489" s="219" t="s">
        <v>1369</v>
      </c>
      <c r="G489" s="224" t="s">
        <v>283</v>
      </c>
      <c r="H489" s="220" t="s">
        <v>283</v>
      </c>
      <c r="I489" s="220" t="s">
        <v>283</v>
      </c>
      <c r="J489" s="220" t="s">
        <v>15</v>
      </c>
      <c r="K489" s="220" t="s">
        <v>284</v>
      </c>
      <c r="L489" s="220" t="s">
        <v>283</v>
      </c>
      <c r="M489" s="220" t="s">
        <v>283</v>
      </c>
      <c r="N489" s="220" t="s">
        <v>283</v>
      </c>
      <c r="O489" s="221" t="s">
        <v>15</v>
      </c>
      <c r="P489" s="221" t="s">
        <v>15</v>
      </c>
      <c r="Q489" s="221" t="s">
        <v>15</v>
      </c>
      <c r="R489" s="221" t="s">
        <v>15</v>
      </c>
      <c r="S489" s="221" t="s">
        <v>16</v>
      </c>
      <c r="T489" s="221" t="s">
        <v>330</v>
      </c>
      <c r="U489" s="221" t="s">
        <v>250</v>
      </c>
      <c r="V489" s="221" t="s">
        <v>283</v>
      </c>
      <c r="W489" s="222" t="s">
        <v>283</v>
      </c>
      <c r="X489" s="222" t="s">
        <v>283</v>
      </c>
      <c r="Y489" s="223" t="s">
        <v>283</v>
      </c>
    </row>
    <row r="490" spans="1:25">
      <c r="A490" s="217">
        <v>9</v>
      </c>
      <c r="B490" s="218" t="str">
        <f>VLOOKUP(Tabel10[[#This Row],[Code]],Ruimtegroepen[[Code]:[Ruimte omschrijving]],2,FALSE)</f>
        <v>Bibliotheek/OLC</v>
      </c>
      <c r="C490" s="219" t="s">
        <v>693</v>
      </c>
      <c r="D490" s="218" t="s">
        <v>0</v>
      </c>
      <c r="E490" s="219" t="s">
        <v>100</v>
      </c>
      <c r="F490" s="219" t="s">
        <v>694</v>
      </c>
      <c r="G490" s="224" t="s">
        <v>283</v>
      </c>
      <c r="H490" s="220" t="s">
        <v>283</v>
      </c>
      <c r="I490" s="220" t="s">
        <v>283</v>
      </c>
      <c r="J490" s="220" t="s">
        <v>16</v>
      </c>
      <c r="K490" s="220" t="s">
        <v>283</v>
      </c>
      <c r="L490" s="220" t="s">
        <v>283</v>
      </c>
      <c r="M490" s="220" t="s">
        <v>283</v>
      </c>
      <c r="N490" s="220" t="s">
        <v>283</v>
      </c>
      <c r="O490" s="221" t="s">
        <v>16</v>
      </c>
      <c r="P490" s="221" t="s">
        <v>16</v>
      </c>
      <c r="Q490" s="221" t="s">
        <v>16</v>
      </c>
      <c r="R490" s="221" t="s">
        <v>16</v>
      </c>
      <c r="S490" s="221" t="s">
        <v>16</v>
      </c>
      <c r="T490" s="221" t="s">
        <v>330</v>
      </c>
      <c r="U490" s="221" t="s">
        <v>250</v>
      </c>
      <c r="V490" s="221" t="s">
        <v>283</v>
      </c>
      <c r="W490" s="222" t="s">
        <v>283</v>
      </c>
      <c r="X490" s="222" t="s">
        <v>283</v>
      </c>
      <c r="Y490" s="223" t="s">
        <v>283</v>
      </c>
    </row>
    <row r="491" spans="1:25">
      <c r="A491" s="217">
        <v>9</v>
      </c>
      <c r="B491" s="218" t="str">
        <f>VLOOKUP(Tabel10[[#This Row],[Code]],Ruimtegroepen[[Code]:[Ruimte omschrijving]],2,FALSE)</f>
        <v>Bibliotheek/OLC</v>
      </c>
      <c r="C491" s="219" t="s">
        <v>693</v>
      </c>
      <c r="D491" s="218" t="s">
        <v>0</v>
      </c>
      <c r="E491" s="219" t="s">
        <v>99</v>
      </c>
      <c r="F491" s="219" t="s">
        <v>695</v>
      </c>
      <c r="G491" s="224" t="s">
        <v>283</v>
      </c>
      <c r="H491" s="220" t="s">
        <v>16</v>
      </c>
      <c r="I491" s="220" t="s">
        <v>283</v>
      </c>
      <c r="J491" s="220" t="s">
        <v>283</v>
      </c>
      <c r="K491" s="220" t="s">
        <v>283</v>
      </c>
      <c r="L491" s="220" t="s">
        <v>283</v>
      </c>
      <c r="M491" s="220" t="s">
        <v>283</v>
      </c>
      <c r="N491" s="220" t="s">
        <v>283</v>
      </c>
      <c r="O491" s="221" t="s">
        <v>16</v>
      </c>
      <c r="P491" s="221" t="s">
        <v>16</v>
      </c>
      <c r="Q491" s="221" t="s">
        <v>16</v>
      </c>
      <c r="R491" s="221" t="s">
        <v>16</v>
      </c>
      <c r="S491" s="221" t="s">
        <v>16</v>
      </c>
      <c r="T491" s="221" t="s">
        <v>330</v>
      </c>
      <c r="U491" s="221" t="s">
        <v>250</v>
      </c>
      <c r="V491" s="221" t="s">
        <v>283</v>
      </c>
      <c r="W491" s="222" t="s">
        <v>283</v>
      </c>
      <c r="X491" s="222" t="s">
        <v>283</v>
      </c>
      <c r="Y491" s="223" t="s">
        <v>283</v>
      </c>
    </row>
    <row r="492" spans="1:25">
      <c r="A492" s="217">
        <v>9</v>
      </c>
      <c r="B492" s="218" t="str">
        <f>VLOOKUP(Tabel10[[#This Row],[Code]],Ruimtegroepen[[Code]:[Ruimte omschrijving]],2,FALSE)</f>
        <v>Bibliotheek/OLC</v>
      </c>
      <c r="C492" s="219" t="s">
        <v>693</v>
      </c>
      <c r="D492" s="218" t="s">
        <v>0</v>
      </c>
      <c r="E492" s="219" t="s">
        <v>101</v>
      </c>
      <c r="F492" s="219" t="s">
        <v>696</v>
      </c>
      <c r="G492" s="224" t="s">
        <v>283</v>
      </c>
      <c r="H492" s="220" t="s">
        <v>283</v>
      </c>
      <c r="I492" s="220" t="s">
        <v>283</v>
      </c>
      <c r="J492" s="220" t="s">
        <v>16</v>
      </c>
      <c r="K492" s="220" t="s">
        <v>284</v>
      </c>
      <c r="L492" s="220" t="s">
        <v>283</v>
      </c>
      <c r="M492" s="220" t="s">
        <v>283</v>
      </c>
      <c r="N492" s="220" t="s">
        <v>283</v>
      </c>
      <c r="O492" s="221" t="s">
        <v>16</v>
      </c>
      <c r="P492" s="221" t="s">
        <v>16</v>
      </c>
      <c r="Q492" s="221" t="s">
        <v>16</v>
      </c>
      <c r="R492" s="221" t="s">
        <v>16</v>
      </c>
      <c r="S492" s="221" t="s">
        <v>16</v>
      </c>
      <c r="T492" s="221" t="s">
        <v>330</v>
      </c>
      <c r="U492" s="221" t="s">
        <v>250</v>
      </c>
      <c r="V492" s="221" t="s">
        <v>283</v>
      </c>
      <c r="W492" s="222" t="s">
        <v>283</v>
      </c>
      <c r="X492" s="222" t="s">
        <v>283</v>
      </c>
      <c r="Y492" s="223" t="s">
        <v>283</v>
      </c>
    </row>
    <row r="493" spans="1:25">
      <c r="A493" s="217">
        <v>9</v>
      </c>
      <c r="B493" s="218" t="str">
        <f>VLOOKUP(Tabel10[[#This Row],[Code]],Ruimtegroepen[[Code]:[Ruimte omschrijving]],2,FALSE)</f>
        <v>Bibliotheek/OLC</v>
      </c>
      <c r="C493" s="219" t="s">
        <v>693</v>
      </c>
      <c r="D493" s="218" t="s">
        <v>0</v>
      </c>
      <c r="E493" s="219" t="s">
        <v>102</v>
      </c>
      <c r="F493" s="219" t="s">
        <v>697</v>
      </c>
      <c r="G493" s="224" t="s">
        <v>283</v>
      </c>
      <c r="H493" s="220" t="s">
        <v>283</v>
      </c>
      <c r="I493" s="220" t="s">
        <v>283</v>
      </c>
      <c r="J493" s="220" t="s">
        <v>16</v>
      </c>
      <c r="K493" s="220" t="s">
        <v>284</v>
      </c>
      <c r="L493" s="220" t="s">
        <v>283</v>
      </c>
      <c r="M493" s="220" t="s">
        <v>283</v>
      </c>
      <c r="N493" s="220" t="s">
        <v>283</v>
      </c>
      <c r="O493" s="221" t="s">
        <v>16</v>
      </c>
      <c r="P493" s="221" t="s">
        <v>16</v>
      </c>
      <c r="Q493" s="221" t="s">
        <v>16</v>
      </c>
      <c r="R493" s="221" t="s">
        <v>16</v>
      </c>
      <c r="S493" s="221" t="s">
        <v>16</v>
      </c>
      <c r="T493" s="221" t="s">
        <v>330</v>
      </c>
      <c r="U493" s="221" t="s">
        <v>250</v>
      </c>
      <c r="V493" s="221" t="s">
        <v>283</v>
      </c>
      <c r="W493" s="222" t="s">
        <v>283</v>
      </c>
      <c r="X493" s="222" t="s">
        <v>283</v>
      </c>
      <c r="Y493" s="223" t="s">
        <v>283</v>
      </c>
    </row>
    <row r="494" spans="1:25">
      <c r="A494" s="217">
        <v>9</v>
      </c>
      <c r="B494" s="218" t="str">
        <f>VLOOKUP(Tabel10[[#This Row],[Code]],Ruimtegroepen[[Code]:[Ruimte omschrijving]],2,FALSE)</f>
        <v>Bibliotheek/OLC</v>
      </c>
      <c r="C494" s="219" t="s">
        <v>693</v>
      </c>
      <c r="D494" s="218" t="s">
        <v>0</v>
      </c>
      <c r="E494" s="219" t="s">
        <v>99</v>
      </c>
      <c r="F494" s="219" t="s">
        <v>695</v>
      </c>
      <c r="G494" s="224" t="s">
        <v>283</v>
      </c>
      <c r="H494" s="220" t="s">
        <v>16</v>
      </c>
      <c r="I494" s="220" t="s">
        <v>283</v>
      </c>
      <c r="J494" s="220" t="s">
        <v>283</v>
      </c>
      <c r="K494" s="220" t="s">
        <v>283</v>
      </c>
      <c r="L494" s="220" t="s">
        <v>283</v>
      </c>
      <c r="M494" s="220" t="s">
        <v>283</v>
      </c>
      <c r="N494" s="220" t="s">
        <v>283</v>
      </c>
      <c r="O494" s="221" t="s">
        <v>16</v>
      </c>
      <c r="P494" s="221" t="s">
        <v>16</v>
      </c>
      <c r="Q494" s="221" t="s">
        <v>16</v>
      </c>
      <c r="R494" s="221" t="s">
        <v>16</v>
      </c>
      <c r="S494" s="221" t="s">
        <v>16</v>
      </c>
      <c r="T494" s="221" t="s">
        <v>330</v>
      </c>
      <c r="U494" s="221" t="s">
        <v>250</v>
      </c>
      <c r="V494" s="221" t="s">
        <v>283</v>
      </c>
      <c r="W494" s="222" t="s">
        <v>283</v>
      </c>
      <c r="X494" s="222" t="s">
        <v>283</v>
      </c>
      <c r="Y494" s="223" t="s">
        <v>283</v>
      </c>
    </row>
    <row r="495" spans="1:25">
      <c r="A495" s="217">
        <v>9</v>
      </c>
      <c r="B495" s="218" t="str">
        <f>VLOOKUP(Tabel10[[#This Row],[Code]],Ruimtegroepen[[Code]:[Ruimte omschrijving]],2,FALSE)</f>
        <v>Bibliotheek/OLC</v>
      </c>
      <c r="C495" s="219" t="s">
        <v>693</v>
      </c>
      <c r="D495" s="218" t="s">
        <v>0</v>
      </c>
      <c r="E495" s="219" t="s">
        <v>1313</v>
      </c>
      <c r="F495" s="219" t="s">
        <v>1353</v>
      </c>
      <c r="G495" s="224" t="s">
        <v>283</v>
      </c>
      <c r="H495" s="220" t="s">
        <v>283</v>
      </c>
      <c r="I495" s="220" t="s">
        <v>283</v>
      </c>
      <c r="J495" s="220" t="s">
        <v>16</v>
      </c>
      <c r="K495" s="220" t="s">
        <v>284</v>
      </c>
      <c r="L495" s="220" t="s">
        <v>283</v>
      </c>
      <c r="M495" s="220" t="s">
        <v>283</v>
      </c>
      <c r="N495" s="220" t="s">
        <v>283</v>
      </c>
      <c r="O495" s="221" t="s">
        <v>16</v>
      </c>
      <c r="P495" s="221" t="s">
        <v>16</v>
      </c>
      <c r="Q495" s="221" t="s">
        <v>16</v>
      </c>
      <c r="R495" s="221" t="s">
        <v>16</v>
      </c>
      <c r="S495" s="221" t="s">
        <v>16</v>
      </c>
      <c r="T495" s="221" t="s">
        <v>330</v>
      </c>
      <c r="U495" s="221" t="s">
        <v>250</v>
      </c>
      <c r="V495" s="221" t="s">
        <v>283</v>
      </c>
      <c r="W495" s="222" t="s">
        <v>283</v>
      </c>
      <c r="X495" s="222" t="s">
        <v>283</v>
      </c>
      <c r="Y495" s="223" t="s">
        <v>283</v>
      </c>
    </row>
    <row r="496" spans="1:25">
      <c r="A496" s="217">
        <v>9</v>
      </c>
      <c r="B496" s="218" t="str">
        <f>VLOOKUP(Tabel10[[#This Row],[Code]],Ruimtegroepen[[Code]:[Ruimte omschrijving]],2,FALSE)</f>
        <v>Bibliotheek/OLC</v>
      </c>
      <c r="C496" s="219" t="s">
        <v>698</v>
      </c>
      <c r="D496" s="218" t="s">
        <v>27</v>
      </c>
      <c r="E496" s="219" t="s">
        <v>100</v>
      </c>
      <c r="F496" s="219" t="s">
        <v>699</v>
      </c>
      <c r="G496" s="224" t="s">
        <v>283</v>
      </c>
      <c r="H496" s="220" t="s">
        <v>283</v>
      </c>
      <c r="I496" s="220" t="s">
        <v>15</v>
      </c>
      <c r="J496" s="220" t="s">
        <v>283</v>
      </c>
      <c r="K496" s="220" t="s">
        <v>283</v>
      </c>
      <c r="L496" s="220" t="s">
        <v>283</v>
      </c>
      <c r="M496" s="220" t="s">
        <v>283</v>
      </c>
      <c r="N496" s="220" t="s">
        <v>283</v>
      </c>
      <c r="O496" s="221" t="s">
        <v>15</v>
      </c>
      <c r="P496" s="221" t="s">
        <v>15</v>
      </c>
      <c r="Q496" s="221" t="s">
        <v>15</v>
      </c>
      <c r="R496" s="221" t="s">
        <v>283</v>
      </c>
      <c r="S496" s="221" t="s">
        <v>283</v>
      </c>
      <c r="T496" s="221" t="s">
        <v>283</v>
      </c>
      <c r="U496" s="221" t="s">
        <v>283</v>
      </c>
      <c r="V496" s="221" t="s">
        <v>283</v>
      </c>
      <c r="W496" s="222" t="s">
        <v>283</v>
      </c>
      <c r="X496" s="222" t="s">
        <v>283</v>
      </c>
      <c r="Y496" s="223" t="s">
        <v>283</v>
      </c>
    </row>
    <row r="497" spans="1:25">
      <c r="A497" s="217">
        <v>9</v>
      </c>
      <c r="B497" s="218" t="str">
        <f>VLOOKUP(Tabel10[[#This Row],[Code]],Ruimtegroepen[[Code]:[Ruimte omschrijving]],2,FALSE)</f>
        <v>Bibliotheek/OLC</v>
      </c>
      <c r="C497" s="219" t="s">
        <v>698</v>
      </c>
      <c r="D497" s="218" t="s">
        <v>27</v>
      </c>
      <c r="E497" s="219" t="s">
        <v>99</v>
      </c>
      <c r="F497" s="219" t="s">
        <v>700</v>
      </c>
      <c r="G497" s="224" t="s">
        <v>283</v>
      </c>
      <c r="H497" s="220" t="s">
        <v>15</v>
      </c>
      <c r="I497" s="220" t="s">
        <v>283</v>
      </c>
      <c r="J497" s="220" t="s">
        <v>283</v>
      </c>
      <c r="K497" s="220" t="s">
        <v>283</v>
      </c>
      <c r="L497" s="220" t="s">
        <v>283</v>
      </c>
      <c r="M497" s="220" t="s">
        <v>283</v>
      </c>
      <c r="N497" s="220" t="s">
        <v>283</v>
      </c>
      <c r="O497" s="221" t="s">
        <v>15</v>
      </c>
      <c r="P497" s="221" t="s">
        <v>15</v>
      </c>
      <c r="Q497" s="221" t="s">
        <v>15</v>
      </c>
      <c r="R497" s="221" t="s">
        <v>283</v>
      </c>
      <c r="S497" s="221" t="s">
        <v>283</v>
      </c>
      <c r="T497" s="221" t="s">
        <v>283</v>
      </c>
      <c r="U497" s="221" t="s">
        <v>283</v>
      </c>
      <c r="V497" s="221" t="s">
        <v>283</v>
      </c>
      <c r="W497" s="222" t="s">
        <v>283</v>
      </c>
      <c r="X497" s="222" t="s">
        <v>283</v>
      </c>
      <c r="Y497" s="223" t="s">
        <v>283</v>
      </c>
    </row>
    <row r="498" spans="1:25">
      <c r="A498" s="217">
        <v>9</v>
      </c>
      <c r="B498" s="218" t="str">
        <f>VLOOKUP(Tabel10[[#This Row],[Code]],Ruimtegroepen[[Code]:[Ruimte omschrijving]],2,FALSE)</f>
        <v>Bibliotheek/OLC</v>
      </c>
      <c r="C498" s="219" t="s">
        <v>698</v>
      </c>
      <c r="D498" s="218" t="s">
        <v>27</v>
      </c>
      <c r="E498" s="219" t="s">
        <v>101</v>
      </c>
      <c r="F498" s="219" t="s">
        <v>701</v>
      </c>
      <c r="G498" s="224" t="s">
        <v>283</v>
      </c>
      <c r="H498" s="220" t="s">
        <v>283</v>
      </c>
      <c r="I498" s="220" t="s">
        <v>15</v>
      </c>
      <c r="J498" s="220" t="s">
        <v>283</v>
      </c>
      <c r="K498" s="220" t="s">
        <v>283</v>
      </c>
      <c r="L498" s="220" t="s">
        <v>283</v>
      </c>
      <c r="M498" s="220" t="s">
        <v>283</v>
      </c>
      <c r="N498" s="220" t="s">
        <v>283</v>
      </c>
      <c r="O498" s="221" t="s">
        <v>15</v>
      </c>
      <c r="P498" s="221" t="s">
        <v>15</v>
      </c>
      <c r="Q498" s="221" t="s">
        <v>15</v>
      </c>
      <c r="R498" s="221" t="s">
        <v>283</v>
      </c>
      <c r="S498" s="221" t="s">
        <v>283</v>
      </c>
      <c r="T498" s="221" t="s">
        <v>283</v>
      </c>
      <c r="U498" s="221" t="s">
        <v>283</v>
      </c>
      <c r="V498" s="221" t="s">
        <v>283</v>
      </c>
      <c r="W498" s="222" t="s">
        <v>283</v>
      </c>
      <c r="X498" s="222" t="s">
        <v>283</v>
      </c>
      <c r="Y498" s="223" t="s">
        <v>283</v>
      </c>
    </row>
    <row r="499" spans="1:25">
      <c r="A499" s="217">
        <v>9</v>
      </c>
      <c r="B499" s="218" t="str">
        <f>VLOOKUP(Tabel10[[#This Row],[Code]],Ruimtegroepen[[Code]:[Ruimte omschrijving]],2,FALSE)</f>
        <v>Bibliotheek/OLC</v>
      </c>
      <c r="C499" s="219" t="s">
        <v>698</v>
      </c>
      <c r="D499" s="218" t="s">
        <v>27</v>
      </c>
      <c r="E499" s="219" t="s">
        <v>102</v>
      </c>
      <c r="F499" s="219" t="s">
        <v>702</v>
      </c>
      <c r="G499" s="224" t="s">
        <v>283</v>
      </c>
      <c r="H499" s="220" t="s">
        <v>283</v>
      </c>
      <c r="I499" s="220" t="s">
        <v>15</v>
      </c>
      <c r="J499" s="220" t="s">
        <v>283</v>
      </c>
      <c r="K499" s="220" t="s">
        <v>283</v>
      </c>
      <c r="L499" s="220" t="s">
        <v>283</v>
      </c>
      <c r="M499" s="220" t="s">
        <v>283</v>
      </c>
      <c r="N499" s="220" t="s">
        <v>283</v>
      </c>
      <c r="O499" s="221" t="s">
        <v>15</v>
      </c>
      <c r="P499" s="221" t="s">
        <v>15</v>
      </c>
      <c r="Q499" s="221" t="s">
        <v>15</v>
      </c>
      <c r="R499" s="221" t="s">
        <v>283</v>
      </c>
      <c r="S499" s="221" t="s">
        <v>283</v>
      </c>
      <c r="T499" s="221" t="s">
        <v>283</v>
      </c>
      <c r="U499" s="221" t="s">
        <v>283</v>
      </c>
      <c r="V499" s="221" t="s">
        <v>283</v>
      </c>
      <c r="W499" s="222" t="s">
        <v>283</v>
      </c>
      <c r="X499" s="222" t="s">
        <v>283</v>
      </c>
      <c r="Y499" s="223" t="s">
        <v>283</v>
      </c>
    </row>
    <row r="500" spans="1:25">
      <c r="A500" s="217">
        <v>9</v>
      </c>
      <c r="B500" s="218" t="str">
        <f>VLOOKUP(Tabel10[[#This Row],[Code]],Ruimtegroepen[[Code]:[Ruimte omschrijving]],2,FALSE)</f>
        <v>Bibliotheek/OLC</v>
      </c>
      <c r="C500" s="219" t="s">
        <v>698</v>
      </c>
      <c r="D500" s="218" t="s">
        <v>27</v>
      </c>
      <c r="E500" s="219" t="s">
        <v>99</v>
      </c>
      <c r="F500" s="219" t="s">
        <v>700</v>
      </c>
      <c r="G500" s="224" t="s">
        <v>283</v>
      </c>
      <c r="H500" s="220" t="s">
        <v>15</v>
      </c>
      <c r="I500" s="220" t="s">
        <v>283</v>
      </c>
      <c r="J500" s="220" t="s">
        <v>283</v>
      </c>
      <c r="K500" s="220" t="s">
        <v>283</v>
      </c>
      <c r="L500" s="220" t="s">
        <v>283</v>
      </c>
      <c r="M500" s="220" t="s">
        <v>283</v>
      </c>
      <c r="N500" s="220" t="s">
        <v>283</v>
      </c>
      <c r="O500" s="221" t="s">
        <v>15</v>
      </c>
      <c r="P500" s="221" t="s">
        <v>15</v>
      </c>
      <c r="Q500" s="221" t="s">
        <v>15</v>
      </c>
      <c r="R500" s="221" t="s">
        <v>283</v>
      </c>
      <c r="S500" s="221" t="s">
        <v>283</v>
      </c>
      <c r="T500" s="221" t="s">
        <v>283</v>
      </c>
      <c r="U500" s="221" t="s">
        <v>283</v>
      </c>
      <c r="V500" s="221" t="s">
        <v>283</v>
      </c>
      <c r="W500" s="222" t="s">
        <v>283</v>
      </c>
      <c r="X500" s="222" t="s">
        <v>283</v>
      </c>
      <c r="Y500" s="223" t="s">
        <v>283</v>
      </c>
    </row>
    <row r="501" spans="1:25">
      <c r="A501" s="217">
        <v>9</v>
      </c>
      <c r="B501" s="218" t="str">
        <f>VLOOKUP(Tabel10[[#This Row],[Code]],Ruimtegroepen[[Code]:[Ruimte omschrijving]],2,FALSE)</f>
        <v>Bibliotheek/OLC</v>
      </c>
      <c r="C501" s="219" t="s">
        <v>698</v>
      </c>
      <c r="D501" s="218" t="s">
        <v>27</v>
      </c>
      <c r="E501" s="219" t="s">
        <v>1313</v>
      </c>
      <c r="F501" s="219" t="s">
        <v>1386</v>
      </c>
      <c r="G501" s="224" t="s">
        <v>283</v>
      </c>
      <c r="H501" s="220" t="s">
        <v>283</v>
      </c>
      <c r="I501" s="220" t="s">
        <v>15</v>
      </c>
      <c r="J501" s="220" t="s">
        <v>283</v>
      </c>
      <c r="K501" s="220" t="s">
        <v>283</v>
      </c>
      <c r="L501" s="220" t="s">
        <v>283</v>
      </c>
      <c r="M501" s="220" t="s">
        <v>283</v>
      </c>
      <c r="N501" s="220" t="s">
        <v>283</v>
      </c>
      <c r="O501" s="221" t="s">
        <v>15</v>
      </c>
      <c r="P501" s="221" t="s">
        <v>15</v>
      </c>
      <c r="Q501" s="221" t="s">
        <v>15</v>
      </c>
      <c r="R501" s="221" t="s">
        <v>283</v>
      </c>
      <c r="S501" s="221" t="s">
        <v>283</v>
      </c>
      <c r="T501" s="221" t="s">
        <v>283</v>
      </c>
      <c r="U501" s="221" t="s">
        <v>283</v>
      </c>
      <c r="V501" s="221" t="s">
        <v>283</v>
      </c>
      <c r="W501" s="222" t="s">
        <v>283</v>
      </c>
      <c r="X501" s="222" t="s">
        <v>283</v>
      </c>
      <c r="Y501" s="223" t="s">
        <v>283</v>
      </c>
    </row>
    <row r="502" spans="1:25">
      <c r="A502" s="217">
        <v>9</v>
      </c>
      <c r="B502" s="218" t="str">
        <f>VLOOKUP(Tabel10[[#This Row],[Code]],Ruimtegroepen[[Code]:[Ruimte omschrijving]],2,FALSE)</f>
        <v>Bibliotheek/OLC</v>
      </c>
      <c r="C502" s="219" t="s">
        <v>703</v>
      </c>
      <c r="D502" s="218" t="s">
        <v>28</v>
      </c>
      <c r="E502" s="219" t="s">
        <v>100</v>
      </c>
      <c r="F502" s="219" t="s">
        <v>704</v>
      </c>
      <c r="G502" s="224" t="s">
        <v>283</v>
      </c>
      <c r="H502" s="220" t="s">
        <v>283</v>
      </c>
      <c r="I502" s="220" t="s">
        <v>17</v>
      </c>
      <c r="J502" s="220" t="s">
        <v>283</v>
      </c>
      <c r="K502" s="220" t="s">
        <v>283</v>
      </c>
      <c r="L502" s="220" t="s">
        <v>283</v>
      </c>
      <c r="M502" s="220" t="s">
        <v>283</v>
      </c>
      <c r="N502" s="220" t="s">
        <v>283</v>
      </c>
      <c r="O502" s="221" t="s">
        <v>17</v>
      </c>
      <c r="P502" s="221" t="s">
        <v>17</v>
      </c>
      <c r="Q502" s="221" t="s">
        <v>15</v>
      </c>
      <c r="R502" s="221" t="s">
        <v>283</v>
      </c>
      <c r="S502" s="221" t="s">
        <v>283</v>
      </c>
      <c r="T502" s="221" t="s">
        <v>283</v>
      </c>
      <c r="U502" s="221" t="s">
        <v>283</v>
      </c>
      <c r="V502" s="221" t="s">
        <v>283</v>
      </c>
      <c r="W502" s="222" t="s">
        <v>283</v>
      </c>
      <c r="X502" s="222" t="s">
        <v>283</v>
      </c>
      <c r="Y502" s="223" t="s">
        <v>283</v>
      </c>
    </row>
    <row r="503" spans="1:25">
      <c r="A503" s="217">
        <v>9</v>
      </c>
      <c r="B503" s="218" t="str">
        <f>VLOOKUP(Tabel10[[#This Row],[Code]],Ruimtegroepen[[Code]:[Ruimte omschrijving]],2,FALSE)</f>
        <v>Bibliotheek/OLC</v>
      </c>
      <c r="C503" s="219" t="s">
        <v>703</v>
      </c>
      <c r="D503" s="218" t="s">
        <v>28</v>
      </c>
      <c r="E503" s="219" t="s">
        <v>99</v>
      </c>
      <c r="F503" s="219" t="s">
        <v>705</v>
      </c>
      <c r="G503" s="224" t="s">
        <v>283</v>
      </c>
      <c r="H503" s="220" t="s">
        <v>17</v>
      </c>
      <c r="I503" s="220" t="s">
        <v>283</v>
      </c>
      <c r="J503" s="220" t="s">
        <v>283</v>
      </c>
      <c r="K503" s="220" t="s">
        <v>283</v>
      </c>
      <c r="L503" s="220" t="s">
        <v>283</v>
      </c>
      <c r="M503" s="220" t="s">
        <v>283</v>
      </c>
      <c r="N503" s="220" t="s">
        <v>283</v>
      </c>
      <c r="O503" s="221" t="s">
        <v>17</v>
      </c>
      <c r="P503" s="221" t="s">
        <v>17</v>
      </c>
      <c r="Q503" s="221" t="s">
        <v>15</v>
      </c>
      <c r="R503" s="221" t="s">
        <v>283</v>
      </c>
      <c r="S503" s="221" t="s">
        <v>283</v>
      </c>
      <c r="T503" s="221" t="s">
        <v>283</v>
      </c>
      <c r="U503" s="221" t="s">
        <v>283</v>
      </c>
      <c r="V503" s="221" t="s">
        <v>283</v>
      </c>
      <c r="W503" s="222" t="s">
        <v>283</v>
      </c>
      <c r="X503" s="222" t="s">
        <v>283</v>
      </c>
      <c r="Y503" s="223" t="s">
        <v>283</v>
      </c>
    </row>
    <row r="504" spans="1:25">
      <c r="A504" s="217">
        <v>9</v>
      </c>
      <c r="B504" s="218" t="str">
        <f>VLOOKUP(Tabel10[[#This Row],[Code]],Ruimtegroepen[[Code]:[Ruimte omschrijving]],2,FALSE)</f>
        <v>Bibliotheek/OLC</v>
      </c>
      <c r="C504" s="219" t="s">
        <v>703</v>
      </c>
      <c r="D504" s="218" t="s">
        <v>28</v>
      </c>
      <c r="E504" s="219" t="s">
        <v>101</v>
      </c>
      <c r="F504" s="219" t="s">
        <v>706</v>
      </c>
      <c r="G504" s="224" t="s">
        <v>283</v>
      </c>
      <c r="H504" s="220" t="s">
        <v>283</v>
      </c>
      <c r="I504" s="220" t="s">
        <v>17</v>
      </c>
      <c r="J504" s="220" t="s">
        <v>283</v>
      </c>
      <c r="K504" s="220" t="s">
        <v>283</v>
      </c>
      <c r="L504" s="220" t="s">
        <v>283</v>
      </c>
      <c r="M504" s="220" t="s">
        <v>283</v>
      </c>
      <c r="N504" s="220" t="s">
        <v>283</v>
      </c>
      <c r="O504" s="221" t="s">
        <v>17</v>
      </c>
      <c r="P504" s="221" t="s">
        <v>17</v>
      </c>
      <c r="Q504" s="221" t="s">
        <v>15</v>
      </c>
      <c r="R504" s="221" t="s">
        <v>283</v>
      </c>
      <c r="S504" s="221" t="s">
        <v>283</v>
      </c>
      <c r="T504" s="221" t="s">
        <v>283</v>
      </c>
      <c r="U504" s="221" t="s">
        <v>283</v>
      </c>
      <c r="V504" s="221" t="s">
        <v>283</v>
      </c>
      <c r="W504" s="222" t="s">
        <v>283</v>
      </c>
      <c r="X504" s="222" t="s">
        <v>283</v>
      </c>
      <c r="Y504" s="223" t="s">
        <v>283</v>
      </c>
    </row>
    <row r="505" spans="1:25">
      <c r="A505" s="217">
        <v>9</v>
      </c>
      <c r="B505" s="218" t="str">
        <f>VLOOKUP(Tabel10[[#This Row],[Code]],Ruimtegroepen[[Code]:[Ruimte omschrijving]],2,FALSE)</f>
        <v>Bibliotheek/OLC</v>
      </c>
      <c r="C505" s="219" t="s">
        <v>703</v>
      </c>
      <c r="D505" s="218" t="s">
        <v>28</v>
      </c>
      <c r="E505" s="219" t="s">
        <v>102</v>
      </c>
      <c r="F505" s="219" t="s">
        <v>707</v>
      </c>
      <c r="G505" s="224" t="s">
        <v>283</v>
      </c>
      <c r="H505" s="220" t="s">
        <v>283</v>
      </c>
      <c r="I505" s="220" t="s">
        <v>17</v>
      </c>
      <c r="J505" s="220" t="s">
        <v>283</v>
      </c>
      <c r="K505" s="220" t="s">
        <v>283</v>
      </c>
      <c r="L505" s="220" t="s">
        <v>283</v>
      </c>
      <c r="M505" s="220" t="s">
        <v>283</v>
      </c>
      <c r="N505" s="220" t="s">
        <v>283</v>
      </c>
      <c r="O505" s="221" t="s">
        <v>17</v>
      </c>
      <c r="P505" s="221" t="s">
        <v>17</v>
      </c>
      <c r="Q505" s="221" t="s">
        <v>15</v>
      </c>
      <c r="R505" s="221" t="s">
        <v>283</v>
      </c>
      <c r="S505" s="221" t="s">
        <v>283</v>
      </c>
      <c r="T505" s="221" t="s">
        <v>283</v>
      </c>
      <c r="U505" s="221" t="s">
        <v>283</v>
      </c>
      <c r="V505" s="221" t="s">
        <v>283</v>
      </c>
      <c r="W505" s="222" t="s">
        <v>283</v>
      </c>
      <c r="X505" s="222" t="s">
        <v>283</v>
      </c>
      <c r="Y505" s="223" t="s">
        <v>283</v>
      </c>
    </row>
    <row r="506" spans="1:25">
      <c r="A506" s="217">
        <v>9</v>
      </c>
      <c r="B506" s="218" t="str">
        <f>VLOOKUP(Tabel10[[#This Row],[Code]],Ruimtegroepen[[Code]:[Ruimte omschrijving]],2,FALSE)</f>
        <v>Bibliotheek/OLC</v>
      </c>
      <c r="C506" s="219" t="s">
        <v>703</v>
      </c>
      <c r="D506" s="218" t="s">
        <v>28</v>
      </c>
      <c r="E506" s="219" t="s">
        <v>99</v>
      </c>
      <c r="F506" s="219" t="s">
        <v>705</v>
      </c>
      <c r="G506" s="224" t="s">
        <v>283</v>
      </c>
      <c r="H506" s="220" t="s">
        <v>17</v>
      </c>
      <c r="I506" s="220" t="s">
        <v>283</v>
      </c>
      <c r="J506" s="220" t="s">
        <v>283</v>
      </c>
      <c r="K506" s="220" t="s">
        <v>283</v>
      </c>
      <c r="L506" s="220" t="s">
        <v>283</v>
      </c>
      <c r="M506" s="220" t="s">
        <v>283</v>
      </c>
      <c r="N506" s="220" t="s">
        <v>283</v>
      </c>
      <c r="O506" s="221" t="s">
        <v>17</v>
      </c>
      <c r="P506" s="221" t="s">
        <v>17</v>
      </c>
      <c r="Q506" s="221" t="s">
        <v>15</v>
      </c>
      <c r="R506" s="221" t="s">
        <v>283</v>
      </c>
      <c r="S506" s="221" t="s">
        <v>283</v>
      </c>
      <c r="T506" s="221" t="s">
        <v>283</v>
      </c>
      <c r="U506" s="221" t="s">
        <v>283</v>
      </c>
      <c r="V506" s="221" t="s">
        <v>283</v>
      </c>
      <c r="W506" s="222" t="s">
        <v>283</v>
      </c>
      <c r="X506" s="222" t="s">
        <v>283</v>
      </c>
      <c r="Y506" s="223" t="s">
        <v>283</v>
      </c>
    </row>
    <row r="507" spans="1:25">
      <c r="A507" s="217">
        <v>9</v>
      </c>
      <c r="B507" s="218" t="str">
        <f>VLOOKUP(Tabel10[[#This Row],[Code]],Ruimtegroepen[[Code]:[Ruimte omschrijving]],2,FALSE)</f>
        <v>Bibliotheek/OLC</v>
      </c>
      <c r="C507" s="219" t="s">
        <v>703</v>
      </c>
      <c r="D507" s="218" t="s">
        <v>28</v>
      </c>
      <c r="E507" s="219" t="s">
        <v>1313</v>
      </c>
      <c r="F507" s="219" t="s">
        <v>1419</v>
      </c>
      <c r="G507" s="224" t="s">
        <v>283</v>
      </c>
      <c r="H507" s="220" t="s">
        <v>283</v>
      </c>
      <c r="I507" s="220" t="s">
        <v>17</v>
      </c>
      <c r="J507" s="220" t="s">
        <v>283</v>
      </c>
      <c r="K507" s="220" t="s">
        <v>283</v>
      </c>
      <c r="L507" s="220" t="s">
        <v>283</v>
      </c>
      <c r="M507" s="220" t="s">
        <v>283</v>
      </c>
      <c r="N507" s="220" t="s">
        <v>283</v>
      </c>
      <c r="O507" s="221" t="s">
        <v>17</v>
      </c>
      <c r="P507" s="221" t="s">
        <v>17</v>
      </c>
      <c r="Q507" s="221" t="s">
        <v>15</v>
      </c>
      <c r="R507" s="221" t="s">
        <v>283</v>
      </c>
      <c r="S507" s="221" t="s">
        <v>283</v>
      </c>
      <c r="T507" s="221" t="s">
        <v>283</v>
      </c>
      <c r="U507" s="221" t="s">
        <v>283</v>
      </c>
      <c r="V507" s="221" t="s">
        <v>283</v>
      </c>
      <c r="W507" s="222" t="s">
        <v>283</v>
      </c>
      <c r="X507" s="222" t="s">
        <v>283</v>
      </c>
      <c r="Y507" s="223" t="s">
        <v>283</v>
      </c>
    </row>
    <row r="508" spans="1:25">
      <c r="A508" s="217">
        <v>10</v>
      </c>
      <c r="B508" s="218" t="str">
        <f>VLOOKUP(Tabel10[[#This Row],[Code]],Ruimtegroepen[[Code]:[Ruimte omschrijving]],2,FALSE)</f>
        <v>Trappenhuizen/lift</v>
      </c>
      <c r="C508" s="219" t="s">
        <v>708</v>
      </c>
      <c r="D508" s="218" t="s">
        <v>29</v>
      </c>
      <c r="E508" s="219" t="s">
        <v>100</v>
      </c>
      <c r="F508" s="219" t="s">
        <v>709</v>
      </c>
      <c r="G508" s="224" t="s">
        <v>283</v>
      </c>
      <c r="H508" s="220" t="s">
        <v>283</v>
      </c>
      <c r="I508" s="220" t="s">
        <v>20</v>
      </c>
      <c r="J508" s="220" t="s">
        <v>15</v>
      </c>
      <c r="K508" s="220" t="s">
        <v>283</v>
      </c>
      <c r="L508" s="220" t="s">
        <v>283</v>
      </c>
      <c r="M508" s="220" t="s">
        <v>283</v>
      </c>
      <c r="N508" s="220" t="s">
        <v>2</v>
      </c>
      <c r="O508" s="221" t="s">
        <v>2</v>
      </c>
      <c r="P508" s="221" t="s">
        <v>2</v>
      </c>
      <c r="Q508" s="221" t="s">
        <v>15</v>
      </c>
      <c r="R508" s="221" t="s">
        <v>15</v>
      </c>
      <c r="S508" s="221" t="s">
        <v>16</v>
      </c>
      <c r="T508" s="221" t="s">
        <v>330</v>
      </c>
      <c r="U508" s="221" t="s">
        <v>250</v>
      </c>
      <c r="V508" s="221" t="s">
        <v>2</v>
      </c>
      <c r="W508" s="222" t="s">
        <v>283</v>
      </c>
      <c r="X508" s="222" t="s">
        <v>283</v>
      </c>
      <c r="Y508" s="223" t="s">
        <v>283</v>
      </c>
    </row>
    <row r="509" spans="1:25">
      <c r="A509" s="217">
        <v>10</v>
      </c>
      <c r="B509" s="218" t="str">
        <f>VLOOKUP(Tabel10[[#This Row],[Code]],Ruimtegroepen[[Code]:[Ruimte omschrijving]],2,FALSE)</f>
        <v>Trappenhuizen/lift</v>
      </c>
      <c r="C509" s="219" t="s">
        <v>708</v>
      </c>
      <c r="D509" s="218" t="s">
        <v>29</v>
      </c>
      <c r="E509" s="219" t="s">
        <v>99</v>
      </c>
      <c r="F509" s="219" t="s">
        <v>710</v>
      </c>
      <c r="G509" s="224" t="s">
        <v>283</v>
      </c>
      <c r="H509" s="220" t="s">
        <v>2</v>
      </c>
      <c r="I509" s="220" t="s">
        <v>283</v>
      </c>
      <c r="J509" s="220" t="s">
        <v>283</v>
      </c>
      <c r="K509" s="220" t="s">
        <v>283</v>
      </c>
      <c r="L509" s="220" t="s">
        <v>283</v>
      </c>
      <c r="M509" s="220" t="s">
        <v>283</v>
      </c>
      <c r="N509" s="220" t="s">
        <v>2</v>
      </c>
      <c r="O509" s="221" t="s">
        <v>2</v>
      </c>
      <c r="P509" s="221" t="s">
        <v>2</v>
      </c>
      <c r="Q509" s="221" t="s">
        <v>15</v>
      </c>
      <c r="R509" s="221" t="s">
        <v>15</v>
      </c>
      <c r="S509" s="221" t="s">
        <v>16</v>
      </c>
      <c r="T509" s="221" t="s">
        <v>330</v>
      </c>
      <c r="U509" s="221" t="s">
        <v>250</v>
      </c>
      <c r="V509" s="221" t="s">
        <v>2</v>
      </c>
      <c r="W509" s="222" t="s">
        <v>283</v>
      </c>
      <c r="X509" s="222" t="s">
        <v>283</v>
      </c>
      <c r="Y509" s="223" t="s">
        <v>283</v>
      </c>
    </row>
    <row r="510" spans="1:25">
      <c r="A510" s="217">
        <v>10</v>
      </c>
      <c r="B510" s="218" t="str">
        <f>VLOOKUP(Tabel10[[#This Row],[Code]],Ruimtegroepen[[Code]:[Ruimte omschrijving]],2,FALSE)</f>
        <v>Trappenhuizen/lift</v>
      </c>
      <c r="C510" s="219" t="s">
        <v>708</v>
      </c>
      <c r="D510" s="218" t="s">
        <v>29</v>
      </c>
      <c r="E510" s="219" t="s">
        <v>101</v>
      </c>
      <c r="F510" s="219" t="s">
        <v>711</v>
      </c>
      <c r="G510" s="224" t="s">
        <v>283</v>
      </c>
      <c r="H510" s="220" t="s">
        <v>283</v>
      </c>
      <c r="I510" s="220" t="s">
        <v>20</v>
      </c>
      <c r="J510" s="220" t="s">
        <v>15</v>
      </c>
      <c r="K510" s="220" t="s">
        <v>284</v>
      </c>
      <c r="L510" s="220" t="s">
        <v>283</v>
      </c>
      <c r="M510" s="220" t="s">
        <v>283</v>
      </c>
      <c r="N510" s="220" t="s">
        <v>2</v>
      </c>
      <c r="O510" s="221" t="s">
        <v>2</v>
      </c>
      <c r="P510" s="221" t="s">
        <v>2</v>
      </c>
      <c r="Q510" s="221" t="s">
        <v>15</v>
      </c>
      <c r="R510" s="221" t="s">
        <v>15</v>
      </c>
      <c r="S510" s="221" t="s">
        <v>16</v>
      </c>
      <c r="T510" s="221" t="s">
        <v>330</v>
      </c>
      <c r="U510" s="221" t="s">
        <v>250</v>
      </c>
      <c r="V510" s="221" t="s">
        <v>2</v>
      </c>
      <c r="W510" s="222" t="s">
        <v>283</v>
      </c>
      <c r="X510" s="222" t="s">
        <v>283</v>
      </c>
      <c r="Y510" s="223" t="s">
        <v>283</v>
      </c>
    </row>
    <row r="511" spans="1:25">
      <c r="A511" s="217">
        <v>10</v>
      </c>
      <c r="B511" s="218" t="str">
        <f>VLOOKUP(Tabel10[[#This Row],[Code]],Ruimtegroepen[[Code]:[Ruimte omschrijving]],2,FALSE)</f>
        <v>Trappenhuizen/lift</v>
      </c>
      <c r="C511" s="219" t="s">
        <v>708</v>
      </c>
      <c r="D511" s="218" t="s">
        <v>29</v>
      </c>
      <c r="E511" s="219" t="s">
        <v>102</v>
      </c>
      <c r="F511" s="219" t="s">
        <v>712</v>
      </c>
      <c r="G511" s="224" t="s">
        <v>283</v>
      </c>
      <c r="H511" s="220" t="s">
        <v>283</v>
      </c>
      <c r="I511" s="220" t="s">
        <v>20</v>
      </c>
      <c r="J511" s="220" t="s">
        <v>15</v>
      </c>
      <c r="K511" s="220" t="s">
        <v>284</v>
      </c>
      <c r="L511" s="220" t="s">
        <v>283</v>
      </c>
      <c r="M511" s="220" t="s">
        <v>283</v>
      </c>
      <c r="N511" s="220" t="s">
        <v>2</v>
      </c>
      <c r="O511" s="221" t="s">
        <v>2</v>
      </c>
      <c r="P511" s="221" t="s">
        <v>2</v>
      </c>
      <c r="Q511" s="221" t="s">
        <v>15</v>
      </c>
      <c r="R511" s="221" t="s">
        <v>15</v>
      </c>
      <c r="S511" s="221" t="s">
        <v>16</v>
      </c>
      <c r="T511" s="221" t="s">
        <v>330</v>
      </c>
      <c r="U511" s="221" t="s">
        <v>250</v>
      </c>
      <c r="V511" s="221" t="s">
        <v>2</v>
      </c>
      <c r="W511" s="222" t="s">
        <v>283</v>
      </c>
      <c r="X511" s="222" t="s">
        <v>283</v>
      </c>
      <c r="Y511" s="223" t="s">
        <v>283</v>
      </c>
    </row>
    <row r="512" spans="1:25">
      <c r="A512" s="217">
        <v>10</v>
      </c>
      <c r="B512" s="218" t="str">
        <f>VLOOKUP(Tabel10[[#This Row],[Code]],Ruimtegroepen[[Code]:[Ruimte omschrijving]],2,FALSE)</f>
        <v>Trappenhuizen/lift</v>
      </c>
      <c r="C512" s="219" t="s">
        <v>708</v>
      </c>
      <c r="D512" s="218" t="s">
        <v>29</v>
      </c>
      <c r="E512" s="219" t="s">
        <v>99</v>
      </c>
      <c r="F512" s="219" t="s">
        <v>710</v>
      </c>
      <c r="G512" s="224" t="s">
        <v>283</v>
      </c>
      <c r="H512" s="220" t="s">
        <v>2</v>
      </c>
      <c r="I512" s="220" t="s">
        <v>283</v>
      </c>
      <c r="J512" s="220" t="s">
        <v>283</v>
      </c>
      <c r="K512" s="220" t="s">
        <v>283</v>
      </c>
      <c r="L512" s="220" t="s">
        <v>283</v>
      </c>
      <c r="M512" s="220" t="s">
        <v>283</v>
      </c>
      <c r="N512" s="220" t="s">
        <v>2</v>
      </c>
      <c r="O512" s="221" t="s">
        <v>2</v>
      </c>
      <c r="P512" s="221" t="s">
        <v>2</v>
      </c>
      <c r="Q512" s="221" t="s">
        <v>15</v>
      </c>
      <c r="R512" s="221" t="s">
        <v>15</v>
      </c>
      <c r="S512" s="221" t="s">
        <v>16</v>
      </c>
      <c r="T512" s="221" t="s">
        <v>330</v>
      </c>
      <c r="U512" s="221" t="s">
        <v>250</v>
      </c>
      <c r="V512" s="221" t="s">
        <v>2</v>
      </c>
      <c r="W512" s="222" t="s">
        <v>283</v>
      </c>
      <c r="X512" s="222" t="s">
        <v>283</v>
      </c>
      <c r="Y512" s="223" t="s">
        <v>283</v>
      </c>
    </row>
    <row r="513" spans="1:25">
      <c r="A513" s="217">
        <v>10</v>
      </c>
      <c r="B513" s="218" t="str">
        <f>VLOOKUP(Tabel10[[#This Row],[Code]],Ruimtegroepen[[Code]:[Ruimte omschrijving]],2,FALSE)</f>
        <v>Trappenhuizen/lift</v>
      </c>
      <c r="C513" s="219" t="s">
        <v>708</v>
      </c>
      <c r="D513" s="218" t="s">
        <v>29</v>
      </c>
      <c r="E513" s="219" t="s">
        <v>1313</v>
      </c>
      <c r="F513" s="219" t="s">
        <v>1487</v>
      </c>
      <c r="G513" s="224" t="s">
        <v>283</v>
      </c>
      <c r="H513" s="220" t="s">
        <v>283</v>
      </c>
      <c r="I513" s="220" t="s">
        <v>20</v>
      </c>
      <c r="J513" s="220" t="s">
        <v>15</v>
      </c>
      <c r="K513" s="220" t="s">
        <v>284</v>
      </c>
      <c r="L513" s="220" t="s">
        <v>283</v>
      </c>
      <c r="M513" s="220" t="s">
        <v>283</v>
      </c>
      <c r="N513" s="220" t="s">
        <v>2</v>
      </c>
      <c r="O513" s="221" t="s">
        <v>2</v>
      </c>
      <c r="P513" s="221" t="s">
        <v>2</v>
      </c>
      <c r="Q513" s="221" t="s">
        <v>15</v>
      </c>
      <c r="R513" s="221" t="s">
        <v>15</v>
      </c>
      <c r="S513" s="221" t="s">
        <v>16</v>
      </c>
      <c r="T513" s="221" t="s">
        <v>330</v>
      </c>
      <c r="U513" s="221" t="s">
        <v>250</v>
      </c>
      <c r="V513" s="221" t="s">
        <v>2</v>
      </c>
      <c r="W513" s="222" t="s">
        <v>283</v>
      </c>
      <c r="X513" s="222" t="s">
        <v>283</v>
      </c>
      <c r="Y513" s="223" t="s">
        <v>283</v>
      </c>
    </row>
    <row r="514" spans="1:25">
      <c r="A514" s="217">
        <v>10</v>
      </c>
      <c r="B514" s="218" t="str">
        <f>VLOOKUP(Tabel10[[#This Row],[Code]],Ruimtegroepen[[Code]:[Ruimte omschrijving]],2,FALSE)</f>
        <v>Trappenhuizen/lift</v>
      </c>
      <c r="C514" s="219" t="s">
        <v>713</v>
      </c>
      <c r="D514" s="218" t="s">
        <v>1</v>
      </c>
      <c r="E514" s="219" t="s">
        <v>100</v>
      </c>
      <c r="F514" s="219" t="s">
        <v>714</v>
      </c>
      <c r="G514" s="224" t="s">
        <v>283</v>
      </c>
      <c r="H514" s="220" t="s">
        <v>283</v>
      </c>
      <c r="I514" s="220" t="s">
        <v>20</v>
      </c>
      <c r="J514" s="220" t="s">
        <v>15</v>
      </c>
      <c r="K514" s="220" t="s">
        <v>283</v>
      </c>
      <c r="L514" s="220" t="s">
        <v>283</v>
      </c>
      <c r="M514" s="220" t="s">
        <v>283</v>
      </c>
      <c r="N514" s="220" t="s">
        <v>283</v>
      </c>
      <c r="O514" s="221" t="s">
        <v>2</v>
      </c>
      <c r="P514" s="221" t="s">
        <v>2</v>
      </c>
      <c r="Q514" s="221" t="s">
        <v>15</v>
      </c>
      <c r="R514" s="221" t="s">
        <v>15</v>
      </c>
      <c r="S514" s="221" t="s">
        <v>16</v>
      </c>
      <c r="T514" s="221" t="s">
        <v>330</v>
      </c>
      <c r="U514" s="221" t="s">
        <v>250</v>
      </c>
      <c r="V514" s="221" t="s">
        <v>283</v>
      </c>
      <c r="W514" s="222" t="s">
        <v>283</v>
      </c>
      <c r="X514" s="222" t="s">
        <v>283</v>
      </c>
      <c r="Y514" s="223" t="s">
        <v>283</v>
      </c>
    </row>
    <row r="515" spans="1:25">
      <c r="A515" s="217">
        <v>10</v>
      </c>
      <c r="B515" s="218" t="str">
        <f>VLOOKUP(Tabel10[[#This Row],[Code]],Ruimtegroepen[[Code]:[Ruimte omschrijving]],2,FALSE)</f>
        <v>Trappenhuizen/lift</v>
      </c>
      <c r="C515" s="219" t="s">
        <v>713</v>
      </c>
      <c r="D515" s="218" t="s">
        <v>1</v>
      </c>
      <c r="E515" s="219" t="s">
        <v>99</v>
      </c>
      <c r="F515" s="219" t="s">
        <v>715</v>
      </c>
      <c r="G515" s="224" t="s">
        <v>283</v>
      </c>
      <c r="H515" s="220" t="s">
        <v>2</v>
      </c>
      <c r="I515" s="220" t="s">
        <v>283</v>
      </c>
      <c r="J515" s="220" t="s">
        <v>283</v>
      </c>
      <c r="K515" s="220" t="s">
        <v>283</v>
      </c>
      <c r="L515" s="220" t="s">
        <v>283</v>
      </c>
      <c r="M515" s="220" t="s">
        <v>283</v>
      </c>
      <c r="N515" s="220" t="s">
        <v>283</v>
      </c>
      <c r="O515" s="221" t="s">
        <v>2</v>
      </c>
      <c r="P515" s="221" t="s">
        <v>2</v>
      </c>
      <c r="Q515" s="221" t="s">
        <v>15</v>
      </c>
      <c r="R515" s="221" t="s">
        <v>15</v>
      </c>
      <c r="S515" s="221" t="s">
        <v>16</v>
      </c>
      <c r="T515" s="221" t="s">
        <v>330</v>
      </c>
      <c r="U515" s="221" t="s">
        <v>250</v>
      </c>
      <c r="V515" s="221" t="s">
        <v>283</v>
      </c>
      <c r="W515" s="222" t="s">
        <v>283</v>
      </c>
      <c r="X515" s="222" t="s">
        <v>283</v>
      </c>
      <c r="Y515" s="223" t="s">
        <v>283</v>
      </c>
    </row>
    <row r="516" spans="1:25">
      <c r="A516" s="217">
        <v>10</v>
      </c>
      <c r="B516" s="218" t="str">
        <f>VLOOKUP(Tabel10[[#This Row],[Code]],Ruimtegroepen[[Code]:[Ruimte omschrijving]],2,FALSE)</f>
        <v>Trappenhuizen/lift</v>
      </c>
      <c r="C516" s="219" t="s">
        <v>713</v>
      </c>
      <c r="D516" s="218" t="s">
        <v>1</v>
      </c>
      <c r="E516" s="219" t="s">
        <v>101</v>
      </c>
      <c r="F516" s="219" t="s">
        <v>716</v>
      </c>
      <c r="G516" s="224" t="s">
        <v>283</v>
      </c>
      <c r="H516" s="220" t="s">
        <v>283</v>
      </c>
      <c r="I516" s="220" t="s">
        <v>20</v>
      </c>
      <c r="J516" s="220" t="s">
        <v>15</v>
      </c>
      <c r="K516" s="220" t="s">
        <v>284</v>
      </c>
      <c r="L516" s="220" t="s">
        <v>283</v>
      </c>
      <c r="M516" s="220" t="s">
        <v>283</v>
      </c>
      <c r="N516" s="220" t="s">
        <v>283</v>
      </c>
      <c r="O516" s="221" t="s">
        <v>2</v>
      </c>
      <c r="P516" s="221" t="s">
        <v>2</v>
      </c>
      <c r="Q516" s="221" t="s">
        <v>15</v>
      </c>
      <c r="R516" s="221" t="s">
        <v>15</v>
      </c>
      <c r="S516" s="221" t="s">
        <v>16</v>
      </c>
      <c r="T516" s="221" t="s">
        <v>330</v>
      </c>
      <c r="U516" s="221" t="s">
        <v>250</v>
      </c>
      <c r="V516" s="221" t="s">
        <v>283</v>
      </c>
      <c r="W516" s="222" t="s">
        <v>283</v>
      </c>
      <c r="X516" s="222" t="s">
        <v>283</v>
      </c>
      <c r="Y516" s="223" t="s">
        <v>283</v>
      </c>
    </row>
    <row r="517" spans="1:25">
      <c r="A517" s="217">
        <v>10</v>
      </c>
      <c r="B517" s="218" t="str">
        <f>VLOOKUP(Tabel10[[#This Row],[Code]],Ruimtegroepen[[Code]:[Ruimte omschrijving]],2,FALSE)</f>
        <v>Trappenhuizen/lift</v>
      </c>
      <c r="C517" s="219" t="s">
        <v>713</v>
      </c>
      <c r="D517" s="218" t="s">
        <v>1</v>
      </c>
      <c r="E517" s="219" t="s">
        <v>102</v>
      </c>
      <c r="F517" s="219" t="s">
        <v>717</v>
      </c>
      <c r="G517" s="224" t="s">
        <v>283</v>
      </c>
      <c r="H517" s="220" t="s">
        <v>283</v>
      </c>
      <c r="I517" s="220" t="s">
        <v>2</v>
      </c>
      <c r="J517" s="220" t="s">
        <v>283</v>
      </c>
      <c r="K517" s="220" t="s">
        <v>284</v>
      </c>
      <c r="L517" s="220" t="s">
        <v>283</v>
      </c>
      <c r="M517" s="220" t="s">
        <v>283</v>
      </c>
      <c r="N517" s="220" t="s">
        <v>283</v>
      </c>
      <c r="O517" s="221" t="s">
        <v>2</v>
      </c>
      <c r="P517" s="221" t="s">
        <v>2</v>
      </c>
      <c r="Q517" s="221" t="s">
        <v>15</v>
      </c>
      <c r="R517" s="221" t="s">
        <v>15</v>
      </c>
      <c r="S517" s="221" t="s">
        <v>16</v>
      </c>
      <c r="T517" s="221" t="s">
        <v>330</v>
      </c>
      <c r="U517" s="221" t="s">
        <v>250</v>
      </c>
      <c r="V517" s="221" t="s">
        <v>283</v>
      </c>
      <c r="W517" s="222" t="s">
        <v>283</v>
      </c>
      <c r="X517" s="222" t="s">
        <v>283</v>
      </c>
      <c r="Y517" s="223" t="s">
        <v>283</v>
      </c>
    </row>
    <row r="518" spans="1:25">
      <c r="A518" s="217">
        <v>10</v>
      </c>
      <c r="B518" s="218" t="str">
        <f>VLOOKUP(Tabel10[[#This Row],[Code]],Ruimtegroepen[[Code]:[Ruimte omschrijving]],2,FALSE)</f>
        <v>Trappenhuizen/lift</v>
      </c>
      <c r="C518" s="219" t="s">
        <v>713</v>
      </c>
      <c r="D518" s="218" t="s">
        <v>1</v>
      </c>
      <c r="E518" s="219" t="s">
        <v>99</v>
      </c>
      <c r="F518" s="219" t="s">
        <v>715</v>
      </c>
      <c r="G518" s="224" t="s">
        <v>283</v>
      </c>
      <c r="H518" s="220" t="s">
        <v>2</v>
      </c>
      <c r="I518" s="220" t="s">
        <v>283</v>
      </c>
      <c r="J518" s="220" t="s">
        <v>283</v>
      </c>
      <c r="K518" s="220" t="s">
        <v>283</v>
      </c>
      <c r="L518" s="220" t="s">
        <v>283</v>
      </c>
      <c r="M518" s="220" t="s">
        <v>283</v>
      </c>
      <c r="N518" s="220" t="s">
        <v>283</v>
      </c>
      <c r="O518" s="221" t="s">
        <v>2</v>
      </c>
      <c r="P518" s="221" t="s">
        <v>2</v>
      </c>
      <c r="Q518" s="221" t="s">
        <v>15</v>
      </c>
      <c r="R518" s="221" t="s">
        <v>15</v>
      </c>
      <c r="S518" s="221" t="s">
        <v>16</v>
      </c>
      <c r="T518" s="221" t="s">
        <v>330</v>
      </c>
      <c r="U518" s="221" t="s">
        <v>250</v>
      </c>
      <c r="V518" s="221" t="s">
        <v>283</v>
      </c>
      <c r="W518" s="222" t="s">
        <v>283</v>
      </c>
      <c r="X518" s="222" t="s">
        <v>283</v>
      </c>
      <c r="Y518" s="223" t="s">
        <v>283</v>
      </c>
    </row>
    <row r="519" spans="1:25">
      <c r="A519" s="217">
        <v>10</v>
      </c>
      <c r="B519" s="218" t="str">
        <f>VLOOKUP(Tabel10[[#This Row],[Code]],Ruimtegroepen[[Code]:[Ruimte omschrijving]],2,FALSE)</f>
        <v>Trappenhuizen/lift</v>
      </c>
      <c r="C519" s="219" t="s">
        <v>713</v>
      </c>
      <c r="D519" s="218" t="s">
        <v>1</v>
      </c>
      <c r="E519" s="219" t="s">
        <v>1313</v>
      </c>
      <c r="F519" s="219" t="s">
        <v>1471</v>
      </c>
      <c r="G519" s="224" t="s">
        <v>283</v>
      </c>
      <c r="H519" s="220" t="s">
        <v>283</v>
      </c>
      <c r="I519" s="220" t="s">
        <v>2</v>
      </c>
      <c r="J519" s="220" t="s">
        <v>283</v>
      </c>
      <c r="K519" s="220" t="s">
        <v>284</v>
      </c>
      <c r="L519" s="220" t="s">
        <v>283</v>
      </c>
      <c r="M519" s="220" t="s">
        <v>283</v>
      </c>
      <c r="N519" s="220" t="s">
        <v>283</v>
      </c>
      <c r="O519" s="221" t="s">
        <v>2</v>
      </c>
      <c r="P519" s="221" t="s">
        <v>2</v>
      </c>
      <c r="Q519" s="221" t="s">
        <v>15</v>
      </c>
      <c r="R519" s="221" t="s">
        <v>15</v>
      </c>
      <c r="S519" s="221" t="s">
        <v>16</v>
      </c>
      <c r="T519" s="221" t="s">
        <v>330</v>
      </c>
      <c r="U519" s="221" t="s">
        <v>250</v>
      </c>
      <c r="V519" s="221" t="s">
        <v>283</v>
      </c>
      <c r="W519" s="222" t="s">
        <v>283</v>
      </c>
      <c r="X519" s="222" t="s">
        <v>283</v>
      </c>
      <c r="Y519" s="223" t="s">
        <v>283</v>
      </c>
    </row>
    <row r="520" spans="1:25">
      <c r="A520" s="217">
        <v>10</v>
      </c>
      <c r="B520" s="218" t="str">
        <f>VLOOKUP(Tabel10[[#This Row],[Code]],Ruimtegroepen[[Code]:[Ruimte omschrijving]],2,FALSE)</f>
        <v>Trappenhuizen/lift</v>
      </c>
      <c r="C520" s="219" t="s">
        <v>718</v>
      </c>
      <c r="D520" s="218" t="s">
        <v>21</v>
      </c>
      <c r="E520" s="219" t="s">
        <v>100</v>
      </c>
      <c r="F520" s="219" t="s">
        <v>719</v>
      </c>
      <c r="G520" s="224" t="s">
        <v>283</v>
      </c>
      <c r="H520" s="220" t="s">
        <v>283</v>
      </c>
      <c r="I520" s="220" t="s">
        <v>18</v>
      </c>
      <c r="J520" s="220" t="s">
        <v>15</v>
      </c>
      <c r="K520" s="220" t="s">
        <v>283</v>
      </c>
      <c r="L520" s="220" t="s">
        <v>283</v>
      </c>
      <c r="M520" s="220" t="s">
        <v>283</v>
      </c>
      <c r="N520" s="220" t="s">
        <v>283</v>
      </c>
      <c r="O520" s="221" t="s">
        <v>20</v>
      </c>
      <c r="P520" s="221" t="s">
        <v>20</v>
      </c>
      <c r="Q520" s="221" t="s">
        <v>15</v>
      </c>
      <c r="R520" s="221" t="s">
        <v>15</v>
      </c>
      <c r="S520" s="221" t="s">
        <v>16</v>
      </c>
      <c r="T520" s="221" t="s">
        <v>330</v>
      </c>
      <c r="U520" s="221" t="s">
        <v>250</v>
      </c>
      <c r="V520" s="221" t="s">
        <v>283</v>
      </c>
      <c r="W520" s="222" t="s">
        <v>283</v>
      </c>
      <c r="X520" s="222" t="s">
        <v>283</v>
      </c>
      <c r="Y520" s="223" t="s">
        <v>283</v>
      </c>
    </row>
    <row r="521" spans="1:25">
      <c r="A521" s="217">
        <v>10</v>
      </c>
      <c r="B521" s="218" t="str">
        <f>VLOOKUP(Tabel10[[#This Row],[Code]],Ruimtegroepen[[Code]:[Ruimte omschrijving]],2,FALSE)</f>
        <v>Trappenhuizen/lift</v>
      </c>
      <c r="C521" s="219" t="s">
        <v>718</v>
      </c>
      <c r="D521" s="218" t="s">
        <v>21</v>
      </c>
      <c r="E521" s="219" t="s">
        <v>99</v>
      </c>
      <c r="F521" s="219" t="s">
        <v>720</v>
      </c>
      <c r="G521" s="224" t="s">
        <v>283</v>
      </c>
      <c r="H521" s="220" t="s">
        <v>20</v>
      </c>
      <c r="I521" s="220" t="s">
        <v>283</v>
      </c>
      <c r="J521" s="220" t="s">
        <v>283</v>
      </c>
      <c r="K521" s="220" t="s">
        <v>283</v>
      </c>
      <c r="L521" s="220" t="s">
        <v>283</v>
      </c>
      <c r="M521" s="220" t="s">
        <v>283</v>
      </c>
      <c r="N521" s="220" t="s">
        <v>283</v>
      </c>
      <c r="O521" s="221" t="s">
        <v>20</v>
      </c>
      <c r="P521" s="221" t="s">
        <v>20</v>
      </c>
      <c r="Q521" s="221" t="s">
        <v>15</v>
      </c>
      <c r="R521" s="221" t="s">
        <v>15</v>
      </c>
      <c r="S521" s="221" t="s">
        <v>16</v>
      </c>
      <c r="T521" s="221" t="s">
        <v>330</v>
      </c>
      <c r="U521" s="221" t="s">
        <v>250</v>
      </c>
      <c r="V521" s="221" t="s">
        <v>283</v>
      </c>
      <c r="W521" s="222" t="s">
        <v>283</v>
      </c>
      <c r="X521" s="222" t="s">
        <v>283</v>
      </c>
      <c r="Y521" s="223" t="s">
        <v>283</v>
      </c>
    </row>
    <row r="522" spans="1:25">
      <c r="A522" s="217">
        <v>10</v>
      </c>
      <c r="B522" s="218" t="str">
        <f>VLOOKUP(Tabel10[[#This Row],[Code]],Ruimtegroepen[[Code]:[Ruimte omschrijving]],2,FALSE)</f>
        <v>Trappenhuizen/lift</v>
      </c>
      <c r="C522" s="219" t="s">
        <v>718</v>
      </c>
      <c r="D522" s="218" t="s">
        <v>21</v>
      </c>
      <c r="E522" s="219" t="s">
        <v>101</v>
      </c>
      <c r="F522" s="219" t="s">
        <v>721</v>
      </c>
      <c r="G522" s="224" t="s">
        <v>283</v>
      </c>
      <c r="H522" s="220" t="s">
        <v>283</v>
      </c>
      <c r="I522" s="220" t="s">
        <v>18</v>
      </c>
      <c r="J522" s="220" t="s">
        <v>15</v>
      </c>
      <c r="K522" s="220" t="s">
        <v>284</v>
      </c>
      <c r="L522" s="220" t="s">
        <v>283</v>
      </c>
      <c r="M522" s="220" t="s">
        <v>283</v>
      </c>
      <c r="N522" s="220" t="s">
        <v>283</v>
      </c>
      <c r="O522" s="221" t="s">
        <v>20</v>
      </c>
      <c r="P522" s="221" t="s">
        <v>20</v>
      </c>
      <c r="Q522" s="221" t="s">
        <v>15</v>
      </c>
      <c r="R522" s="221" t="s">
        <v>15</v>
      </c>
      <c r="S522" s="221" t="s">
        <v>16</v>
      </c>
      <c r="T522" s="221" t="s">
        <v>330</v>
      </c>
      <c r="U522" s="221" t="s">
        <v>250</v>
      </c>
      <c r="V522" s="221" t="s">
        <v>283</v>
      </c>
      <c r="W522" s="222" t="s">
        <v>283</v>
      </c>
      <c r="X522" s="222" t="s">
        <v>283</v>
      </c>
      <c r="Y522" s="223" t="s">
        <v>283</v>
      </c>
    </row>
    <row r="523" spans="1:25">
      <c r="A523" s="217">
        <v>10</v>
      </c>
      <c r="B523" s="218" t="str">
        <f>VLOOKUP(Tabel10[[#This Row],[Code]],Ruimtegroepen[[Code]:[Ruimte omschrijving]],2,FALSE)</f>
        <v>Trappenhuizen/lift</v>
      </c>
      <c r="C523" s="219" t="s">
        <v>718</v>
      </c>
      <c r="D523" s="218" t="s">
        <v>21</v>
      </c>
      <c r="E523" s="219" t="s">
        <v>102</v>
      </c>
      <c r="F523" s="219" t="s">
        <v>722</v>
      </c>
      <c r="G523" s="224" t="s">
        <v>283</v>
      </c>
      <c r="H523" s="220" t="s">
        <v>283</v>
      </c>
      <c r="I523" s="220" t="s">
        <v>18</v>
      </c>
      <c r="J523" s="220" t="s">
        <v>15</v>
      </c>
      <c r="K523" s="220" t="s">
        <v>284</v>
      </c>
      <c r="L523" s="220" t="s">
        <v>283</v>
      </c>
      <c r="M523" s="220" t="s">
        <v>283</v>
      </c>
      <c r="N523" s="220" t="s">
        <v>283</v>
      </c>
      <c r="O523" s="221" t="s">
        <v>20</v>
      </c>
      <c r="P523" s="221" t="s">
        <v>20</v>
      </c>
      <c r="Q523" s="221" t="s">
        <v>15</v>
      </c>
      <c r="R523" s="221" t="s">
        <v>15</v>
      </c>
      <c r="S523" s="221" t="s">
        <v>16</v>
      </c>
      <c r="T523" s="221" t="s">
        <v>330</v>
      </c>
      <c r="U523" s="221" t="s">
        <v>250</v>
      </c>
      <c r="V523" s="221" t="s">
        <v>283</v>
      </c>
      <c r="W523" s="222" t="s">
        <v>283</v>
      </c>
      <c r="X523" s="222" t="s">
        <v>283</v>
      </c>
      <c r="Y523" s="223" t="s">
        <v>283</v>
      </c>
    </row>
    <row r="524" spans="1:25">
      <c r="A524" s="217">
        <v>10</v>
      </c>
      <c r="B524" s="218" t="str">
        <f>VLOOKUP(Tabel10[[#This Row],[Code]],Ruimtegroepen[[Code]:[Ruimte omschrijving]],2,FALSE)</f>
        <v>Trappenhuizen/lift</v>
      </c>
      <c r="C524" s="219" t="s">
        <v>718</v>
      </c>
      <c r="D524" s="218" t="s">
        <v>21</v>
      </c>
      <c r="E524" s="219" t="s">
        <v>99</v>
      </c>
      <c r="F524" s="219" t="s">
        <v>720</v>
      </c>
      <c r="G524" s="224" t="s">
        <v>283</v>
      </c>
      <c r="H524" s="220" t="s">
        <v>20</v>
      </c>
      <c r="I524" s="220" t="s">
        <v>283</v>
      </c>
      <c r="J524" s="220" t="s">
        <v>283</v>
      </c>
      <c r="K524" s="220" t="s">
        <v>283</v>
      </c>
      <c r="L524" s="220" t="s">
        <v>283</v>
      </c>
      <c r="M524" s="220" t="s">
        <v>283</v>
      </c>
      <c r="N524" s="220" t="s">
        <v>283</v>
      </c>
      <c r="O524" s="221" t="s">
        <v>20</v>
      </c>
      <c r="P524" s="221" t="s">
        <v>20</v>
      </c>
      <c r="Q524" s="221" t="s">
        <v>15</v>
      </c>
      <c r="R524" s="221" t="s">
        <v>15</v>
      </c>
      <c r="S524" s="221" t="s">
        <v>16</v>
      </c>
      <c r="T524" s="221" t="s">
        <v>330</v>
      </c>
      <c r="U524" s="221" t="s">
        <v>250</v>
      </c>
      <c r="V524" s="221" t="s">
        <v>283</v>
      </c>
      <c r="W524" s="222" t="s">
        <v>283</v>
      </c>
      <c r="X524" s="222" t="s">
        <v>283</v>
      </c>
      <c r="Y524" s="223" t="s">
        <v>283</v>
      </c>
    </row>
    <row r="525" spans="1:25">
      <c r="A525" s="217">
        <v>10</v>
      </c>
      <c r="B525" s="218" t="str">
        <f>VLOOKUP(Tabel10[[#This Row],[Code]],Ruimtegroepen[[Code]:[Ruimte omschrijving]],2,FALSE)</f>
        <v>Trappenhuizen/lift</v>
      </c>
      <c r="C525" s="219" t="s">
        <v>718</v>
      </c>
      <c r="D525" s="218" t="s">
        <v>21</v>
      </c>
      <c r="E525" s="219" t="s">
        <v>1313</v>
      </c>
      <c r="F525" s="219" t="s">
        <v>1454</v>
      </c>
      <c r="G525" s="224" t="s">
        <v>283</v>
      </c>
      <c r="H525" s="220" t="s">
        <v>283</v>
      </c>
      <c r="I525" s="220" t="s">
        <v>18</v>
      </c>
      <c r="J525" s="220" t="s">
        <v>15</v>
      </c>
      <c r="K525" s="220" t="s">
        <v>284</v>
      </c>
      <c r="L525" s="220" t="s">
        <v>283</v>
      </c>
      <c r="M525" s="220" t="s">
        <v>283</v>
      </c>
      <c r="N525" s="220" t="s">
        <v>283</v>
      </c>
      <c r="O525" s="221" t="s">
        <v>20</v>
      </c>
      <c r="P525" s="221" t="s">
        <v>20</v>
      </c>
      <c r="Q525" s="221" t="s">
        <v>15</v>
      </c>
      <c r="R525" s="221" t="s">
        <v>15</v>
      </c>
      <c r="S525" s="221" t="s">
        <v>16</v>
      </c>
      <c r="T525" s="221" t="s">
        <v>330</v>
      </c>
      <c r="U525" s="221" t="s">
        <v>250</v>
      </c>
      <c r="V525" s="221" t="s">
        <v>283</v>
      </c>
      <c r="W525" s="222" t="s">
        <v>283</v>
      </c>
      <c r="X525" s="222" t="s">
        <v>283</v>
      </c>
      <c r="Y525" s="223" t="s">
        <v>283</v>
      </c>
    </row>
    <row r="526" spans="1:25">
      <c r="A526" s="217">
        <v>10</v>
      </c>
      <c r="B526" s="218" t="str">
        <f>VLOOKUP(Tabel10[[#This Row],[Code]],Ruimtegroepen[[Code]:[Ruimte omschrijving]],2,FALSE)</f>
        <v>Trappenhuizen/lift</v>
      </c>
      <c r="C526" s="219" t="s">
        <v>723</v>
      </c>
      <c r="D526" s="218" t="s">
        <v>12</v>
      </c>
      <c r="E526" s="219" t="s">
        <v>100</v>
      </c>
      <c r="F526" s="219" t="s">
        <v>724</v>
      </c>
      <c r="G526" s="224" t="s">
        <v>283</v>
      </c>
      <c r="H526" s="220" t="s">
        <v>283</v>
      </c>
      <c r="I526" s="220" t="s">
        <v>17</v>
      </c>
      <c r="J526" s="220" t="s">
        <v>15</v>
      </c>
      <c r="K526" s="220" t="s">
        <v>283</v>
      </c>
      <c r="L526" s="220" t="s">
        <v>283</v>
      </c>
      <c r="M526" s="220" t="s">
        <v>283</v>
      </c>
      <c r="N526" s="220" t="s">
        <v>283</v>
      </c>
      <c r="O526" s="221" t="s">
        <v>18</v>
      </c>
      <c r="P526" s="221" t="s">
        <v>18</v>
      </c>
      <c r="Q526" s="221" t="s">
        <v>15</v>
      </c>
      <c r="R526" s="221" t="s">
        <v>15</v>
      </c>
      <c r="S526" s="221" t="s">
        <v>16</v>
      </c>
      <c r="T526" s="221" t="s">
        <v>330</v>
      </c>
      <c r="U526" s="221" t="s">
        <v>250</v>
      </c>
      <c r="V526" s="221" t="s">
        <v>283</v>
      </c>
      <c r="W526" s="222" t="s">
        <v>283</v>
      </c>
      <c r="X526" s="222" t="s">
        <v>283</v>
      </c>
      <c r="Y526" s="223" t="s">
        <v>283</v>
      </c>
    </row>
    <row r="527" spans="1:25">
      <c r="A527" s="217">
        <v>10</v>
      </c>
      <c r="B527" s="218" t="str">
        <f>VLOOKUP(Tabel10[[#This Row],[Code]],Ruimtegroepen[[Code]:[Ruimte omschrijving]],2,FALSE)</f>
        <v>Trappenhuizen/lift</v>
      </c>
      <c r="C527" s="219" t="s">
        <v>723</v>
      </c>
      <c r="D527" s="218" t="s">
        <v>12</v>
      </c>
      <c r="E527" s="219" t="s">
        <v>99</v>
      </c>
      <c r="F527" s="219" t="s">
        <v>725</v>
      </c>
      <c r="G527" s="224" t="s">
        <v>283</v>
      </c>
      <c r="H527" s="220" t="s">
        <v>18</v>
      </c>
      <c r="I527" s="220" t="s">
        <v>283</v>
      </c>
      <c r="J527" s="220" t="s">
        <v>283</v>
      </c>
      <c r="K527" s="220" t="s">
        <v>283</v>
      </c>
      <c r="L527" s="220" t="s">
        <v>283</v>
      </c>
      <c r="M527" s="220" t="s">
        <v>283</v>
      </c>
      <c r="N527" s="220" t="s">
        <v>283</v>
      </c>
      <c r="O527" s="221" t="s">
        <v>18</v>
      </c>
      <c r="P527" s="221" t="s">
        <v>18</v>
      </c>
      <c r="Q527" s="221" t="s">
        <v>15</v>
      </c>
      <c r="R527" s="221" t="s">
        <v>15</v>
      </c>
      <c r="S527" s="221" t="s">
        <v>16</v>
      </c>
      <c r="T527" s="221" t="s">
        <v>330</v>
      </c>
      <c r="U527" s="221" t="s">
        <v>250</v>
      </c>
      <c r="V527" s="221" t="s">
        <v>283</v>
      </c>
      <c r="W527" s="222" t="s">
        <v>283</v>
      </c>
      <c r="X527" s="222" t="s">
        <v>283</v>
      </c>
      <c r="Y527" s="223" t="s">
        <v>283</v>
      </c>
    </row>
    <row r="528" spans="1:25">
      <c r="A528" s="217">
        <v>10</v>
      </c>
      <c r="B528" s="218" t="str">
        <f>VLOOKUP(Tabel10[[#This Row],[Code]],Ruimtegroepen[[Code]:[Ruimte omschrijving]],2,FALSE)</f>
        <v>Trappenhuizen/lift</v>
      </c>
      <c r="C528" s="219" t="s">
        <v>723</v>
      </c>
      <c r="D528" s="218" t="s">
        <v>12</v>
      </c>
      <c r="E528" s="219" t="s">
        <v>101</v>
      </c>
      <c r="F528" s="219" t="s">
        <v>726</v>
      </c>
      <c r="G528" s="224" t="s">
        <v>283</v>
      </c>
      <c r="H528" s="220" t="s">
        <v>283</v>
      </c>
      <c r="I528" s="220" t="s">
        <v>17</v>
      </c>
      <c r="J528" s="220" t="s">
        <v>15</v>
      </c>
      <c r="K528" s="220" t="s">
        <v>284</v>
      </c>
      <c r="L528" s="220" t="s">
        <v>283</v>
      </c>
      <c r="M528" s="220" t="s">
        <v>283</v>
      </c>
      <c r="N528" s="220" t="s">
        <v>283</v>
      </c>
      <c r="O528" s="221" t="s">
        <v>18</v>
      </c>
      <c r="P528" s="221" t="s">
        <v>18</v>
      </c>
      <c r="Q528" s="221" t="s">
        <v>15</v>
      </c>
      <c r="R528" s="221" t="s">
        <v>15</v>
      </c>
      <c r="S528" s="221" t="s">
        <v>16</v>
      </c>
      <c r="T528" s="221" t="s">
        <v>330</v>
      </c>
      <c r="U528" s="221" t="s">
        <v>250</v>
      </c>
      <c r="V528" s="221" t="s">
        <v>283</v>
      </c>
      <c r="W528" s="222" t="s">
        <v>283</v>
      </c>
      <c r="X528" s="222" t="s">
        <v>283</v>
      </c>
      <c r="Y528" s="223" t="s">
        <v>283</v>
      </c>
    </row>
    <row r="529" spans="1:25">
      <c r="A529" s="217">
        <v>10</v>
      </c>
      <c r="B529" s="218" t="str">
        <f>VLOOKUP(Tabel10[[#This Row],[Code]],Ruimtegroepen[[Code]:[Ruimte omschrijving]],2,FALSE)</f>
        <v>Trappenhuizen/lift</v>
      </c>
      <c r="C529" s="219" t="s">
        <v>723</v>
      </c>
      <c r="D529" s="218" t="s">
        <v>12</v>
      </c>
      <c r="E529" s="219" t="s">
        <v>102</v>
      </c>
      <c r="F529" s="219" t="s">
        <v>727</v>
      </c>
      <c r="G529" s="224" t="s">
        <v>283</v>
      </c>
      <c r="H529" s="220" t="s">
        <v>283</v>
      </c>
      <c r="I529" s="220" t="s">
        <v>17</v>
      </c>
      <c r="J529" s="220" t="s">
        <v>15</v>
      </c>
      <c r="K529" s="220" t="s">
        <v>284</v>
      </c>
      <c r="L529" s="220" t="s">
        <v>283</v>
      </c>
      <c r="M529" s="220" t="s">
        <v>283</v>
      </c>
      <c r="N529" s="220" t="s">
        <v>283</v>
      </c>
      <c r="O529" s="221" t="s">
        <v>18</v>
      </c>
      <c r="P529" s="221" t="s">
        <v>18</v>
      </c>
      <c r="Q529" s="221" t="s">
        <v>15</v>
      </c>
      <c r="R529" s="221" t="s">
        <v>15</v>
      </c>
      <c r="S529" s="221" t="s">
        <v>16</v>
      </c>
      <c r="T529" s="221" t="s">
        <v>330</v>
      </c>
      <c r="U529" s="221" t="s">
        <v>250</v>
      </c>
      <c r="V529" s="221" t="s">
        <v>283</v>
      </c>
      <c r="W529" s="222" t="s">
        <v>283</v>
      </c>
      <c r="X529" s="222" t="s">
        <v>283</v>
      </c>
      <c r="Y529" s="223" t="s">
        <v>283</v>
      </c>
    </row>
    <row r="530" spans="1:25">
      <c r="A530" s="217">
        <v>10</v>
      </c>
      <c r="B530" s="218" t="str">
        <f>VLOOKUP(Tabel10[[#This Row],[Code]],Ruimtegroepen[[Code]:[Ruimte omschrijving]],2,FALSE)</f>
        <v>Trappenhuizen/lift</v>
      </c>
      <c r="C530" s="219" t="s">
        <v>723</v>
      </c>
      <c r="D530" s="218" t="s">
        <v>12</v>
      </c>
      <c r="E530" s="219" t="s">
        <v>99</v>
      </c>
      <c r="F530" s="219" t="s">
        <v>725</v>
      </c>
      <c r="G530" s="224" t="s">
        <v>283</v>
      </c>
      <c r="H530" s="220" t="s">
        <v>18</v>
      </c>
      <c r="I530" s="220" t="s">
        <v>283</v>
      </c>
      <c r="J530" s="220" t="s">
        <v>283</v>
      </c>
      <c r="K530" s="220" t="s">
        <v>283</v>
      </c>
      <c r="L530" s="220" t="s">
        <v>283</v>
      </c>
      <c r="M530" s="220" t="s">
        <v>283</v>
      </c>
      <c r="N530" s="220" t="s">
        <v>283</v>
      </c>
      <c r="O530" s="221" t="s">
        <v>18</v>
      </c>
      <c r="P530" s="221" t="s">
        <v>18</v>
      </c>
      <c r="Q530" s="221" t="s">
        <v>15</v>
      </c>
      <c r="R530" s="221" t="s">
        <v>15</v>
      </c>
      <c r="S530" s="221" t="s">
        <v>16</v>
      </c>
      <c r="T530" s="221" t="s">
        <v>330</v>
      </c>
      <c r="U530" s="221" t="s">
        <v>250</v>
      </c>
      <c r="V530" s="221" t="s">
        <v>283</v>
      </c>
      <c r="W530" s="222" t="s">
        <v>283</v>
      </c>
      <c r="X530" s="222" t="s">
        <v>283</v>
      </c>
      <c r="Y530" s="223" t="s">
        <v>283</v>
      </c>
    </row>
    <row r="531" spans="1:25">
      <c r="A531" s="217">
        <v>10</v>
      </c>
      <c r="B531" s="218" t="str">
        <f>VLOOKUP(Tabel10[[#This Row],[Code]],Ruimtegroepen[[Code]:[Ruimte omschrijving]],2,FALSE)</f>
        <v>Trappenhuizen/lift</v>
      </c>
      <c r="C531" s="219" t="s">
        <v>723</v>
      </c>
      <c r="D531" s="218" t="s">
        <v>12</v>
      </c>
      <c r="E531" s="219" t="s">
        <v>1313</v>
      </c>
      <c r="F531" s="219" t="s">
        <v>1436</v>
      </c>
      <c r="G531" s="224" t="s">
        <v>283</v>
      </c>
      <c r="H531" s="220" t="s">
        <v>283</v>
      </c>
      <c r="I531" s="220" t="s">
        <v>17</v>
      </c>
      <c r="J531" s="220" t="s">
        <v>15</v>
      </c>
      <c r="K531" s="220" t="s">
        <v>284</v>
      </c>
      <c r="L531" s="220" t="s">
        <v>283</v>
      </c>
      <c r="M531" s="220" t="s">
        <v>283</v>
      </c>
      <c r="N531" s="220" t="s">
        <v>283</v>
      </c>
      <c r="O531" s="221" t="s">
        <v>18</v>
      </c>
      <c r="P531" s="221" t="s">
        <v>18</v>
      </c>
      <c r="Q531" s="221" t="s">
        <v>15</v>
      </c>
      <c r="R531" s="221" t="s">
        <v>15</v>
      </c>
      <c r="S531" s="221" t="s">
        <v>16</v>
      </c>
      <c r="T531" s="221" t="s">
        <v>330</v>
      </c>
      <c r="U531" s="221" t="s">
        <v>250</v>
      </c>
      <c r="V531" s="221" t="s">
        <v>283</v>
      </c>
      <c r="W531" s="222" t="s">
        <v>283</v>
      </c>
      <c r="X531" s="222" t="s">
        <v>283</v>
      </c>
      <c r="Y531" s="223" t="s">
        <v>283</v>
      </c>
    </row>
    <row r="532" spans="1:25">
      <c r="A532" s="217">
        <v>10</v>
      </c>
      <c r="B532" s="218" t="str">
        <f>VLOOKUP(Tabel10[[#This Row],[Code]],Ruimtegroepen[[Code]:[Ruimte omschrijving]],2,FALSE)</f>
        <v>Trappenhuizen/lift</v>
      </c>
      <c r="C532" s="219" t="s">
        <v>728</v>
      </c>
      <c r="D532" s="218" t="s">
        <v>14</v>
      </c>
      <c r="E532" s="219" t="s">
        <v>100</v>
      </c>
      <c r="F532" s="219" t="s">
        <v>729</v>
      </c>
      <c r="G532" s="224" t="s">
        <v>283</v>
      </c>
      <c r="H532" s="220" t="s">
        <v>283</v>
      </c>
      <c r="I532" s="220" t="s">
        <v>15</v>
      </c>
      <c r="J532" s="220" t="s">
        <v>15</v>
      </c>
      <c r="K532" s="220" t="s">
        <v>283</v>
      </c>
      <c r="L532" s="220" t="s">
        <v>283</v>
      </c>
      <c r="M532" s="220" t="s">
        <v>283</v>
      </c>
      <c r="N532" s="220" t="s">
        <v>283</v>
      </c>
      <c r="O532" s="221" t="s">
        <v>17</v>
      </c>
      <c r="P532" s="221" t="s">
        <v>17</v>
      </c>
      <c r="Q532" s="221" t="s">
        <v>15</v>
      </c>
      <c r="R532" s="221" t="s">
        <v>15</v>
      </c>
      <c r="S532" s="221" t="s">
        <v>16</v>
      </c>
      <c r="T532" s="221" t="s">
        <v>330</v>
      </c>
      <c r="U532" s="221" t="s">
        <v>250</v>
      </c>
      <c r="V532" s="221" t="s">
        <v>283</v>
      </c>
      <c r="W532" s="222" t="s">
        <v>283</v>
      </c>
      <c r="X532" s="222" t="s">
        <v>283</v>
      </c>
      <c r="Y532" s="223" t="s">
        <v>283</v>
      </c>
    </row>
    <row r="533" spans="1:25">
      <c r="A533" s="217">
        <v>10</v>
      </c>
      <c r="B533" s="218" t="str">
        <f>VLOOKUP(Tabel10[[#This Row],[Code]],Ruimtegroepen[[Code]:[Ruimte omschrijving]],2,FALSE)</f>
        <v>Trappenhuizen/lift</v>
      </c>
      <c r="C533" s="219" t="s">
        <v>728</v>
      </c>
      <c r="D533" s="218" t="s">
        <v>14</v>
      </c>
      <c r="E533" s="219" t="s">
        <v>99</v>
      </c>
      <c r="F533" s="219" t="s">
        <v>730</v>
      </c>
      <c r="G533" s="224" t="s">
        <v>283</v>
      </c>
      <c r="H533" s="220" t="s">
        <v>17</v>
      </c>
      <c r="I533" s="220" t="s">
        <v>283</v>
      </c>
      <c r="J533" s="220" t="s">
        <v>283</v>
      </c>
      <c r="K533" s="220" t="s">
        <v>283</v>
      </c>
      <c r="L533" s="220" t="s">
        <v>283</v>
      </c>
      <c r="M533" s="220" t="s">
        <v>283</v>
      </c>
      <c r="N533" s="220" t="s">
        <v>283</v>
      </c>
      <c r="O533" s="221" t="s">
        <v>17</v>
      </c>
      <c r="P533" s="221" t="s">
        <v>17</v>
      </c>
      <c r="Q533" s="221" t="s">
        <v>15</v>
      </c>
      <c r="R533" s="221" t="s">
        <v>15</v>
      </c>
      <c r="S533" s="221" t="s">
        <v>16</v>
      </c>
      <c r="T533" s="221" t="s">
        <v>330</v>
      </c>
      <c r="U533" s="221" t="s">
        <v>250</v>
      </c>
      <c r="V533" s="221" t="s">
        <v>283</v>
      </c>
      <c r="W533" s="222" t="s">
        <v>283</v>
      </c>
      <c r="X533" s="222" t="s">
        <v>283</v>
      </c>
      <c r="Y533" s="223" t="s">
        <v>283</v>
      </c>
    </row>
    <row r="534" spans="1:25">
      <c r="A534" s="217">
        <v>10</v>
      </c>
      <c r="B534" s="218" t="str">
        <f>VLOOKUP(Tabel10[[#This Row],[Code]],Ruimtegroepen[[Code]:[Ruimte omschrijving]],2,FALSE)</f>
        <v>Trappenhuizen/lift</v>
      </c>
      <c r="C534" s="219" t="s">
        <v>728</v>
      </c>
      <c r="D534" s="218" t="s">
        <v>14</v>
      </c>
      <c r="E534" s="219" t="s">
        <v>101</v>
      </c>
      <c r="F534" s="219" t="s">
        <v>731</v>
      </c>
      <c r="G534" s="224" t="s">
        <v>283</v>
      </c>
      <c r="H534" s="220" t="s">
        <v>283</v>
      </c>
      <c r="I534" s="220" t="s">
        <v>15</v>
      </c>
      <c r="J534" s="220" t="s">
        <v>15</v>
      </c>
      <c r="K534" s="220" t="s">
        <v>284</v>
      </c>
      <c r="L534" s="220" t="s">
        <v>283</v>
      </c>
      <c r="M534" s="220" t="s">
        <v>283</v>
      </c>
      <c r="N534" s="220" t="s">
        <v>283</v>
      </c>
      <c r="O534" s="221" t="s">
        <v>17</v>
      </c>
      <c r="P534" s="221" t="s">
        <v>17</v>
      </c>
      <c r="Q534" s="221" t="s">
        <v>15</v>
      </c>
      <c r="R534" s="221" t="s">
        <v>15</v>
      </c>
      <c r="S534" s="221" t="s">
        <v>16</v>
      </c>
      <c r="T534" s="221" t="s">
        <v>330</v>
      </c>
      <c r="U534" s="221" t="s">
        <v>250</v>
      </c>
      <c r="V534" s="221" t="s">
        <v>283</v>
      </c>
      <c r="W534" s="222" t="s">
        <v>283</v>
      </c>
      <c r="X534" s="222" t="s">
        <v>283</v>
      </c>
      <c r="Y534" s="223" t="s">
        <v>283</v>
      </c>
    </row>
    <row r="535" spans="1:25">
      <c r="A535" s="217">
        <v>10</v>
      </c>
      <c r="B535" s="218" t="str">
        <f>VLOOKUP(Tabel10[[#This Row],[Code]],Ruimtegroepen[[Code]:[Ruimte omschrijving]],2,FALSE)</f>
        <v>Trappenhuizen/lift</v>
      </c>
      <c r="C535" s="219" t="s">
        <v>728</v>
      </c>
      <c r="D535" s="218" t="s">
        <v>14</v>
      </c>
      <c r="E535" s="219" t="s">
        <v>102</v>
      </c>
      <c r="F535" s="219" t="s">
        <v>732</v>
      </c>
      <c r="G535" s="224" t="s">
        <v>283</v>
      </c>
      <c r="H535" s="220" t="s">
        <v>283</v>
      </c>
      <c r="I535" s="220" t="s">
        <v>15</v>
      </c>
      <c r="J535" s="220" t="s">
        <v>15</v>
      </c>
      <c r="K535" s="220" t="s">
        <v>284</v>
      </c>
      <c r="L535" s="220" t="s">
        <v>283</v>
      </c>
      <c r="M535" s="220" t="s">
        <v>283</v>
      </c>
      <c r="N535" s="220" t="s">
        <v>283</v>
      </c>
      <c r="O535" s="221" t="s">
        <v>17</v>
      </c>
      <c r="P535" s="221" t="s">
        <v>17</v>
      </c>
      <c r="Q535" s="221" t="s">
        <v>15</v>
      </c>
      <c r="R535" s="221" t="s">
        <v>15</v>
      </c>
      <c r="S535" s="221" t="s">
        <v>16</v>
      </c>
      <c r="T535" s="221" t="s">
        <v>330</v>
      </c>
      <c r="U535" s="221" t="s">
        <v>250</v>
      </c>
      <c r="V535" s="221" t="s">
        <v>283</v>
      </c>
      <c r="W535" s="222" t="s">
        <v>283</v>
      </c>
      <c r="X535" s="222" t="s">
        <v>283</v>
      </c>
      <c r="Y535" s="223" t="s">
        <v>283</v>
      </c>
    </row>
    <row r="536" spans="1:25">
      <c r="A536" s="217">
        <v>10</v>
      </c>
      <c r="B536" s="218" t="str">
        <f>VLOOKUP(Tabel10[[#This Row],[Code]],Ruimtegroepen[[Code]:[Ruimte omschrijving]],2,FALSE)</f>
        <v>Trappenhuizen/lift</v>
      </c>
      <c r="C536" s="219" t="s">
        <v>728</v>
      </c>
      <c r="D536" s="218" t="s">
        <v>14</v>
      </c>
      <c r="E536" s="219" t="s">
        <v>99</v>
      </c>
      <c r="F536" s="219" t="s">
        <v>730</v>
      </c>
      <c r="G536" s="224" t="s">
        <v>283</v>
      </c>
      <c r="H536" s="220" t="s">
        <v>17</v>
      </c>
      <c r="I536" s="220" t="s">
        <v>283</v>
      </c>
      <c r="J536" s="220" t="s">
        <v>283</v>
      </c>
      <c r="K536" s="220" t="s">
        <v>283</v>
      </c>
      <c r="L536" s="220" t="s">
        <v>283</v>
      </c>
      <c r="M536" s="220" t="s">
        <v>283</v>
      </c>
      <c r="N536" s="220" t="s">
        <v>283</v>
      </c>
      <c r="O536" s="221" t="s">
        <v>17</v>
      </c>
      <c r="P536" s="221" t="s">
        <v>17</v>
      </c>
      <c r="Q536" s="221" t="s">
        <v>15</v>
      </c>
      <c r="R536" s="221" t="s">
        <v>15</v>
      </c>
      <c r="S536" s="221" t="s">
        <v>16</v>
      </c>
      <c r="T536" s="221" t="s">
        <v>330</v>
      </c>
      <c r="U536" s="221" t="s">
        <v>250</v>
      </c>
      <c r="V536" s="221" t="s">
        <v>283</v>
      </c>
      <c r="W536" s="222" t="s">
        <v>283</v>
      </c>
      <c r="X536" s="222" t="s">
        <v>283</v>
      </c>
      <c r="Y536" s="223" t="s">
        <v>283</v>
      </c>
    </row>
    <row r="537" spans="1:25">
      <c r="A537" s="217">
        <v>10</v>
      </c>
      <c r="B537" s="218" t="str">
        <f>VLOOKUP(Tabel10[[#This Row],[Code]],Ruimtegroepen[[Code]:[Ruimte omschrijving]],2,FALSE)</f>
        <v>Trappenhuizen/lift</v>
      </c>
      <c r="C537" s="219" t="s">
        <v>728</v>
      </c>
      <c r="D537" s="218" t="s">
        <v>14</v>
      </c>
      <c r="E537" s="219" t="s">
        <v>1313</v>
      </c>
      <c r="F537" s="219" t="s">
        <v>1403</v>
      </c>
      <c r="G537" s="224" t="s">
        <v>283</v>
      </c>
      <c r="H537" s="220" t="s">
        <v>283</v>
      </c>
      <c r="I537" s="220" t="s">
        <v>15</v>
      </c>
      <c r="J537" s="220" t="s">
        <v>15</v>
      </c>
      <c r="K537" s="220" t="s">
        <v>284</v>
      </c>
      <c r="L537" s="220" t="s">
        <v>283</v>
      </c>
      <c r="M537" s="220" t="s">
        <v>283</v>
      </c>
      <c r="N537" s="220" t="s">
        <v>283</v>
      </c>
      <c r="O537" s="221" t="s">
        <v>17</v>
      </c>
      <c r="P537" s="221" t="s">
        <v>17</v>
      </c>
      <c r="Q537" s="221" t="s">
        <v>15</v>
      </c>
      <c r="R537" s="221" t="s">
        <v>15</v>
      </c>
      <c r="S537" s="221" t="s">
        <v>16</v>
      </c>
      <c r="T537" s="221" t="s">
        <v>330</v>
      </c>
      <c r="U537" s="221" t="s">
        <v>250</v>
      </c>
      <c r="V537" s="221" t="s">
        <v>283</v>
      </c>
      <c r="W537" s="222" t="s">
        <v>283</v>
      </c>
      <c r="X537" s="222" t="s">
        <v>283</v>
      </c>
      <c r="Y537" s="223" t="s">
        <v>283</v>
      </c>
    </row>
    <row r="538" spans="1:25">
      <c r="A538" s="217">
        <v>10</v>
      </c>
      <c r="B538" s="218" t="str">
        <f>VLOOKUP(Tabel10[[#This Row],[Code]],Ruimtegroepen[[Code]:[Ruimte omschrijving]],2,FALSE)</f>
        <v>Trappenhuizen/lift</v>
      </c>
      <c r="C538" s="219" t="s">
        <v>733</v>
      </c>
      <c r="D538" s="218" t="s">
        <v>13</v>
      </c>
      <c r="E538" s="219" t="s">
        <v>100</v>
      </c>
      <c r="F538" s="219" t="s">
        <v>734</v>
      </c>
      <c r="G538" s="224" t="s">
        <v>283</v>
      </c>
      <c r="H538" s="220" t="s">
        <v>283</v>
      </c>
      <c r="I538" s="220" t="s">
        <v>283</v>
      </c>
      <c r="J538" s="220" t="s">
        <v>15</v>
      </c>
      <c r="K538" s="220" t="s">
        <v>283</v>
      </c>
      <c r="L538" s="220" t="s">
        <v>283</v>
      </c>
      <c r="M538" s="220" t="s">
        <v>283</v>
      </c>
      <c r="N538" s="220" t="s">
        <v>283</v>
      </c>
      <c r="O538" s="221" t="s">
        <v>15</v>
      </c>
      <c r="P538" s="221" t="s">
        <v>15</v>
      </c>
      <c r="Q538" s="221" t="s">
        <v>15</v>
      </c>
      <c r="R538" s="221" t="s">
        <v>15</v>
      </c>
      <c r="S538" s="221" t="s">
        <v>16</v>
      </c>
      <c r="T538" s="221" t="s">
        <v>330</v>
      </c>
      <c r="U538" s="221" t="s">
        <v>250</v>
      </c>
      <c r="V538" s="221" t="s">
        <v>283</v>
      </c>
      <c r="W538" s="222" t="s">
        <v>283</v>
      </c>
      <c r="X538" s="222" t="s">
        <v>283</v>
      </c>
      <c r="Y538" s="223" t="s">
        <v>283</v>
      </c>
    </row>
    <row r="539" spans="1:25">
      <c r="A539" s="217">
        <v>10</v>
      </c>
      <c r="B539" s="218" t="str">
        <f>VLOOKUP(Tabel10[[#This Row],[Code]],Ruimtegroepen[[Code]:[Ruimte omschrijving]],2,FALSE)</f>
        <v>Trappenhuizen/lift</v>
      </c>
      <c r="C539" s="219" t="s">
        <v>733</v>
      </c>
      <c r="D539" s="218" t="s">
        <v>13</v>
      </c>
      <c r="E539" s="219" t="s">
        <v>99</v>
      </c>
      <c r="F539" s="219" t="s">
        <v>735</v>
      </c>
      <c r="G539" s="224" t="s">
        <v>283</v>
      </c>
      <c r="H539" s="220" t="s">
        <v>15</v>
      </c>
      <c r="I539" s="220" t="s">
        <v>283</v>
      </c>
      <c r="J539" s="220" t="s">
        <v>283</v>
      </c>
      <c r="K539" s="220" t="s">
        <v>283</v>
      </c>
      <c r="L539" s="220" t="s">
        <v>283</v>
      </c>
      <c r="M539" s="220" t="s">
        <v>283</v>
      </c>
      <c r="N539" s="220" t="s">
        <v>283</v>
      </c>
      <c r="O539" s="221" t="s">
        <v>15</v>
      </c>
      <c r="P539" s="221" t="s">
        <v>15</v>
      </c>
      <c r="Q539" s="221" t="s">
        <v>15</v>
      </c>
      <c r="R539" s="221" t="s">
        <v>15</v>
      </c>
      <c r="S539" s="221" t="s">
        <v>16</v>
      </c>
      <c r="T539" s="221" t="s">
        <v>330</v>
      </c>
      <c r="U539" s="221" t="s">
        <v>250</v>
      </c>
      <c r="V539" s="221" t="s">
        <v>283</v>
      </c>
      <c r="W539" s="222" t="s">
        <v>283</v>
      </c>
      <c r="X539" s="222" t="s">
        <v>283</v>
      </c>
      <c r="Y539" s="223" t="s">
        <v>283</v>
      </c>
    </row>
    <row r="540" spans="1:25">
      <c r="A540" s="217">
        <v>10</v>
      </c>
      <c r="B540" s="218" t="str">
        <f>VLOOKUP(Tabel10[[#This Row],[Code]],Ruimtegroepen[[Code]:[Ruimte omschrijving]],2,FALSE)</f>
        <v>Trappenhuizen/lift</v>
      </c>
      <c r="C540" s="219" t="s">
        <v>733</v>
      </c>
      <c r="D540" s="218" t="s">
        <v>13</v>
      </c>
      <c r="E540" s="219" t="s">
        <v>101</v>
      </c>
      <c r="F540" s="219" t="s">
        <v>736</v>
      </c>
      <c r="G540" s="224" t="s">
        <v>283</v>
      </c>
      <c r="H540" s="220" t="s">
        <v>283</v>
      </c>
      <c r="I540" s="220" t="s">
        <v>283</v>
      </c>
      <c r="J540" s="220" t="s">
        <v>15</v>
      </c>
      <c r="K540" s="220" t="s">
        <v>284</v>
      </c>
      <c r="L540" s="220" t="s">
        <v>283</v>
      </c>
      <c r="M540" s="220" t="s">
        <v>283</v>
      </c>
      <c r="N540" s="220" t="s">
        <v>283</v>
      </c>
      <c r="O540" s="221" t="s">
        <v>15</v>
      </c>
      <c r="P540" s="221" t="s">
        <v>15</v>
      </c>
      <c r="Q540" s="221" t="s">
        <v>15</v>
      </c>
      <c r="R540" s="221" t="s">
        <v>15</v>
      </c>
      <c r="S540" s="221" t="s">
        <v>16</v>
      </c>
      <c r="T540" s="221" t="s">
        <v>330</v>
      </c>
      <c r="U540" s="221" t="s">
        <v>250</v>
      </c>
      <c r="V540" s="221" t="s">
        <v>283</v>
      </c>
      <c r="W540" s="222" t="s">
        <v>283</v>
      </c>
      <c r="X540" s="222" t="s">
        <v>283</v>
      </c>
      <c r="Y540" s="223" t="s">
        <v>283</v>
      </c>
    </row>
    <row r="541" spans="1:25">
      <c r="A541" s="217">
        <v>10</v>
      </c>
      <c r="B541" s="218" t="str">
        <f>VLOOKUP(Tabel10[[#This Row],[Code]],Ruimtegroepen[[Code]:[Ruimte omschrijving]],2,FALSE)</f>
        <v>Trappenhuizen/lift</v>
      </c>
      <c r="C541" s="219" t="s">
        <v>733</v>
      </c>
      <c r="D541" s="218" t="s">
        <v>13</v>
      </c>
      <c r="E541" s="219" t="s">
        <v>102</v>
      </c>
      <c r="F541" s="219" t="s">
        <v>737</v>
      </c>
      <c r="G541" s="224" t="s">
        <v>283</v>
      </c>
      <c r="H541" s="220" t="s">
        <v>283</v>
      </c>
      <c r="I541" s="220" t="s">
        <v>283</v>
      </c>
      <c r="J541" s="220" t="s">
        <v>15</v>
      </c>
      <c r="K541" s="220" t="s">
        <v>284</v>
      </c>
      <c r="L541" s="220" t="s">
        <v>283</v>
      </c>
      <c r="M541" s="220" t="s">
        <v>283</v>
      </c>
      <c r="N541" s="220" t="s">
        <v>283</v>
      </c>
      <c r="O541" s="221" t="s">
        <v>15</v>
      </c>
      <c r="P541" s="221" t="s">
        <v>15</v>
      </c>
      <c r="Q541" s="221" t="s">
        <v>15</v>
      </c>
      <c r="R541" s="221" t="s">
        <v>15</v>
      </c>
      <c r="S541" s="221" t="s">
        <v>16</v>
      </c>
      <c r="T541" s="221" t="s">
        <v>330</v>
      </c>
      <c r="U541" s="221" t="s">
        <v>250</v>
      </c>
      <c r="V541" s="221" t="s">
        <v>283</v>
      </c>
      <c r="W541" s="222" t="s">
        <v>283</v>
      </c>
      <c r="X541" s="222" t="s">
        <v>283</v>
      </c>
      <c r="Y541" s="223" t="s">
        <v>283</v>
      </c>
    </row>
    <row r="542" spans="1:25">
      <c r="A542" s="217">
        <v>10</v>
      </c>
      <c r="B542" s="218" t="str">
        <f>VLOOKUP(Tabel10[[#This Row],[Code]],Ruimtegroepen[[Code]:[Ruimte omschrijving]],2,FALSE)</f>
        <v>Trappenhuizen/lift</v>
      </c>
      <c r="C542" s="219" t="s">
        <v>733</v>
      </c>
      <c r="D542" s="218" t="s">
        <v>13</v>
      </c>
      <c r="E542" s="219" t="s">
        <v>99</v>
      </c>
      <c r="F542" s="219" t="s">
        <v>735</v>
      </c>
      <c r="G542" s="224" t="s">
        <v>283</v>
      </c>
      <c r="H542" s="220" t="s">
        <v>15</v>
      </c>
      <c r="I542" s="220" t="s">
        <v>283</v>
      </c>
      <c r="J542" s="220" t="s">
        <v>283</v>
      </c>
      <c r="K542" s="220" t="s">
        <v>283</v>
      </c>
      <c r="L542" s="220" t="s">
        <v>283</v>
      </c>
      <c r="M542" s="220" t="s">
        <v>283</v>
      </c>
      <c r="N542" s="220" t="s">
        <v>283</v>
      </c>
      <c r="O542" s="221" t="s">
        <v>15</v>
      </c>
      <c r="P542" s="221" t="s">
        <v>15</v>
      </c>
      <c r="Q542" s="221" t="s">
        <v>15</v>
      </c>
      <c r="R542" s="221" t="s">
        <v>15</v>
      </c>
      <c r="S542" s="221" t="s">
        <v>16</v>
      </c>
      <c r="T542" s="221" t="s">
        <v>330</v>
      </c>
      <c r="U542" s="221" t="s">
        <v>250</v>
      </c>
      <c r="V542" s="221" t="s">
        <v>283</v>
      </c>
      <c r="W542" s="222" t="s">
        <v>283</v>
      </c>
      <c r="X542" s="222" t="s">
        <v>283</v>
      </c>
      <c r="Y542" s="223" t="s">
        <v>283</v>
      </c>
    </row>
    <row r="543" spans="1:25">
      <c r="A543" s="217">
        <v>10</v>
      </c>
      <c r="B543" s="218" t="str">
        <f>VLOOKUP(Tabel10[[#This Row],[Code]],Ruimtegroepen[[Code]:[Ruimte omschrijving]],2,FALSE)</f>
        <v>Trappenhuizen/lift</v>
      </c>
      <c r="C543" s="219" t="s">
        <v>733</v>
      </c>
      <c r="D543" s="218" t="s">
        <v>13</v>
      </c>
      <c r="E543" s="219" t="s">
        <v>1313</v>
      </c>
      <c r="F543" s="219" t="s">
        <v>1370</v>
      </c>
      <c r="G543" s="224" t="s">
        <v>283</v>
      </c>
      <c r="H543" s="220" t="s">
        <v>283</v>
      </c>
      <c r="I543" s="220" t="s">
        <v>283</v>
      </c>
      <c r="J543" s="220" t="s">
        <v>15</v>
      </c>
      <c r="K543" s="220" t="s">
        <v>284</v>
      </c>
      <c r="L543" s="220" t="s">
        <v>283</v>
      </c>
      <c r="M543" s="220" t="s">
        <v>283</v>
      </c>
      <c r="N543" s="220" t="s">
        <v>283</v>
      </c>
      <c r="O543" s="221" t="s">
        <v>15</v>
      </c>
      <c r="P543" s="221" t="s">
        <v>15</v>
      </c>
      <c r="Q543" s="221" t="s">
        <v>15</v>
      </c>
      <c r="R543" s="221" t="s">
        <v>15</v>
      </c>
      <c r="S543" s="221" t="s">
        <v>16</v>
      </c>
      <c r="T543" s="221" t="s">
        <v>330</v>
      </c>
      <c r="U543" s="221" t="s">
        <v>250</v>
      </c>
      <c r="V543" s="221" t="s">
        <v>283</v>
      </c>
      <c r="W543" s="222" t="s">
        <v>283</v>
      </c>
      <c r="X543" s="222" t="s">
        <v>283</v>
      </c>
      <c r="Y543" s="223" t="s">
        <v>283</v>
      </c>
    </row>
    <row r="544" spans="1:25">
      <c r="A544" s="217">
        <v>10</v>
      </c>
      <c r="B544" s="218" t="str">
        <f>VLOOKUP(Tabel10[[#This Row],[Code]],Ruimtegroepen[[Code]:[Ruimte omschrijving]],2,FALSE)</f>
        <v>Trappenhuizen/lift</v>
      </c>
      <c r="C544" s="219" t="s">
        <v>738</v>
      </c>
      <c r="D544" s="218" t="s">
        <v>0</v>
      </c>
      <c r="E544" s="219" t="s">
        <v>100</v>
      </c>
      <c r="F544" s="219" t="s">
        <v>739</v>
      </c>
      <c r="G544" s="224" t="s">
        <v>283</v>
      </c>
      <c r="H544" s="220" t="s">
        <v>283</v>
      </c>
      <c r="I544" s="220" t="s">
        <v>283</v>
      </c>
      <c r="J544" s="220" t="s">
        <v>16</v>
      </c>
      <c r="K544" s="220" t="s">
        <v>283</v>
      </c>
      <c r="L544" s="220" t="s">
        <v>283</v>
      </c>
      <c r="M544" s="220" t="s">
        <v>283</v>
      </c>
      <c r="N544" s="220" t="s">
        <v>283</v>
      </c>
      <c r="O544" s="221" t="s">
        <v>16</v>
      </c>
      <c r="P544" s="221" t="s">
        <v>16</v>
      </c>
      <c r="Q544" s="221" t="s">
        <v>16</v>
      </c>
      <c r="R544" s="221" t="s">
        <v>16</v>
      </c>
      <c r="S544" s="221" t="s">
        <v>16</v>
      </c>
      <c r="T544" s="221" t="s">
        <v>330</v>
      </c>
      <c r="U544" s="221" t="s">
        <v>250</v>
      </c>
      <c r="V544" s="221" t="s">
        <v>283</v>
      </c>
      <c r="W544" s="222" t="s">
        <v>283</v>
      </c>
      <c r="X544" s="222" t="s">
        <v>283</v>
      </c>
      <c r="Y544" s="223" t="s">
        <v>283</v>
      </c>
    </row>
    <row r="545" spans="1:25">
      <c r="A545" s="217">
        <v>10</v>
      </c>
      <c r="B545" s="218" t="str">
        <f>VLOOKUP(Tabel10[[#This Row],[Code]],Ruimtegroepen[[Code]:[Ruimte omschrijving]],2,FALSE)</f>
        <v>Trappenhuizen/lift</v>
      </c>
      <c r="C545" s="219" t="s">
        <v>738</v>
      </c>
      <c r="D545" s="218" t="s">
        <v>0</v>
      </c>
      <c r="E545" s="219" t="s">
        <v>99</v>
      </c>
      <c r="F545" s="219" t="s">
        <v>740</v>
      </c>
      <c r="G545" s="224" t="s">
        <v>283</v>
      </c>
      <c r="H545" s="220" t="s">
        <v>16</v>
      </c>
      <c r="I545" s="220" t="s">
        <v>283</v>
      </c>
      <c r="J545" s="220" t="s">
        <v>283</v>
      </c>
      <c r="K545" s="220" t="s">
        <v>283</v>
      </c>
      <c r="L545" s="220" t="s">
        <v>283</v>
      </c>
      <c r="M545" s="220" t="s">
        <v>283</v>
      </c>
      <c r="N545" s="220" t="s">
        <v>283</v>
      </c>
      <c r="O545" s="221" t="s">
        <v>16</v>
      </c>
      <c r="P545" s="221" t="s">
        <v>16</v>
      </c>
      <c r="Q545" s="221" t="s">
        <v>16</v>
      </c>
      <c r="R545" s="221" t="s">
        <v>16</v>
      </c>
      <c r="S545" s="221" t="s">
        <v>16</v>
      </c>
      <c r="T545" s="221" t="s">
        <v>330</v>
      </c>
      <c r="U545" s="221" t="s">
        <v>250</v>
      </c>
      <c r="V545" s="221" t="s">
        <v>283</v>
      </c>
      <c r="W545" s="222" t="s">
        <v>283</v>
      </c>
      <c r="X545" s="222" t="s">
        <v>283</v>
      </c>
      <c r="Y545" s="223" t="s">
        <v>283</v>
      </c>
    </row>
    <row r="546" spans="1:25">
      <c r="A546" s="217">
        <v>10</v>
      </c>
      <c r="B546" s="218" t="str">
        <f>VLOOKUP(Tabel10[[#This Row],[Code]],Ruimtegroepen[[Code]:[Ruimte omschrijving]],2,FALSE)</f>
        <v>Trappenhuizen/lift</v>
      </c>
      <c r="C546" s="219" t="s">
        <v>738</v>
      </c>
      <c r="D546" s="218" t="s">
        <v>0</v>
      </c>
      <c r="E546" s="219" t="s">
        <v>101</v>
      </c>
      <c r="F546" s="219" t="s">
        <v>741</v>
      </c>
      <c r="G546" s="224" t="s">
        <v>283</v>
      </c>
      <c r="H546" s="220" t="s">
        <v>283</v>
      </c>
      <c r="I546" s="220" t="s">
        <v>283</v>
      </c>
      <c r="J546" s="220" t="s">
        <v>16</v>
      </c>
      <c r="K546" s="220" t="s">
        <v>284</v>
      </c>
      <c r="L546" s="220" t="s">
        <v>283</v>
      </c>
      <c r="M546" s="220" t="s">
        <v>283</v>
      </c>
      <c r="N546" s="220" t="s">
        <v>283</v>
      </c>
      <c r="O546" s="221" t="s">
        <v>16</v>
      </c>
      <c r="P546" s="221" t="s">
        <v>16</v>
      </c>
      <c r="Q546" s="221" t="s">
        <v>16</v>
      </c>
      <c r="R546" s="221" t="s">
        <v>16</v>
      </c>
      <c r="S546" s="221" t="s">
        <v>16</v>
      </c>
      <c r="T546" s="221" t="s">
        <v>330</v>
      </c>
      <c r="U546" s="221" t="s">
        <v>250</v>
      </c>
      <c r="V546" s="221" t="s">
        <v>283</v>
      </c>
      <c r="W546" s="222" t="s">
        <v>283</v>
      </c>
      <c r="X546" s="222" t="s">
        <v>283</v>
      </c>
      <c r="Y546" s="223" t="s">
        <v>283</v>
      </c>
    </row>
    <row r="547" spans="1:25">
      <c r="A547" s="217">
        <v>10</v>
      </c>
      <c r="B547" s="218" t="str">
        <f>VLOOKUP(Tabel10[[#This Row],[Code]],Ruimtegroepen[[Code]:[Ruimte omschrijving]],2,FALSE)</f>
        <v>Trappenhuizen/lift</v>
      </c>
      <c r="C547" s="219" t="s">
        <v>738</v>
      </c>
      <c r="D547" s="218" t="s">
        <v>0</v>
      </c>
      <c r="E547" s="219" t="s">
        <v>102</v>
      </c>
      <c r="F547" s="219" t="s">
        <v>742</v>
      </c>
      <c r="G547" s="224" t="s">
        <v>283</v>
      </c>
      <c r="H547" s="220" t="s">
        <v>283</v>
      </c>
      <c r="I547" s="220" t="s">
        <v>283</v>
      </c>
      <c r="J547" s="220" t="s">
        <v>16</v>
      </c>
      <c r="K547" s="220" t="s">
        <v>284</v>
      </c>
      <c r="L547" s="220" t="s">
        <v>283</v>
      </c>
      <c r="M547" s="220" t="s">
        <v>283</v>
      </c>
      <c r="N547" s="220" t="s">
        <v>283</v>
      </c>
      <c r="O547" s="221" t="s">
        <v>16</v>
      </c>
      <c r="P547" s="221" t="s">
        <v>16</v>
      </c>
      <c r="Q547" s="221" t="s">
        <v>16</v>
      </c>
      <c r="R547" s="221" t="s">
        <v>16</v>
      </c>
      <c r="S547" s="221" t="s">
        <v>16</v>
      </c>
      <c r="T547" s="221" t="s">
        <v>330</v>
      </c>
      <c r="U547" s="221" t="s">
        <v>250</v>
      </c>
      <c r="V547" s="221" t="s">
        <v>283</v>
      </c>
      <c r="W547" s="222" t="s">
        <v>283</v>
      </c>
      <c r="X547" s="222" t="s">
        <v>283</v>
      </c>
      <c r="Y547" s="223" t="s">
        <v>283</v>
      </c>
    </row>
    <row r="548" spans="1:25">
      <c r="A548" s="217">
        <v>10</v>
      </c>
      <c r="B548" s="218" t="str">
        <f>VLOOKUP(Tabel10[[#This Row],[Code]],Ruimtegroepen[[Code]:[Ruimte omschrijving]],2,FALSE)</f>
        <v>Trappenhuizen/lift</v>
      </c>
      <c r="C548" s="219" t="s">
        <v>738</v>
      </c>
      <c r="D548" s="218" t="s">
        <v>0</v>
      </c>
      <c r="E548" s="219" t="s">
        <v>99</v>
      </c>
      <c r="F548" s="219" t="s">
        <v>740</v>
      </c>
      <c r="G548" s="224" t="s">
        <v>283</v>
      </c>
      <c r="H548" s="220" t="s">
        <v>16</v>
      </c>
      <c r="I548" s="220" t="s">
        <v>283</v>
      </c>
      <c r="J548" s="220" t="s">
        <v>283</v>
      </c>
      <c r="K548" s="220" t="s">
        <v>283</v>
      </c>
      <c r="L548" s="220" t="s">
        <v>283</v>
      </c>
      <c r="M548" s="220" t="s">
        <v>283</v>
      </c>
      <c r="N548" s="220" t="s">
        <v>283</v>
      </c>
      <c r="O548" s="221" t="s">
        <v>16</v>
      </c>
      <c r="P548" s="221" t="s">
        <v>16</v>
      </c>
      <c r="Q548" s="221" t="s">
        <v>16</v>
      </c>
      <c r="R548" s="221" t="s">
        <v>16</v>
      </c>
      <c r="S548" s="221" t="s">
        <v>16</v>
      </c>
      <c r="T548" s="221" t="s">
        <v>330</v>
      </c>
      <c r="U548" s="221" t="s">
        <v>250</v>
      </c>
      <c r="V548" s="221" t="s">
        <v>283</v>
      </c>
      <c r="W548" s="222" t="s">
        <v>283</v>
      </c>
      <c r="X548" s="222" t="s">
        <v>283</v>
      </c>
      <c r="Y548" s="223" t="s">
        <v>283</v>
      </c>
    </row>
    <row r="549" spans="1:25">
      <c r="A549" s="217">
        <v>10</v>
      </c>
      <c r="B549" s="218" t="str">
        <f>VLOOKUP(Tabel10[[#This Row],[Code]],Ruimtegroepen[[Code]:[Ruimte omschrijving]],2,FALSE)</f>
        <v>Trappenhuizen/lift</v>
      </c>
      <c r="C549" s="219" t="s">
        <v>738</v>
      </c>
      <c r="D549" s="218" t="s">
        <v>0</v>
      </c>
      <c r="E549" s="219" t="s">
        <v>1313</v>
      </c>
      <c r="F549" s="219" t="s">
        <v>1354</v>
      </c>
      <c r="G549" s="224" t="s">
        <v>283</v>
      </c>
      <c r="H549" s="220" t="s">
        <v>283</v>
      </c>
      <c r="I549" s="220" t="s">
        <v>283</v>
      </c>
      <c r="J549" s="220" t="s">
        <v>16</v>
      </c>
      <c r="K549" s="220" t="s">
        <v>284</v>
      </c>
      <c r="L549" s="220" t="s">
        <v>283</v>
      </c>
      <c r="M549" s="220" t="s">
        <v>283</v>
      </c>
      <c r="N549" s="220" t="s">
        <v>283</v>
      </c>
      <c r="O549" s="221" t="s">
        <v>16</v>
      </c>
      <c r="P549" s="221" t="s">
        <v>16</v>
      </c>
      <c r="Q549" s="221" t="s">
        <v>16</v>
      </c>
      <c r="R549" s="221" t="s">
        <v>16</v>
      </c>
      <c r="S549" s="221" t="s">
        <v>16</v>
      </c>
      <c r="T549" s="221" t="s">
        <v>330</v>
      </c>
      <c r="U549" s="221" t="s">
        <v>250</v>
      </c>
      <c r="V549" s="221" t="s">
        <v>283</v>
      </c>
      <c r="W549" s="222" t="s">
        <v>283</v>
      </c>
      <c r="X549" s="222" t="s">
        <v>283</v>
      </c>
      <c r="Y549" s="223" t="s">
        <v>283</v>
      </c>
    </row>
    <row r="550" spans="1:25">
      <c r="A550" s="217">
        <v>10</v>
      </c>
      <c r="B550" s="218" t="str">
        <f>VLOOKUP(Tabel10[[#This Row],[Code]],Ruimtegroepen[[Code]:[Ruimte omschrijving]],2,FALSE)</f>
        <v>Trappenhuizen/lift</v>
      </c>
      <c r="C550" s="219" t="s">
        <v>743</v>
      </c>
      <c r="D550" s="218" t="s">
        <v>27</v>
      </c>
      <c r="E550" s="219" t="s">
        <v>100</v>
      </c>
      <c r="F550" s="219" t="s">
        <v>744</v>
      </c>
      <c r="G550" s="224" t="s">
        <v>283</v>
      </c>
      <c r="H550" s="220" t="s">
        <v>283</v>
      </c>
      <c r="I550" s="220" t="s">
        <v>15</v>
      </c>
      <c r="J550" s="220" t="s">
        <v>283</v>
      </c>
      <c r="K550" s="220" t="s">
        <v>283</v>
      </c>
      <c r="L550" s="220" t="s">
        <v>283</v>
      </c>
      <c r="M550" s="220" t="s">
        <v>283</v>
      </c>
      <c r="N550" s="220" t="s">
        <v>283</v>
      </c>
      <c r="O550" s="221" t="s">
        <v>15</v>
      </c>
      <c r="P550" s="221" t="s">
        <v>15</v>
      </c>
      <c r="Q550" s="221" t="s">
        <v>15</v>
      </c>
      <c r="R550" s="221" t="s">
        <v>283</v>
      </c>
      <c r="S550" s="221" t="s">
        <v>283</v>
      </c>
      <c r="T550" s="221" t="s">
        <v>283</v>
      </c>
      <c r="U550" s="221" t="s">
        <v>283</v>
      </c>
      <c r="V550" s="221" t="s">
        <v>283</v>
      </c>
      <c r="W550" s="222" t="s">
        <v>283</v>
      </c>
      <c r="X550" s="222" t="s">
        <v>283</v>
      </c>
      <c r="Y550" s="223" t="s">
        <v>283</v>
      </c>
    </row>
    <row r="551" spans="1:25">
      <c r="A551" s="217">
        <v>10</v>
      </c>
      <c r="B551" s="218" t="str">
        <f>VLOOKUP(Tabel10[[#This Row],[Code]],Ruimtegroepen[[Code]:[Ruimte omschrijving]],2,FALSE)</f>
        <v>Trappenhuizen/lift</v>
      </c>
      <c r="C551" s="219" t="s">
        <v>743</v>
      </c>
      <c r="D551" s="218" t="s">
        <v>27</v>
      </c>
      <c r="E551" s="219" t="s">
        <v>99</v>
      </c>
      <c r="F551" s="219" t="s">
        <v>745</v>
      </c>
      <c r="G551" s="224" t="s">
        <v>283</v>
      </c>
      <c r="H551" s="220" t="s">
        <v>15</v>
      </c>
      <c r="I551" s="220" t="s">
        <v>283</v>
      </c>
      <c r="J551" s="220" t="s">
        <v>283</v>
      </c>
      <c r="K551" s="220" t="s">
        <v>283</v>
      </c>
      <c r="L551" s="220" t="s">
        <v>283</v>
      </c>
      <c r="M551" s="220" t="s">
        <v>283</v>
      </c>
      <c r="N551" s="220" t="s">
        <v>283</v>
      </c>
      <c r="O551" s="221" t="s">
        <v>15</v>
      </c>
      <c r="P551" s="221" t="s">
        <v>15</v>
      </c>
      <c r="Q551" s="221" t="s">
        <v>15</v>
      </c>
      <c r="R551" s="221" t="s">
        <v>283</v>
      </c>
      <c r="S551" s="221" t="s">
        <v>283</v>
      </c>
      <c r="T551" s="221" t="s">
        <v>283</v>
      </c>
      <c r="U551" s="221" t="s">
        <v>283</v>
      </c>
      <c r="V551" s="221" t="s">
        <v>283</v>
      </c>
      <c r="W551" s="222" t="s">
        <v>283</v>
      </c>
      <c r="X551" s="222" t="s">
        <v>283</v>
      </c>
      <c r="Y551" s="223" t="s">
        <v>283</v>
      </c>
    </row>
    <row r="552" spans="1:25">
      <c r="A552" s="217">
        <v>10</v>
      </c>
      <c r="B552" s="218" t="str">
        <f>VLOOKUP(Tabel10[[#This Row],[Code]],Ruimtegroepen[[Code]:[Ruimte omschrijving]],2,FALSE)</f>
        <v>Trappenhuizen/lift</v>
      </c>
      <c r="C552" s="219" t="s">
        <v>743</v>
      </c>
      <c r="D552" s="218" t="s">
        <v>27</v>
      </c>
      <c r="E552" s="219" t="s">
        <v>101</v>
      </c>
      <c r="F552" s="219" t="s">
        <v>746</v>
      </c>
      <c r="G552" s="224" t="s">
        <v>283</v>
      </c>
      <c r="H552" s="220" t="s">
        <v>283</v>
      </c>
      <c r="I552" s="220" t="s">
        <v>15</v>
      </c>
      <c r="J552" s="220" t="s">
        <v>283</v>
      </c>
      <c r="K552" s="220" t="s">
        <v>283</v>
      </c>
      <c r="L552" s="220" t="s">
        <v>283</v>
      </c>
      <c r="M552" s="220" t="s">
        <v>283</v>
      </c>
      <c r="N552" s="220" t="s">
        <v>283</v>
      </c>
      <c r="O552" s="221" t="s">
        <v>15</v>
      </c>
      <c r="P552" s="221" t="s">
        <v>15</v>
      </c>
      <c r="Q552" s="221" t="s">
        <v>15</v>
      </c>
      <c r="R552" s="221" t="s">
        <v>283</v>
      </c>
      <c r="S552" s="221" t="s">
        <v>283</v>
      </c>
      <c r="T552" s="221" t="s">
        <v>283</v>
      </c>
      <c r="U552" s="221" t="s">
        <v>283</v>
      </c>
      <c r="V552" s="221" t="s">
        <v>283</v>
      </c>
      <c r="W552" s="222" t="s">
        <v>283</v>
      </c>
      <c r="X552" s="222" t="s">
        <v>283</v>
      </c>
      <c r="Y552" s="223" t="s">
        <v>283</v>
      </c>
    </row>
    <row r="553" spans="1:25">
      <c r="A553" s="217">
        <v>10</v>
      </c>
      <c r="B553" s="218" t="str">
        <f>VLOOKUP(Tabel10[[#This Row],[Code]],Ruimtegroepen[[Code]:[Ruimte omschrijving]],2,FALSE)</f>
        <v>Trappenhuizen/lift</v>
      </c>
      <c r="C553" s="219" t="s">
        <v>743</v>
      </c>
      <c r="D553" s="218" t="s">
        <v>27</v>
      </c>
      <c r="E553" s="219" t="s">
        <v>102</v>
      </c>
      <c r="F553" s="219" t="s">
        <v>747</v>
      </c>
      <c r="G553" s="224" t="s">
        <v>283</v>
      </c>
      <c r="H553" s="220" t="s">
        <v>283</v>
      </c>
      <c r="I553" s="220" t="s">
        <v>15</v>
      </c>
      <c r="J553" s="220" t="s">
        <v>283</v>
      </c>
      <c r="K553" s="220" t="s">
        <v>283</v>
      </c>
      <c r="L553" s="220" t="s">
        <v>283</v>
      </c>
      <c r="M553" s="220" t="s">
        <v>283</v>
      </c>
      <c r="N553" s="220" t="s">
        <v>283</v>
      </c>
      <c r="O553" s="221" t="s">
        <v>15</v>
      </c>
      <c r="P553" s="221" t="s">
        <v>15</v>
      </c>
      <c r="Q553" s="221" t="s">
        <v>15</v>
      </c>
      <c r="R553" s="221" t="s">
        <v>283</v>
      </c>
      <c r="S553" s="221" t="s">
        <v>283</v>
      </c>
      <c r="T553" s="221" t="s">
        <v>283</v>
      </c>
      <c r="U553" s="221" t="s">
        <v>283</v>
      </c>
      <c r="V553" s="221" t="s">
        <v>283</v>
      </c>
      <c r="W553" s="222" t="s">
        <v>283</v>
      </c>
      <c r="X553" s="222" t="s">
        <v>283</v>
      </c>
      <c r="Y553" s="223" t="s">
        <v>283</v>
      </c>
    </row>
    <row r="554" spans="1:25">
      <c r="A554" s="217">
        <v>10</v>
      </c>
      <c r="B554" s="218" t="str">
        <f>VLOOKUP(Tabel10[[#This Row],[Code]],Ruimtegroepen[[Code]:[Ruimte omschrijving]],2,FALSE)</f>
        <v>Trappenhuizen/lift</v>
      </c>
      <c r="C554" s="219" t="s">
        <v>743</v>
      </c>
      <c r="D554" s="218" t="s">
        <v>27</v>
      </c>
      <c r="E554" s="219" t="s">
        <v>99</v>
      </c>
      <c r="F554" s="219" t="s">
        <v>745</v>
      </c>
      <c r="G554" s="224" t="s">
        <v>283</v>
      </c>
      <c r="H554" s="220" t="s">
        <v>15</v>
      </c>
      <c r="I554" s="220" t="s">
        <v>283</v>
      </c>
      <c r="J554" s="220" t="s">
        <v>283</v>
      </c>
      <c r="K554" s="220" t="s">
        <v>283</v>
      </c>
      <c r="L554" s="220" t="s">
        <v>283</v>
      </c>
      <c r="M554" s="220" t="s">
        <v>283</v>
      </c>
      <c r="N554" s="220" t="s">
        <v>283</v>
      </c>
      <c r="O554" s="221" t="s">
        <v>15</v>
      </c>
      <c r="P554" s="221" t="s">
        <v>15</v>
      </c>
      <c r="Q554" s="221" t="s">
        <v>15</v>
      </c>
      <c r="R554" s="221" t="s">
        <v>283</v>
      </c>
      <c r="S554" s="221" t="s">
        <v>283</v>
      </c>
      <c r="T554" s="221" t="s">
        <v>283</v>
      </c>
      <c r="U554" s="221" t="s">
        <v>283</v>
      </c>
      <c r="V554" s="221" t="s">
        <v>283</v>
      </c>
      <c r="W554" s="222" t="s">
        <v>283</v>
      </c>
      <c r="X554" s="222" t="s">
        <v>283</v>
      </c>
      <c r="Y554" s="223" t="s">
        <v>283</v>
      </c>
    </row>
    <row r="555" spans="1:25">
      <c r="A555" s="217">
        <v>10</v>
      </c>
      <c r="B555" s="218" t="str">
        <f>VLOOKUP(Tabel10[[#This Row],[Code]],Ruimtegroepen[[Code]:[Ruimte omschrijving]],2,FALSE)</f>
        <v>Trappenhuizen/lift</v>
      </c>
      <c r="C555" s="219" t="s">
        <v>743</v>
      </c>
      <c r="D555" s="218" t="s">
        <v>27</v>
      </c>
      <c r="E555" s="219" t="s">
        <v>1313</v>
      </c>
      <c r="F555" s="219" t="s">
        <v>1387</v>
      </c>
      <c r="G555" s="224" t="s">
        <v>283</v>
      </c>
      <c r="H555" s="220" t="s">
        <v>283</v>
      </c>
      <c r="I555" s="220" t="s">
        <v>15</v>
      </c>
      <c r="J555" s="220" t="s">
        <v>283</v>
      </c>
      <c r="K555" s="220" t="s">
        <v>283</v>
      </c>
      <c r="L555" s="220" t="s">
        <v>283</v>
      </c>
      <c r="M555" s="220" t="s">
        <v>283</v>
      </c>
      <c r="N555" s="220" t="s">
        <v>283</v>
      </c>
      <c r="O555" s="221" t="s">
        <v>15</v>
      </c>
      <c r="P555" s="221" t="s">
        <v>15</v>
      </c>
      <c r="Q555" s="221" t="s">
        <v>15</v>
      </c>
      <c r="R555" s="221" t="s">
        <v>283</v>
      </c>
      <c r="S555" s="221" t="s">
        <v>283</v>
      </c>
      <c r="T555" s="221" t="s">
        <v>283</v>
      </c>
      <c r="U555" s="221" t="s">
        <v>283</v>
      </c>
      <c r="V555" s="221" t="s">
        <v>283</v>
      </c>
      <c r="W555" s="222" t="s">
        <v>283</v>
      </c>
      <c r="X555" s="222" t="s">
        <v>283</v>
      </c>
      <c r="Y555" s="223" t="s">
        <v>283</v>
      </c>
    </row>
    <row r="556" spans="1:25">
      <c r="A556" s="217">
        <v>10</v>
      </c>
      <c r="B556" s="218" t="str">
        <f>VLOOKUP(Tabel10[[#This Row],[Code]],Ruimtegroepen[[Code]:[Ruimte omschrijving]],2,FALSE)</f>
        <v>Trappenhuizen/lift</v>
      </c>
      <c r="C556" s="219" t="s">
        <v>748</v>
      </c>
      <c r="D556" s="218" t="s">
        <v>28</v>
      </c>
      <c r="E556" s="219" t="s">
        <v>100</v>
      </c>
      <c r="F556" s="219" t="s">
        <v>749</v>
      </c>
      <c r="G556" s="224" t="s">
        <v>283</v>
      </c>
      <c r="H556" s="220" t="s">
        <v>283</v>
      </c>
      <c r="I556" s="220" t="s">
        <v>17</v>
      </c>
      <c r="J556" s="220" t="s">
        <v>283</v>
      </c>
      <c r="K556" s="220" t="s">
        <v>283</v>
      </c>
      <c r="L556" s="220" t="s">
        <v>283</v>
      </c>
      <c r="M556" s="220" t="s">
        <v>283</v>
      </c>
      <c r="N556" s="220" t="s">
        <v>283</v>
      </c>
      <c r="O556" s="221" t="s">
        <v>17</v>
      </c>
      <c r="P556" s="221" t="s">
        <v>17</v>
      </c>
      <c r="Q556" s="221" t="s">
        <v>15</v>
      </c>
      <c r="R556" s="221" t="s">
        <v>283</v>
      </c>
      <c r="S556" s="221" t="s">
        <v>283</v>
      </c>
      <c r="T556" s="221" t="s">
        <v>283</v>
      </c>
      <c r="U556" s="221" t="s">
        <v>283</v>
      </c>
      <c r="V556" s="221" t="s">
        <v>283</v>
      </c>
      <c r="W556" s="222" t="s">
        <v>283</v>
      </c>
      <c r="X556" s="222" t="s">
        <v>283</v>
      </c>
      <c r="Y556" s="223" t="s">
        <v>283</v>
      </c>
    </row>
    <row r="557" spans="1:25">
      <c r="A557" s="217">
        <v>10</v>
      </c>
      <c r="B557" s="218" t="str">
        <f>VLOOKUP(Tabel10[[#This Row],[Code]],Ruimtegroepen[[Code]:[Ruimte omschrijving]],2,FALSE)</f>
        <v>Trappenhuizen/lift</v>
      </c>
      <c r="C557" s="219" t="s">
        <v>748</v>
      </c>
      <c r="D557" s="218" t="s">
        <v>28</v>
      </c>
      <c r="E557" s="219" t="s">
        <v>99</v>
      </c>
      <c r="F557" s="219" t="s">
        <v>750</v>
      </c>
      <c r="G557" s="224" t="s">
        <v>283</v>
      </c>
      <c r="H557" s="220" t="s">
        <v>17</v>
      </c>
      <c r="I557" s="220" t="s">
        <v>283</v>
      </c>
      <c r="J557" s="220" t="s">
        <v>283</v>
      </c>
      <c r="K557" s="220" t="s">
        <v>283</v>
      </c>
      <c r="L557" s="220" t="s">
        <v>283</v>
      </c>
      <c r="M557" s="220" t="s">
        <v>283</v>
      </c>
      <c r="N557" s="220" t="s">
        <v>283</v>
      </c>
      <c r="O557" s="221" t="s">
        <v>17</v>
      </c>
      <c r="P557" s="221" t="s">
        <v>17</v>
      </c>
      <c r="Q557" s="221" t="s">
        <v>15</v>
      </c>
      <c r="R557" s="221" t="s">
        <v>283</v>
      </c>
      <c r="S557" s="221" t="s">
        <v>283</v>
      </c>
      <c r="T557" s="221" t="s">
        <v>283</v>
      </c>
      <c r="U557" s="221" t="s">
        <v>283</v>
      </c>
      <c r="V557" s="221" t="s">
        <v>283</v>
      </c>
      <c r="W557" s="222" t="s">
        <v>283</v>
      </c>
      <c r="X557" s="222" t="s">
        <v>283</v>
      </c>
      <c r="Y557" s="223" t="s">
        <v>283</v>
      </c>
    </row>
    <row r="558" spans="1:25">
      <c r="A558" s="217">
        <v>10</v>
      </c>
      <c r="B558" s="218" t="str">
        <f>VLOOKUP(Tabel10[[#This Row],[Code]],Ruimtegroepen[[Code]:[Ruimte omschrijving]],2,FALSE)</f>
        <v>Trappenhuizen/lift</v>
      </c>
      <c r="C558" s="219" t="s">
        <v>748</v>
      </c>
      <c r="D558" s="218" t="s">
        <v>28</v>
      </c>
      <c r="E558" s="219" t="s">
        <v>101</v>
      </c>
      <c r="F558" s="219" t="s">
        <v>751</v>
      </c>
      <c r="G558" s="224" t="s">
        <v>283</v>
      </c>
      <c r="H558" s="220" t="s">
        <v>283</v>
      </c>
      <c r="I558" s="220" t="s">
        <v>17</v>
      </c>
      <c r="J558" s="220" t="s">
        <v>283</v>
      </c>
      <c r="K558" s="220" t="s">
        <v>283</v>
      </c>
      <c r="L558" s="220" t="s">
        <v>283</v>
      </c>
      <c r="M558" s="220" t="s">
        <v>283</v>
      </c>
      <c r="N558" s="220" t="s">
        <v>283</v>
      </c>
      <c r="O558" s="221" t="s">
        <v>17</v>
      </c>
      <c r="P558" s="221" t="s">
        <v>17</v>
      </c>
      <c r="Q558" s="221" t="s">
        <v>15</v>
      </c>
      <c r="R558" s="221" t="s">
        <v>283</v>
      </c>
      <c r="S558" s="221" t="s">
        <v>283</v>
      </c>
      <c r="T558" s="221" t="s">
        <v>283</v>
      </c>
      <c r="U558" s="221" t="s">
        <v>283</v>
      </c>
      <c r="V558" s="221" t="s">
        <v>283</v>
      </c>
      <c r="W558" s="222" t="s">
        <v>283</v>
      </c>
      <c r="X558" s="222" t="s">
        <v>283</v>
      </c>
      <c r="Y558" s="223" t="s">
        <v>283</v>
      </c>
    </row>
    <row r="559" spans="1:25">
      <c r="A559" s="217">
        <v>10</v>
      </c>
      <c r="B559" s="218" t="str">
        <f>VLOOKUP(Tabel10[[#This Row],[Code]],Ruimtegroepen[[Code]:[Ruimte omschrijving]],2,FALSE)</f>
        <v>Trappenhuizen/lift</v>
      </c>
      <c r="C559" s="219" t="s">
        <v>748</v>
      </c>
      <c r="D559" s="218" t="s">
        <v>28</v>
      </c>
      <c r="E559" s="219" t="s">
        <v>102</v>
      </c>
      <c r="F559" s="219" t="s">
        <v>752</v>
      </c>
      <c r="G559" s="224" t="s">
        <v>283</v>
      </c>
      <c r="H559" s="220" t="s">
        <v>283</v>
      </c>
      <c r="I559" s="220" t="s">
        <v>17</v>
      </c>
      <c r="J559" s="220" t="s">
        <v>283</v>
      </c>
      <c r="K559" s="220" t="s">
        <v>283</v>
      </c>
      <c r="L559" s="220" t="s">
        <v>283</v>
      </c>
      <c r="M559" s="220" t="s">
        <v>283</v>
      </c>
      <c r="N559" s="220" t="s">
        <v>283</v>
      </c>
      <c r="O559" s="221" t="s">
        <v>17</v>
      </c>
      <c r="P559" s="221" t="s">
        <v>17</v>
      </c>
      <c r="Q559" s="221" t="s">
        <v>15</v>
      </c>
      <c r="R559" s="221" t="s">
        <v>283</v>
      </c>
      <c r="S559" s="221" t="s">
        <v>283</v>
      </c>
      <c r="T559" s="221" t="s">
        <v>283</v>
      </c>
      <c r="U559" s="221" t="s">
        <v>283</v>
      </c>
      <c r="V559" s="221" t="s">
        <v>283</v>
      </c>
      <c r="W559" s="222" t="s">
        <v>283</v>
      </c>
      <c r="X559" s="222" t="s">
        <v>283</v>
      </c>
      <c r="Y559" s="223" t="s">
        <v>283</v>
      </c>
    </row>
    <row r="560" spans="1:25">
      <c r="A560" s="217">
        <v>10</v>
      </c>
      <c r="B560" s="218" t="str">
        <f>VLOOKUP(Tabel10[[#This Row],[Code]],Ruimtegroepen[[Code]:[Ruimte omschrijving]],2,FALSE)</f>
        <v>Trappenhuizen/lift</v>
      </c>
      <c r="C560" s="219" t="s">
        <v>748</v>
      </c>
      <c r="D560" s="218" t="s">
        <v>28</v>
      </c>
      <c r="E560" s="219" t="s">
        <v>99</v>
      </c>
      <c r="F560" s="219" t="s">
        <v>750</v>
      </c>
      <c r="G560" s="224" t="s">
        <v>283</v>
      </c>
      <c r="H560" s="220" t="s">
        <v>17</v>
      </c>
      <c r="I560" s="220" t="s">
        <v>283</v>
      </c>
      <c r="J560" s="220" t="s">
        <v>283</v>
      </c>
      <c r="K560" s="220" t="s">
        <v>283</v>
      </c>
      <c r="L560" s="220" t="s">
        <v>283</v>
      </c>
      <c r="M560" s="220" t="s">
        <v>283</v>
      </c>
      <c r="N560" s="220" t="s">
        <v>283</v>
      </c>
      <c r="O560" s="221" t="s">
        <v>17</v>
      </c>
      <c r="P560" s="221" t="s">
        <v>17</v>
      </c>
      <c r="Q560" s="221" t="s">
        <v>15</v>
      </c>
      <c r="R560" s="221" t="s">
        <v>283</v>
      </c>
      <c r="S560" s="221" t="s">
        <v>283</v>
      </c>
      <c r="T560" s="221" t="s">
        <v>283</v>
      </c>
      <c r="U560" s="221" t="s">
        <v>283</v>
      </c>
      <c r="V560" s="221" t="s">
        <v>283</v>
      </c>
      <c r="W560" s="222" t="s">
        <v>283</v>
      </c>
      <c r="X560" s="222" t="s">
        <v>283</v>
      </c>
      <c r="Y560" s="223" t="s">
        <v>283</v>
      </c>
    </row>
    <row r="561" spans="1:25">
      <c r="A561" s="217">
        <v>10</v>
      </c>
      <c r="B561" s="218" t="str">
        <f>VLOOKUP(Tabel10[[#This Row],[Code]],Ruimtegroepen[[Code]:[Ruimte omschrijving]],2,FALSE)</f>
        <v>Trappenhuizen/lift</v>
      </c>
      <c r="C561" s="219" t="s">
        <v>748</v>
      </c>
      <c r="D561" s="218" t="s">
        <v>28</v>
      </c>
      <c r="E561" s="219" t="s">
        <v>1313</v>
      </c>
      <c r="F561" s="219" t="s">
        <v>1420</v>
      </c>
      <c r="G561" s="224" t="s">
        <v>283</v>
      </c>
      <c r="H561" s="220" t="s">
        <v>283</v>
      </c>
      <c r="I561" s="220" t="s">
        <v>17</v>
      </c>
      <c r="J561" s="220" t="s">
        <v>283</v>
      </c>
      <c r="K561" s="220" t="s">
        <v>283</v>
      </c>
      <c r="L561" s="220" t="s">
        <v>283</v>
      </c>
      <c r="M561" s="220" t="s">
        <v>283</v>
      </c>
      <c r="N561" s="220" t="s">
        <v>283</v>
      </c>
      <c r="O561" s="221" t="s">
        <v>17</v>
      </c>
      <c r="P561" s="221" t="s">
        <v>17</v>
      </c>
      <c r="Q561" s="221" t="s">
        <v>15</v>
      </c>
      <c r="R561" s="221" t="s">
        <v>283</v>
      </c>
      <c r="S561" s="221" t="s">
        <v>283</v>
      </c>
      <c r="T561" s="221" t="s">
        <v>283</v>
      </c>
      <c r="U561" s="221" t="s">
        <v>283</v>
      </c>
      <c r="V561" s="221" t="s">
        <v>283</v>
      </c>
      <c r="W561" s="222" t="s">
        <v>283</v>
      </c>
      <c r="X561" s="222" t="s">
        <v>283</v>
      </c>
      <c r="Y561" s="223" t="s">
        <v>283</v>
      </c>
    </row>
    <row r="562" spans="1:25">
      <c r="A562" s="217">
        <v>11</v>
      </c>
      <c r="B562" s="218" t="str">
        <f>VLOOKUP(Tabel10[[#This Row],[Code]],Ruimtegroepen[[Code]:[Ruimte omschrijving]],2,FALSE)</f>
        <v>Garderobes</v>
      </c>
      <c r="C562" s="219" t="s">
        <v>753</v>
      </c>
      <c r="D562" s="218" t="s">
        <v>29</v>
      </c>
      <c r="E562" s="219" t="s">
        <v>100</v>
      </c>
      <c r="F562" s="219" t="s">
        <v>754</v>
      </c>
      <c r="G562" s="224" t="s">
        <v>283</v>
      </c>
      <c r="H562" s="220" t="s">
        <v>283</v>
      </c>
      <c r="I562" s="220" t="s">
        <v>20</v>
      </c>
      <c r="J562" s="220" t="s">
        <v>15</v>
      </c>
      <c r="K562" s="220" t="s">
        <v>283</v>
      </c>
      <c r="L562" s="220" t="s">
        <v>283</v>
      </c>
      <c r="M562" s="220" t="s">
        <v>283</v>
      </c>
      <c r="N562" s="220" t="s">
        <v>2</v>
      </c>
      <c r="O562" s="221" t="s">
        <v>2</v>
      </c>
      <c r="P562" s="221" t="s">
        <v>2</v>
      </c>
      <c r="Q562" s="221" t="s">
        <v>15</v>
      </c>
      <c r="R562" s="221" t="s">
        <v>15</v>
      </c>
      <c r="S562" s="221" t="s">
        <v>16</v>
      </c>
      <c r="T562" s="221" t="s">
        <v>330</v>
      </c>
      <c r="U562" s="221" t="s">
        <v>250</v>
      </c>
      <c r="V562" s="221" t="s">
        <v>2</v>
      </c>
      <c r="W562" s="222" t="s">
        <v>283</v>
      </c>
      <c r="X562" s="222" t="s">
        <v>283</v>
      </c>
      <c r="Y562" s="223" t="s">
        <v>283</v>
      </c>
    </row>
    <row r="563" spans="1:25">
      <c r="A563" s="217">
        <v>11</v>
      </c>
      <c r="B563" s="218" t="str">
        <f>VLOOKUP(Tabel10[[#This Row],[Code]],Ruimtegroepen[[Code]:[Ruimte omschrijving]],2,FALSE)</f>
        <v>Garderobes</v>
      </c>
      <c r="C563" s="219" t="s">
        <v>753</v>
      </c>
      <c r="D563" s="218" t="s">
        <v>29</v>
      </c>
      <c r="E563" s="219" t="s">
        <v>99</v>
      </c>
      <c r="F563" s="219" t="s">
        <v>755</v>
      </c>
      <c r="G563" s="224" t="s">
        <v>283</v>
      </c>
      <c r="H563" s="220" t="s">
        <v>2</v>
      </c>
      <c r="I563" s="220" t="s">
        <v>283</v>
      </c>
      <c r="J563" s="220" t="s">
        <v>283</v>
      </c>
      <c r="K563" s="220" t="s">
        <v>283</v>
      </c>
      <c r="L563" s="220" t="s">
        <v>283</v>
      </c>
      <c r="M563" s="220" t="s">
        <v>283</v>
      </c>
      <c r="N563" s="220" t="s">
        <v>2</v>
      </c>
      <c r="O563" s="221" t="s">
        <v>2</v>
      </c>
      <c r="P563" s="221" t="s">
        <v>2</v>
      </c>
      <c r="Q563" s="221" t="s">
        <v>15</v>
      </c>
      <c r="R563" s="221" t="s">
        <v>15</v>
      </c>
      <c r="S563" s="221" t="s">
        <v>16</v>
      </c>
      <c r="T563" s="221" t="s">
        <v>330</v>
      </c>
      <c r="U563" s="221" t="s">
        <v>250</v>
      </c>
      <c r="V563" s="221" t="s">
        <v>2</v>
      </c>
      <c r="W563" s="222" t="s">
        <v>283</v>
      </c>
      <c r="X563" s="222" t="s">
        <v>283</v>
      </c>
      <c r="Y563" s="223" t="s">
        <v>283</v>
      </c>
    </row>
    <row r="564" spans="1:25">
      <c r="A564" s="217">
        <v>11</v>
      </c>
      <c r="B564" s="218" t="str">
        <f>VLOOKUP(Tabel10[[#This Row],[Code]],Ruimtegroepen[[Code]:[Ruimte omschrijving]],2,FALSE)</f>
        <v>Garderobes</v>
      </c>
      <c r="C564" s="219" t="s">
        <v>753</v>
      </c>
      <c r="D564" s="218" t="s">
        <v>29</v>
      </c>
      <c r="E564" s="219" t="s">
        <v>101</v>
      </c>
      <c r="F564" s="219" t="s">
        <v>756</v>
      </c>
      <c r="G564" s="224" t="s">
        <v>283</v>
      </c>
      <c r="H564" s="220" t="s">
        <v>283</v>
      </c>
      <c r="I564" s="220" t="s">
        <v>20</v>
      </c>
      <c r="J564" s="220" t="s">
        <v>15</v>
      </c>
      <c r="K564" s="220" t="s">
        <v>284</v>
      </c>
      <c r="L564" s="220" t="s">
        <v>283</v>
      </c>
      <c r="M564" s="220" t="s">
        <v>283</v>
      </c>
      <c r="N564" s="220" t="s">
        <v>2</v>
      </c>
      <c r="O564" s="221" t="s">
        <v>2</v>
      </c>
      <c r="P564" s="221" t="s">
        <v>2</v>
      </c>
      <c r="Q564" s="221" t="s">
        <v>15</v>
      </c>
      <c r="R564" s="221" t="s">
        <v>15</v>
      </c>
      <c r="S564" s="221" t="s">
        <v>16</v>
      </c>
      <c r="T564" s="221" t="s">
        <v>330</v>
      </c>
      <c r="U564" s="221" t="s">
        <v>250</v>
      </c>
      <c r="V564" s="221" t="s">
        <v>2</v>
      </c>
      <c r="W564" s="222" t="s">
        <v>283</v>
      </c>
      <c r="X564" s="222" t="s">
        <v>283</v>
      </c>
      <c r="Y564" s="223" t="s">
        <v>283</v>
      </c>
    </row>
    <row r="565" spans="1:25">
      <c r="A565" s="217">
        <v>11</v>
      </c>
      <c r="B565" s="218" t="str">
        <f>VLOOKUP(Tabel10[[#This Row],[Code]],Ruimtegroepen[[Code]:[Ruimte omschrijving]],2,FALSE)</f>
        <v>Garderobes</v>
      </c>
      <c r="C565" s="219" t="s">
        <v>753</v>
      </c>
      <c r="D565" s="218" t="s">
        <v>29</v>
      </c>
      <c r="E565" s="219" t="s">
        <v>102</v>
      </c>
      <c r="F565" s="219" t="s">
        <v>757</v>
      </c>
      <c r="G565" s="224" t="s">
        <v>283</v>
      </c>
      <c r="H565" s="220" t="s">
        <v>283</v>
      </c>
      <c r="I565" s="220" t="s">
        <v>20</v>
      </c>
      <c r="J565" s="220" t="s">
        <v>15</v>
      </c>
      <c r="K565" s="220" t="s">
        <v>284</v>
      </c>
      <c r="L565" s="220" t="s">
        <v>283</v>
      </c>
      <c r="M565" s="220" t="s">
        <v>283</v>
      </c>
      <c r="N565" s="220" t="s">
        <v>2</v>
      </c>
      <c r="O565" s="221" t="s">
        <v>2</v>
      </c>
      <c r="P565" s="221" t="s">
        <v>2</v>
      </c>
      <c r="Q565" s="221" t="s">
        <v>15</v>
      </c>
      <c r="R565" s="221" t="s">
        <v>15</v>
      </c>
      <c r="S565" s="221" t="s">
        <v>16</v>
      </c>
      <c r="T565" s="221" t="s">
        <v>330</v>
      </c>
      <c r="U565" s="221" t="s">
        <v>250</v>
      </c>
      <c r="V565" s="221" t="s">
        <v>2</v>
      </c>
      <c r="W565" s="222" t="s">
        <v>283</v>
      </c>
      <c r="X565" s="222" t="s">
        <v>283</v>
      </c>
      <c r="Y565" s="223" t="s">
        <v>283</v>
      </c>
    </row>
    <row r="566" spans="1:25">
      <c r="A566" s="217">
        <v>11</v>
      </c>
      <c r="B566" s="218" t="str">
        <f>VLOOKUP(Tabel10[[#This Row],[Code]],Ruimtegroepen[[Code]:[Ruimte omschrijving]],2,FALSE)</f>
        <v>Garderobes</v>
      </c>
      <c r="C566" s="219" t="s">
        <v>753</v>
      </c>
      <c r="D566" s="218" t="s">
        <v>29</v>
      </c>
      <c r="E566" s="219" t="s">
        <v>99</v>
      </c>
      <c r="F566" s="219" t="s">
        <v>755</v>
      </c>
      <c r="G566" s="224" t="s">
        <v>283</v>
      </c>
      <c r="H566" s="220" t="s">
        <v>2</v>
      </c>
      <c r="I566" s="220" t="s">
        <v>283</v>
      </c>
      <c r="J566" s="220" t="s">
        <v>283</v>
      </c>
      <c r="K566" s="220" t="s">
        <v>283</v>
      </c>
      <c r="L566" s="220" t="s">
        <v>283</v>
      </c>
      <c r="M566" s="220" t="s">
        <v>283</v>
      </c>
      <c r="N566" s="220" t="s">
        <v>2</v>
      </c>
      <c r="O566" s="221" t="s">
        <v>2</v>
      </c>
      <c r="P566" s="221" t="s">
        <v>2</v>
      </c>
      <c r="Q566" s="221" t="s">
        <v>15</v>
      </c>
      <c r="R566" s="221" t="s">
        <v>15</v>
      </c>
      <c r="S566" s="221" t="s">
        <v>16</v>
      </c>
      <c r="T566" s="221" t="s">
        <v>330</v>
      </c>
      <c r="U566" s="221" t="s">
        <v>250</v>
      </c>
      <c r="V566" s="221" t="s">
        <v>2</v>
      </c>
      <c r="W566" s="222" t="s">
        <v>283</v>
      </c>
      <c r="X566" s="222" t="s">
        <v>283</v>
      </c>
      <c r="Y566" s="223" t="s">
        <v>283</v>
      </c>
    </row>
    <row r="567" spans="1:25">
      <c r="A567" s="217">
        <v>11</v>
      </c>
      <c r="B567" s="218" t="str">
        <f>VLOOKUP(Tabel10[[#This Row],[Code]],Ruimtegroepen[[Code]:[Ruimte omschrijving]],2,FALSE)</f>
        <v>Garderobes</v>
      </c>
      <c r="C567" s="219" t="s">
        <v>753</v>
      </c>
      <c r="D567" s="218" t="s">
        <v>29</v>
      </c>
      <c r="E567" s="219" t="s">
        <v>1313</v>
      </c>
      <c r="F567" s="219" t="s">
        <v>1488</v>
      </c>
      <c r="G567" s="224" t="s">
        <v>283</v>
      </c>
      <c r="H567" s="220" t="s">
        <v>283</v>
      </c>
      <c r="I567" s="220" t="s">
        <v>20</v>
      </c>
      <c r="J567" s="220" t="s">
        <v>15</v>
      </c>
      <c r="K567" s="220" t="s">
        <v>284</v>
      </c>
      <c r="L567" s="220" t="s">
        <v>283</v>
      </c>
      <c r="M567" s="220" t="s">
        <v>283</v>
      </c>
      <c r="N567" s="220" t="s">
        <v>2</v>
      </c>
      <c r="O567" s="221" t="s">
        <v>2</v>
      </c>
      <c r="P567" s="221" t="s">
        <v>2</v>
      </c>
      <c r="Q567" s="221" t="s">
        <v>15</v>
      </c>
      <c r="R567" s="221" t="s">
        <v>15</v>
      </c>
      <c r="S567" s="221" t="s">
        <v>16</v>
      </c>
      <c r="T567" s="221" t="s">
        <v>330</v>
      </c>
      <c r="U567" s="221" t="s">
        <v>250</v>
      </c>
      <c r="V567" s="221" t="s">
        <v>2</v>
      </c>
      <c r="W567" s="222" t="s">
        <v>283</v>
      </c>
      <c r="X567" s="222" t="s">
        <v>283</v>
      </c>
      <c r="Y567" s="223" t="s">
        <v>283</v>
      </c>
    </row>
    <row r="568" spans="1:25">
      <c r="A568" s="217">
        <v>11</v>
      </c>
      <c r="B568" s="218" t="str">
        <f>VLOOKUP(Tabel10[[#This Row],[Code]],Ruimtegroepen[[Code]:[Ruimte omschrijving]],2,FALSE)</f>
        <v>Garderobes</v>
      </c>
      <c r="C568" s="219" t="s">
        <v>758</v>
      </c>
      <c r="D568" s="218" t="s">
        <v>1</v>
      </c>
      <c r="E568" s="219" t="s">
        <v>100</v>
      </c>
      <c r="F568" s="219" t="s">
        <v>759</v>
      </c>
      <c r="G568" s="224" t="s">
        <v>283</v>
      </c>
      <c r="H568" s="220" t="s">
        <v>283</v>
      </c>
      <c r="I568" s="220" t="s">
        <v>20</v>
      </c>
      <c r="J568" s="220" t="s">
        <v>15</v>
      </c>
      <c r="K568" s="220" t="s">
        <v>283</v>
      </c>
      <c r="L568" s="220" t="s">
        <v>283</v>
      </c>
      <c r="M568" s="220" t="s">
        <v>283</v>
      </c>
      <c r="N568" s="220" t="s">
        <v>283</v>
      </c>
      <c r="O568" s="221" t="s">
        <v>2</v>
      </c>
      <c r="P568" s="221" t="s">
        <v>2</v>
      </c>
      <c r="Q568" s="221" t="s">
        <v>15</v>
      </c>
      <c r="R568" s="221" t="s">
        <v>15</v>
      </c>
      <c r="S568" s="221" t="s">
        <v>16</v>
      </c>
      <c r="T568" s="221" t="s">
        <v>330</v>
      </c>
      <c r="U568" s="221" t="s">
        <v>250</v>
      </c>
      <c r="V568" s="221" t="s">
        <v>283</v>
      </c>
      <c r="W568" s="222" t="s">
        <v>283</v>
      </c>
      <c r="X568" s="222" t="s">
        <v>283</v>
      </c>
      <c r="Y568" s="223" t="s">
        <v>283</v>
      </c>
    </row>
    <row r="569" spans="1:25">
      <c r="A569" s="217">
        <v>11</v>
      </c>
      <c r="B569" s="218" t="str">
        <f>VLOOKUP(Tabel10[[#This Row],[Code]],Ruimtegroepen[[Code]:[Ruimte omschrijving]],2,FALSE)</f>
        <v>Garderobes</v>
      </c>
      <c r="C569" s="219" t="s">
        <v>758</v>
      </c>
      <c r="D569" s="218" t="s">
        <v>1</v>
      </c>
      <c r="E569" s="219" t="s">
        <v>99</v>
      </c>
      <c r="F569" s="219" t="s">
        <v>760</v>
      </c>
      <c r="G569" s="224" t="s">
        <v>283</v>
      </c>
      <c r="H569" s="220" t="s">
        <v>2</v>
      </c>
      <c r="I569" s="220" t="s">
        <v>283</v>
      </c>
      <c r="J569" s="220" t="s">
        <v>283</v>
      </c>
      <c r="K569" s="220" t="s">
        <v>283</v>
      </c>
      <c r="L569" s="220" t="s">
        <v>283</v>
      </c>
      <c r="M569" s="220" t="s">
        <v>283</v>
      </c>
      <c r="N569" s="220" t="s">
        <v>283</v>
      </c>
      <c r="O569" s="221" t="s">
        <v>2</v>
      </c>
      <c r="P569" s="221" t="s">
        <v>2</v>
      </c>
      <c r="Q569" s="221" t="s">
        <v>15</v>
      </c>
      <c r="R569" s="221" t="s">
        <v>15</v>
      </c>
      <c r="S569" s="221" t="s">
        <v>16</v>
      </c>
      <c r="T569" s="221" t="s">
        <v>330</v>
      </c>
      <c r="U569" s="221" t="s">
        <v>250</v>
      </c>
      <c r="V569" s="221" t="s">
        <v>283</v>
      </c>
      <c r="W569" s="222" t="s">
        <v>283</v>
      </c>
      <c r="X569" s="222" t="s">
        <v>283</v>
      </c>
      <c r="Y569" s="223" t="s">
        <v>283</v>
      </c>
    </row>
    <row r="570" spans="1:25">
      <c r="A570" s="217">
        <v>11</v>
      </c>
      <c r="B570" s="218" t="str">
        <f>VLOOKUP(Tabel10[[#This Row],[Code]],Ruimtegroepen[[Code]:[Ruimte omschrijving]],2,FALSE)</f>
        <v>Garderobes</v>
      </c>
      <c r="C570" s="219" t="s">
        <v>758</v>
      </c>
      <c r="D570" s="218" t="s">
        <v>1</v>
      </c>
      <c r="E570" s="219" t="s">
        <v>101</v>
      </c>
      <c r="F570" s="219" t="s">
        <v>761</v>
      </c>
      <c r="G570" s="224" t="s">
        <v>283</v>
      </c>
      <c r="H570" s="220" t="s">
        <v>283</v>
      </c>
      <c r="I570" s="220" t="s">
        <v>20</v>
      </c>
      <c r="J570" s="220" t="s">
        <v>15</v>
      </c>
      <c r="K570" s="220" t="s">
        <v>284</v>
      </c>
      <c r="L570" s="220" t="s">
        <v>283</v>
      </c>
      <c r="M570" s="220" t="s">
        <v>283</v>
      </c>
      <c r="N570" s="220" t="s">
        <v>283</v>
      </c>
      <c r="O570" s="221" t="s">
        <v>2</v>
      </c>
      <c r="P570" s="221" t="s">
        <v>2</v>
      </c>
      <c r="Q570" s="221" t="s">
        <v>15</v>
      </c>
      <c r="R570" s="221" t="s">
        <v>15</v>
      </c>
      <c r="S570" s="221" t="s">
        <v>16</v>
      </c>
      <c r="T570" s="221" t="s">
        <v>330</v>
      </c>
      <c r="U570" s="221" t="s">
        <v>250</v>
      </c>
      <c r="V570" s="221" t="s">
        <v>283</v>
      </c>
      <c r="W570" s="222" t="s">
        <v>283</v>
      </c>
      <c r="X570" s="222" t="s">
        <v>283</v>
      </c>
      <c r="Y570" s="223" t="s">
        <v>283</v>
      </c>
    </row>
    <row r="571" spans="1:25">
      <c r="A571" s="217">
        <v>11</v>
      </c>
      <c r="B571" s="218" t="str">
        <f>VLOOKUP(Tabel10[[#This Row],[Code]],Ruimtegroepen[[Code]:[Ruimte omschrijving]],2,FALSE)</f>
        <v>Garderobes</v>
      </c>
      <c r="C571" s="219" t="s">
        <v>758</v>
      </c>
      <c r="D571" s="218" t="s">
        <v>1</v>
      </c>
      <c r="E571" s="219" t="s">
        <v>102</v>
      </c>
      <c r="F571" s="219" t="s">
        <v>762</v>
      </c>
      <c r="G571" s="224" t="s">
        <v>283</v>
      </c>
      <c r="H571" s="220" t="s">
        <v>283</v>
      </c>
      <c r="I571" s="220" t="s">
        <v>2</v>
      </c>
      <c r="J571" s="220" t="s">
        <v>283</v>
      </c>
      <c r="K571" s="220" t="s">
        <v>284</v>
      </c>
      <c r="L571" s="220" t="s">
        <v>283</v>
      </c>
      <c r="M571" s="220" t="s">
        <v>283</v>
      </c>
      <c r="N571" s="220" t="s">
        <v>283</v>
      </c>
      <c r="O571" s="221" t="s">
        <v>2</v>
      </c>
      <c r="P571" s="221" t="s">
        <v>2</v>
      </c>
      <c r="Q571" s="221" t="s">
        <v>15</v>
      </c>
      <c r="R571" s="221" t="s">
        <v>15</v>
      </c>
      <c r="S571" s="221" t="s">
        <v>16</v>
      </c>
      <c r="T571" s="221" t="s">
        <v>330</v>
      </c>
      <c r="U571" s="221" t="s">
        <v>250</v>
      </c>
      <c r="V571" s="221" t="s">
        <v>283</v>
      </c>
      <c r="W571" s="222" t="s">
        <v>283</v>
      </c>
      <c r="X571" s="222" t="s">
        <v>283</v>
      </c>
      <c r="Y571" s="223" t="s">
        <v>283</v>
      </c>
    </row>
    <row r="572" spans="1:25">
      <c r="A572" s="217">
        <v>11</v>
      </c>
      <c r="B572" s="218" t="str">
        <f>VLOOKUP(Tabel10[[#This Row],[Code]],Ruimtegroepen[[Code]:[Ruimte omschrijving]],2,FALSE)</f>
        <v>Garderobes</v>
      </c>
      <c r="C572" s="219" t="s">
        <v>758</v>
      </c>
      <c r="D572" s="218" t="s">
        <v>1</v>
      </c>
      <c r="E572" s="219" t="s">
        <v>99</v>
      </c>
      <c r="F572" s="219" t="s">
        <v>760</v>
      </c>
      <c r="G572" s="224" t="s">
        <v>283</v>
      </c>
      <c r="H572" s="220" t="s">
        <v>2</v>
      </c>
      <c r="I572" s="220" t="s">
        <v>283</v>
      </c>
      <c r="J572" s="220" t="s">
        <v>283</v>
      </c>
      <c r="K572" s="220" t="s">
        <v>283</v>
      </c>
      <c r="L572" s="220" t="s">
        <v>283</v>
      </c>
      <c r="M572" s="220" t="s">
        <v>283</v>
      </c>
      <c r="N572" s="220" t="s">
        <v>283</v>
      </c>
      <c r="O572" s="221" t="s">
        <v>2</v>
      </c>
      <c r="P572" s="221" t="s">
        <v>2</v>
      </c>
      <c r="Q572" s="221" t="s">
        <v>15</v>
      </c>
      <c r="R572" s="221" t="s">
        <v>15</v>
      </c>
      <c r="S572" s="221" t="s">
        <v>16</v>
      </c>
      <c r="T572" s="221" t="s">
        <v>330</v>
      </c>
      <c r="U572" s="221" t="s">
        <v>250</v>
      </c>
      <c r="V572" s="221" t="s">
        <v>283</v>
      </c>
      <c r="W572" s="222" t="s">
        <v>283</v>
      </c>
      <c r="X572" s="222" t="s">
        <v>283</v>
      </c>
      <c r="Y572" s="223" t="s">
        <v>283</v>
      </c>
    </row>
    <row r="573" spans="1:25">
      <c r="A573" s="217">
        <v>11</v>
      </c>
      <c r="B573" s="218" t="str">
        <f>VLOOKUP(Tabel10[[#This Row],[Code]],Ruimtegroepen[[Code]:[Ruimte omschrijving]],2,FALSE)</f>
        <v>Garderobes</v>
      </c>
      <c r="C573" s="219" t="s">
        <v>758</v>
      </c>
      <c r="D573" s="218" t="s">
        <v>1</v>
      </c>
      <c r="E573" s="219" t="s">
        <v>1313</v>
      </c>
      <c r="F573" s="219" t="s">
        <v>1472</v>
      </c>
      <c r="G573" s="224" t="s">
        <v>283</v>
      </c>
      <c r="H573" s="220" t="s">
        <v>283</v>
      </c>
      <c r="I573" s="220" t="s">
        <v>2</v>
      </c>
      <c r="J573" s="220" t="s">
        <v>283</v>
      </c>
      <c r="K573" s="220" t="s">
        <v>284</v>
      </c>
      <c r="L573" s="220" t="s">
        <v>283</v>
      </c>
      <c r="M573" s="220" t="s">
        <v>283</v>
      </c>
      <c r="N573" s="220" t="s">
        <v>283</v>
      </c>
      <c r="O573" s="221" t="s">
        <v>2</v>
      </c>
      <c r="P573" s="221" t="s">
        <v>2</v>
      </c>
      <c r="Q573" s="221" t="s">
        <v>15</v>
      </c>
      <c r="R573" s="221" t="s">
        <v>15</v>
      </c>
      <c r="S573" s="221" t="s">
        <v>16</v>
      </c>
      <c r="T573" s="221" t="s">
        <v>330</v>
      </c>
      <c r="U573" s="221" t="s">
        <v>250</v>
      </c>
      <c r="V573" s="221" t="s">
        <v>283</v>
      </c>
      <c r="W573" s="222" t="s">
        <v>283</v>
      </c>
      <c r="X573" s="222" t="s">
        <v>283</v>
      </c>
      <c r="Y573" s="223" t="s">
        <v>283</v>
      </c>
    </row>
    <row r="574" spans="1:25">
      <c r="A574" s="217">
        <v>11</v>
      </c>
      <c r="B574" s="218" t="str">
        <f>VLOOKUP(Tabel10[[#This Row],[Code]],Ruimtegroepen[[Code]:[Ruimte omschrijving]],2,FALSE)</f>
        <v>Garderobes</v>
      </c>
      <c r="C574" s="219" t="s">
        <v>763</v>
      </c>
      <c r="D574" s="218" t="s">
        <v>21</v>
      </c>
      <c r="E574" s="219" t="s">
        <v>100</v>
      </c>
      <c r="F574" s="219" t="s">
        <v>764</v>
      </c>
      <c r="G574" s="224" t="s">
        <v>283</v>
      </c>
      <c r="H574" s="220" t="s">
        <v>283</v>
      </c>
      <c r="I574" s="220" t="s">
        <v>18</v>
      </c>
      <c r="J574" s="220" t="s">
        <v>15</v>
      </c>
      <c r="K574" s="220" t="s">
        <v>283</v>
      </c>
      <c r="L574" s="220" t="s">
        <v>283</v>
      </c>
      <c r="M574" s="220" t="s">
        <v>283</v>
      </c>
      <c r="N574" s="220" t="s">
        <v>283</v>
      </c>
      <c r="O574" s="221" t="s">
        <v>20</v>
      </c>
      <c r="P574" s="221" t="s">
        <v>20</v>
      </c>
      <c r="Q574" s="221" t="s">
        <v>15</v>
      </c>
      <c r="R574" s="221" t="s">
        <v>15</v>
      </c>
      <c r="S574" s="221" t="s">
        <v>16</v>
      </c>
      <c r="T574" s="221" t="s">
        <v>330</v>
      </c>
      <c r="U574" s="221" t="s">
        <v>250</v>
      </c>
      <c r="V574" s="221" t="s">
        <v>283</v>
      </c>
      <c r="W574" s="222" t="s">
        <v>283</v>
      </c>
      <c r="X574" s="222" t="s">
        <v>283</v>
      </c>
      <c r="Y574" s="223" t="s">
        <v>283</v>
      </c>
    </row>
    <row r="575" spans="1:25">
      <c r="A575" s="217">
        <v>11</v>
      </c>
      <c r="B575" s="218" t="str">
        <f>VLOOKUP(Tabel10[[#This Row],[Code]],Ruimtegroepen[[Code]:[Ruimte omschrijving]],2,FALSE)</f>
        <v>Garderobes</v>
      </c>
      <c r="C575" s="219" t="s">
        <v>763</v>
      </c>
      <c r="D575" s="218" t="s">
        <v>21</v>
      </c>
      <c r="E575" s="219" t="s">
        <v>99</v>
      </c>
      <c r="F575" s="219" t="s">
        <v>765</v>
      </c>
      <c r="G575" s="224" t="s">
        <v>283</v>
      </c>
      <c r="H575" s="220" t="s">
        <v>20</v>
      </c>
      <c r="I575" s="220" t="s">
        <v>283</v>
      </c>
      <c r="J575" s="220" t="s">
        <v>283</v>
      </c>
      <c r="K575" s="220" t="s">
        <v>283</v>
      </c>
      <c r="L575" s="220" t="s">
        <v>283</v>
      </c>
      <c r="M575" s="220" t="s">
        <v>283</v>
      </c>
      <c r="N575" s="220" t="s">
        <v>283</v>
      </c>
      <c r="O575" s="221" t="s">
        <v>20</v>
      </c>
      <c r="P575" s="221" t="s">
        <v>20</v>
      </c>
      <c r="Q575" s="221" t="s">
        <v>15</v>
      </c>
      <c r="R575" s="221" t="s">
        <v>15</v>
      </c>
      <c r="S575" s="221" t="s">
        <v>16</v>
      </c>
      <c r="T575" s="221" t="s">
        <v>330</v>
      </c>
      <c r="U575" s="221" t="s">
        <v>250</v>
      </c>
      <c r="V575" s="221" t="s">
        <v>283</v>
      </c>
      <c r="W575" s="222" t="s">
        <v>283</v>
      </c>
      <c r="X575" s="222" t="s">
        <v>283</v>
      </c>
      <c r="Y575" s="223" t="s">
        <v>283</v>
      </c>
    </row>
    <row r="576" spans="1:25">
      <c r="A576" s="217">
        <v>11</v>
      </c>
      <c r="B576" s="218" t="str">
        <f>VLOOKUP(Tabel10[[#This Row],[Code]],Ruimtegroepen[[Code]:[Ruimte omschrijving]],2,FALSE)</f>
        <v>Garderobes</v>
      </c>
      <c r="C576" s="219" t="s">
        <v>763</v>
      </c>
      <c r="D576" s="218" t="s">
        <v>21</v>
      </c>
      <c r="E576" s="219" t="s">
        <v>101</v>
      </c>
      <c r="F576" s="219" t="s">
        <v>766</v>
      </c>
      <c r="G576" s="224" t="s">
        <v>283</v>
      </c>
      <c r="H576" s="220" t="s">
        <v>283</v>
      </c>
      <c r="I576" s="220" t="s">
        <v>18</v>
      </c>
      <c r="J576" s="220" t="s">
        <v>15</v>
      </c>
      <c r="K576" s="220" t="s">
        <v>284</v>
      </c>
      <c r="L576" s="220" t="s">
        <v>283</v>
      </c>
      <c r="M576" s="220" t="s">
        <v>283</v>
      </c>
      <c r="N576" s="220" t="s">
        <v>283</v>
      </c>
      <c r="O576" s="221" t="s">
        <v>20</v>
      </c>
      <c r="P576" s="221" t="s">
        <v>20</v>
      </c>
      <c r="Q576" s="221" t="s">
        <v>15</v>
      </c>
      <c r="R576" s="221" t="s">
        <v>15</v>
      </c>
      <c r="S576" s="221" t="s">
        <v>16</v>
      </c>
      <c r="T576" s="221" t="s">
        <v>330</v>
      </c>
      <c r="U576" s="221" t="s">
        <v>250</v>
      </c>
      <c r="V576" s="221" t="s">
        <v>283</v>
      </c>
      <c r="W576" s="222" t="s">
        <v>283</v>
      </c>
      <c r="X576" s="222" t="s">
        <v>283</v>
      </c>
      <c r="Y576" s="223" t="s">
        <v>283</v>
      </c>
    </row>
    <row r="577" spans="1:25">
      <c r="A577" s="217">
        <v>11</v>
      </c>
      <c r="B577" s="218" t="str">
        <f>VLOOKUP(Tabel10[[#This Row],[Code]],Ruimtegroepen[[Code]:[Ruimte omschrijving]],2,FALSE)</f>
        <v>Garderobes</v>
      </c>
      <c r="C577" s="219" t="s">
        <v>763</v>
      </c>
      <c r="D577" s="218" t="s">
        <v>21</v>
      </c>
      <c r="E577" s="219" t="s">
        <v>102</v>
      </c>
      <c r="F577" s="219" t="s">
        <v>767</v>
      </c>
      <c r="G577" s="224" t="s">
        <v>283</v>
      </c>
      <c r="H577" s="220" t="s">
        <v>283</v>
      </c>
      <c r="I577" s="220" t="s">
        <v>18</v>
      </c>
      <c r="J577" s="220" t="s">
        <v>15</v>
      </c>
      <c r="K577" s="220" t="s">
        <v>284</v>
      </c>
      <c r="L577" s="220" t="s">
        <v>283</v>
      </c>
      <c r="M577" s="220" t="s">
        <v>283</v>
      </c>
      <c r="N577" s="220" t="s">
        <v>283</v>
      </c>
      <c r="O577" s="221" t="s">
        <v>20</v>
      </c>
      <c r="P577" s="221" t="s">
        <v>20</v>
      </c>
      <c r="Q577" s="221" t="s">
        <v>15</v>
      </c>
      <c r="R577" s="221" t="s">
        <v>15</v>
      </c>
      <c r="S577" s="221" t="s">
        <v>16</v>
      </c>
      <c r="T577" s="221" t="s">
        <v>330</v>
      </c>
      <c r="U577" s="221" t="s">
        <v>250</v>
      </c>
      <c r="V577" s="221" t="s">
        <v>283</v>
      </c>
      <c r="W577" s="222" t="s">
        <v>283</v>
      </c>
      <c r="X577" s="222" t="s">
        <v>283</v>
      </c>
      <c r="Y577" s="223" t="s">
        <v>283</v>
      </c>
    </row>
    <row r="578" spans="1:25">
      <c r="A578" s="217">
        <v>11</v>
      </c>
      <c r="B578" s="218" t="str">
        <f>VLOOKUP(Tabel10[[#This Row],[Code]],Ruimtegroepen[[Code]:[Ruimte omschrijving]],2,FALSE)</f>
        <v>Garderobes</v>
      </c>
      <c r="C578" s="219" t="s">
        <v>763</v>
      </c>
      <c r="D578" s="218" t="s">
        <v>21</v>
      </c>
      <c r="E578" s="219" t="s">
        <v>99</v>
      </c>
      <c r="F578" s="219" t="s">
        <v>765</v>
      </c>
      <c r="G578" s="224" t="s">
        <v>283</v>
      </c>
      <c r="H578" s="220" t="s">
        <v>20</v>
      </c>
      <c r="I578" s="220" t="s">
        <v>283</v>
      </c>
      <c r="J578" s="220" t="s">
        <v>283</v>
      </c>
      <c r="K578" s="220" t="s">
        <v>283</v>
      </c>
      <c r="L578" s="220" t="s">
        <v>283</v>
      </c>
      <c r="M578" s="220" t="s">
        <v>283</v>
      </c>
      <c r="N578" s="220" t="s">
        <v>283</v>
      </c>
      <c r="O578" s="221" t="s">
        <v>20</v>
      </c>
      <c r="P578" s="221" t="s">
        <v>20</v>
      </c>
      <c r="Q578" s="221" t="s">
        <v>15</v>
      </c>
      <c r="R578" s="221" t="s">
        <v>15</v>
      </c>
      <c r="S578" s="221" t="s">
        <v>16</v>
      </c>
      <c r="T578" s="221" t="s">
        <v>330</v>
      </c>
      <c r="U578" s="221" t="s">
        <v>250</v>
      </c>
      <c r="V578" s="221" t="s">
        <v>283</v>
      </c>
      <c r="W578" s="222" t="s">
        <v>283</v>
      </c>
      <c r="X578" s="222" t="s">
        <v>283</v>
      </c>
      <c r="Y578" s="223" t="s">
        <v>283</v>
      </c>
    </row>
    <row r="579" spans="1:25">
      <c r="A579" s="217">
        <v>11</v>
      </c>
      <c r="B579" s="218" t="str">
        <f>VLOOKUP(Tabel10[[#This Row],[Code]],Ruimtegroepen[[Code]:[Ruimte omschrijving]],2,FALSE)</f>
        <v>Garderobes</v>
      </c>
      <c r="C579" s="219" t="s">
        <v>763</v>
      </c>
      <c r="D579" s="218" t="s">
        <v>21</v>
      </c>
      <c r="E579" s="219" t="s">
        <v>1313</v>
      </c>
      <c r="F579" s="219" t="s">
        <v>1455</v>
      </c>
      <c r="G579" s="224" t="s">
        <v>283</v>
      </c>
      <c r="H579" s="220" t="s">
        <v>283</v>
      </c>
      <c r="I579" s="220" t="s">
        <v>18</v>
      </c>
      <c r="J579" s="220" t="s">
        <v>15</v>
      </c>
      <c r="K579" s="220" t="s">
        <v>284</v>
      </c>
      <c r="L579" s="220" t="s">
        <v>283</v>
      </c>
      <c r="M579" s="220" t="s">
        <v>283</v>
      </c>
      <c r="N579" s="220" t="s">
        <v>283</v>
      </c>
      <c r="O579" s="221" t="s">
        <v>20</v>
      </c>
      <c r="P579" s="221" t="s">
        <v>20</v>
      </c>
      <c r="Q579" s="221" t="s">
        <v>15</v>
      </c>
      <c r="R579" s="221" t="s">
        <v>15</v>
      </c>
      <c r="S579" s="221" t="s">
        <v>16</v>
      </c>
      <c r="T579" s="221" t="s">
        <v>330</v>
      </c>
      <c r="U579" s="221" t="s">
        <v>250</v>
      </c>
      <c r="V579" s="221" t="s">
        <v>283</v>
      </c>
      <c r="W579" s="222" t="s">
        <v>283</v>
      </c>
      <c r="X579" s="222" t="s">
        <v>283</v>
      </c>
      <c r="Y579" s="223" t="s">
        <v>283</v>
      </c>
    </row>
    <row r="580" spans="1:25">
      <c r="A580" s="217">
        <v>11</v>
      </c>
      <c r="B580" s="218" t="str">
        <f>VLOOKUP(Tabel10[[#This Row],[Code]],Ruimtegroepen[[Code]:[Ruimte omschrijving]],2,FALSE)</f>
        <v>Garderobes</v>
      </c>
      <c r="C580" s="219" t="s">
        <v>768</v>
      </c>
      <c r="D580" s="218" t="s">
        <v>12</v>
      </c>
      <c r="E580" s="219" t="s">
        <v>100</v>
      </c>
      <c r="F580" s="219" t="s">
        <v>769</v>
      </c>
      <c r="G580" s="224" t="s">
        <v>283</v>
      </c>
      <c r="H580" s="220" t="s">
        <v>283</v>
      </c>
      <c r="I580" s="220" t="s">
        <v>17</v>
      </c>
      <c r="J580" s="220" t="s">
        <v>15</v>
      </c>
      <c r="K580" s="220" t="s">
        <v>283</v>
      </c>
      <c r="L580" s="220" t="s">
        <v>283</v>
      </c>
      <c r="M580" s="220" t="s">
        <v>283</v>
      </c>
      <c r="N580" s="220" t="s">
        <v>283</v>
      </c>
      <c r="O580" s="221" t="s">
        <v>18</v>
      </c>
      <c r="P580" s="221" t="s">
        <v>18</v>
      </c>
      <c r="Q580" s="221" t="s">
        <v>15</v>
      </c>
      <c r="R580" s="221" t="s">
        <v>15</v>
      </c>
      <c r="S580" s="221" t="s">
        <v>16</v>
      </c>
      <c r="T580" s="221" t="s">
        <v>330</v>
      </c>
      <c r="U580" s="221" t="s">
        <v>250</v>
      </c>
      <c r="V580" s="221" t="s">
        <v>283</v>
      </c>
      <c r="W580" s="222" t="s">
        <v>283</v>
      </c>
      <c r="X580" s="222" t="s">
        <v>283</v>
      </c>
      <c r="Y580" s="223" t="s">
        <v>283</v>
      </c>
    </row>
    <row r="581" spans="1:25">
      <c r="A581" s="217">
        <v>11</v>
      </c>
      <c r="B581" s="218" t="str">
        <f>VLOOKUP(Tabel10[[#This Row],[Code]],Ruimtegroepen[[Code]:[Ruimte omschrijving]],2,FALSE)</f>
        <v>Garderobes</v>
      </c>
      <c r="C581" s="219" t="s">
        <v>768</v>
      </c>
      <c r="D581" s="218" t="s">
        <v>12</v>
      </c>
      <c r="E581" s="219" t="s">
        <v>99</v>
      </c>
      <c r="F581" s="219" t="s">
        <v>770</v>
      </c>
      <c r="G581" s="224" t="s">
        <v>283</v>
      </c>
      <c r="H581" s="220" t="s">
        <v>18</v>
      </c>
      <c r="I581" s="220" t="s">
        <v>283</v>
      </c>
      <c r="J581" s="220" t="s">
        <v>283</v>
      </c>
      <c r="K581" s="220" t="s">
        <v>283</v>
      </c>
      <c r="L581" s="220" t="s">
        <v>283</v>
      </c>
      <c r="M581" s="220" t="s">
        <v>283</v>
      </c>
      <c r="N581" s="220" t="s">
        <v>283</v>
      </c>
      <c r="O581" s="221" t="s">
        <v>18</v>
      </c>
      <c r="P581" s="221" t="s">
        <v>18</v>
      </c>
      <c r="Q581" s="221" t="s">
        <v>15</v>
      </c>
      <c r="R581" s="221" t="s">
        <v>15</v>
      </c>
      <c r="S581" s="221" t="s">
        <v>16</v>
      </c>
      <c r="T581" s="221" t="s">
        <v>330</v>
      </c>
      <c r="U581" s="221" t="s">
        <v>250</v>
      </c>
      <c r="V581" s="221" t="s">
        <v>283</v>
      </c>
      <c r="W581" s="222" t="s">
        <v>283</v>
      </c>
      <c r="X581" s="222" t="s">
        <v>283</v>
      </c>
      <c r="Y581" s="223" t="s">
        <v>283</v>
      </c>
    </row>
    <row r="582" spans="1:25">
      <c r="A582" s="217">
        <v>11</v>
      </c>
      <c r="B582" s="218" t="str">
        <f>VLOOKUP(Tabel10[[#This Row],[Code]],Ruimtegroepen[[Code]:[Ruimte omschrijving]],2,FALSE)</f>
        <v>Garderobes</v>
      </c>
      <c r="C582" s="219" t="s">
        <v>768</v>
      </c>
      <c r="D582" s="218" t="s">
        <v>12</v>
      </c>
      <c r="E582" s="219" t="s">
        <v>101</v>
      </c>
      <c r="F582" s="219" t="s">
        <v>771</v>
      </c>
      <c r="G582" s="224" t="s">
        <v>283</v>
      </c>
      <c r="H582" s="220" t="s">
        <v>283</v>
      </c>
      <c r="I582" s="220" t="s">
        <v>17</v>
      </c>
      <c r="J582" s="220" t="s">
        <v>15</v>
      </c>
      <c r="K582" s="220" t="s">
        <v>284</v>
      </c>
      <c r="L582" s="220" t="s">
        <v>283</v>
      </c>
      <c r="M582" s="220" t="s">
        <v>283</v>
      </c>
      <c r="N582" s="220" t="s">
        <v>283</v>
      </c>
      <c r="O582" s="221" t="s">
        <v>18</v>
      </c>
      <c r="P582" s="221" t="s">
        <v>18</v>
      </c>
      <c r="Q582" s="221" t="s">
        <v>15</v>
      </c>
      <c r="R582" s="221" t="s">
        <v>15</v>
      </c>
      <c r="S582" s="221" t="s">
        <v>16</v>
      </c>
      <c r="T582" s="221" t="s">
        <v>330</v>
      </c>
      <c r="U582" s="221" t="s">
        <v>250</v>
      </c>
      <c r="V582" s="221" t="s">
        <v>283</v>
      </c>
      <c r="W582" s="222" t="s">
        <v>283</v>
      </c>
      <c r="X582" s="222" t="s">
        <v>283</v>
      </c>
      <c r="Y582" s="223" t="s">
        <v>283</v>
      </c>
    </row>
    <row r="583" spans="1:25">
      <c r="A583" s="217">
        <v>11</v>
      </c>
      <c r="B583" s="218" t="str">
        <f>VLOOKUP(Tabel10[[#This Row],[Code]],Ruimtegroepen[[Code]:[Ruimte omschrijving]],2,FALSE)</f>
        <v>Garderobes</v>
      </c>
      <c r="C583" s="219" t="s">
        <v>768</v>
      </c>
      <c r="D583" s="218" t="s">
        <v>12</v>
      </c>
      <c r="E583" s="219" t="s">
        <v>102</v>
      </c>
      <c r="F583" s="219" t="s">
        <v>772</v>
      </c>
      <c r="G583" s="224" t="s">
        <v>283</v>
      </c>
      <c r="H583" s="220" t="s">
        <v>283</v>
      </c>
      <c r="I583" s="220" t="s">
        <v>17</v>
      </c>
      <c r="J583" s="220" t="s">
        <v>15</v>
      </c>
      <c r="K583" s="220" t="s">
        <v>284</v>
      </c>
      <c r="L583" s="220" t="s">
        <v>283</v>
      </c>
      <c r="M583" s="220" t="s">
        <v>283</v>
      </c>
      <c r="N583" s="220" t="s">
        <v>283</v>
      </c>
      <c r="O583" s="221" t="s">
        <v>18</v>
      </c>
      <c r="P583" s="221" t="s">
        <v>18</v>
      </c>
      <c r="Q583" s="221" t="s">
        <v>15</v>
      </c>
      <c r="R583" s="221" t="s">
        <v>15</v>
      </c>
      <c r="S583" s="221" t="s">
        <v>16</v>
      </c>
      <c r="T583" s="221" t="s">
        <v>330</v>
      </c>
      <c r="U583" s="221" t="s">
        <v>250</v>
      </c>
      <c r="V583" s="221" t="s">
        <v>283</v>
      </c>
      <c r="W583" s="222" t="s">
        <v>283</v>
      </c>
      <c r="X583" s="222" t="s">
        <v>283</v>
      </c>
      <c r="Y583" s="223" t="s">
        <v>283</v>
      </c>
    </row>
    <row r="584" spans="1:25">
      <c r="A584" s="217">
        <v>11</v>
      </c>
      <c r="B584" s="218" t="str">
        <f>VLOOKUP(Tabel10[[#This Row],[Code]],Ruimtegroepen[[Code]:[Ruimte omschrijving]],2,FALSE)</f>
        <v>Garderobes</v>
      </c>
      <c r="C584" s="219" t="s">
        <v>768</v>
      </c>
      <c r="D584" s="218" t="s">
        <v>12</v>
      </c>
      <c r="E584" s="219" t="s">
        <v>99</v>
      </c>
      <c r="F584" s="219" t="s">
        <v>770</v>
      </c>
      <c r="G584" s="224" t="s">
        <v>283</v>
      </c>
      <c r="H584" s="220" t="s">
        <v>18</v>
      </c>
      <c r="I584" s="220" t="s">
        <v>283</v>
      </c>
      <c r="J584" s="220" t="s">
        <v>283</v>
      </c>
      <c r="K584" s="220" t="s">
        <v>283</v>
      </c>
      <c r="L584" s="220" t="s">
        <v>283</v>
      </c>
      <c r="M584" s="220" t="s">
        <v>283</v>
      </c>
      <c r="N584" s="220" t="s">
        <v>283</v>
      </c>
      <c r="O584" s="221" t="s">
        <v>18</v>
      </c>
      <c r="P584" s="221" t="s">
        <v>18</v>
      </c>
      <c r="Q584" s="221" t="s">
        <v>15</v>
      </c>
      <c r="R584" s="221" t="s">
        <v>15</v>
      </c>
      <c r="S584" s="221" t="s">
        <v>16</v>
      </c>
      <c r="T584" s="221" t="s">
        <v>330</v>
      </c>
      <c r="U584" s="221" t="s">
        <v>250</v>
      </c>
      <c r="V584" s="221" t="s">
        <v>283</v>
      </c>
      <c r="W584" s="222" t="s">
        <v>283</v>
      </c>
      <c r="X584" s="222" t="s">
        <v>283</v>
      </c>
      <c r="Y584" s="223" t="s">
        <v>283</v>
      </c>
    </row>
    <row r="585" spans="1:25">
      <c r="A585" s="217">
        <v>11</v>
      </c>
      <c r="B585" s="218" t="str">
        <f>VLOOKUP(Tabel10[[#This Row],[Code]],Ruimtegroepen[[Code]:[Ruimte omschrijving]],2,FALSE)</f>
        <v>Garderobes</v>
      </c>
      <c r="C585" s="219" t="s">
        <v>768</v>
      </c>
      <c r="D585" s="218" t="s">
        <v>12</v>
      </c>
      <c r="E585" s="219" t="s">
        <v>1313</v>
      </c>
      <c r="F585" s="219" t="s">
        <v>1437</v>
      </c>
      <c r="G585" s="224" t="s">
        <v>283</v>
      </c>
      <c r="H585" s="220" t="s">
        <v>283</v>
      </c>
      <c r="I585" s="220" t="s">
        <v>17</v>
      </c>
      <c r="J585" s="220" t="s">
        <v>15</v>
      </c>
      <c r="K585" s="220" t="s">
        <v>284</v>
      </c>
      <c r="L585" s="220" t="s">
        <v>283</v>
      </c>
      <c r="M585" s="220" t="s">
        <v>283</v>
      </c>
      <c r="N585" s="220" t="s">
        <v>283</v>
      </c>
      <c r="O585" s="221" t="s">
        <v>18</v>
      </c>
      <c r="P585" s="221" t="s">
        <v>18</v>
      </c>
      <c r="Q585" s="221" t="s">
        <v>15</v>
      </c>
      <c r="R585" s="221" t="s">
        <v>15</v>
      </c>
      <c r="S585" s="221" t="s">
        <v>16</v>
      </c>
      <c r="T585" s="221" t="s">
        <v>330</v>
      </c>
      <c r="U585" s="221" t="s">
        <v>250</v>
      </c>
      <c r="V585" s="221" t="s">
        <v>283</v>
      </c>
      <c r="W585" s="222" t="s">
        <v>283</v>
      </c>
      <c r="X585" s="222" t="s">
        <v>283</v>
      </c>
      <c r="Y585" s="223" t="s">
        <v>283</v>
      </c>
    </row>
    <row r="586" spans="1:25">
      <c r="A586" s="217">
        <v>11</v>
      </c>
      <c r="B586" s="218" t="str">
        <f>VLOOKUP(Tabel10[[#This Row],[Code]],Ruimtegroepen[[Code]:[Ruimte omschrijving]],2,FALSE)</f>
        <v>Garderobes</v>
      </c>
      <c r="C586" s="219" t="s">
        <v>773</v>
      </c>
      <c r="D586" s="218" t="s">
        <v>14</v>
      </c>
      <c r="E586" s="219" t="s">
        <v>100</v>
      </c>
      <c r="F586" s="219" t="s">
        <v>774</v>
      </c>
      <c r="G586" s="224" t="s">
        <v>283</v>
      </c>
      <c r="H586" s="220" t="s">
        <v>283</v>
      </c>
      <c r="I586" s="220" t="s">
        <v>15</v>
      </c>
      <c r="J586" s="220" t="s">
        <v>15</v>
      </c>
      <c r="K586" s="220" t="s">
        <v>283</v>
      </c>
      <c r="L586" s="220" t="s">
        <v>283</v>
      </c>
      <c r="M586" s="220" t="s">
        <v>283</v>
      </c>
      <c r="N586" s="220" t="s">
        <v>283</v>
      </c>
      <c r="O586" s="221" t="s">
        <v>17</v>
      </c>
      <c r="P586" s="221" t="s">
        <v>17</v>
      </c>
      <c r="Q586" s="221" t="s">
        <v>15</v>
      </c>
      <c r="R586" s="221" t="s">
        <v>15</v>
      </c>
      <c r="S586" s="221" t="s">
        <v>16</v>
      </c>
      <c r="T586" s="221" t="s">
        <v>330</v>
      </c>
      <c r="U586" s="221" t="s">
        <v>250</v>
      </c>
      <c r="V586" s="221" t="s">
        <v>283</v>
      </c>
      <c r="W586" s="222" t="s">
        <v>283</v>
      </c>
      <c r="X586" s="222" t="s">
        <v>283</v>
      </c>
      <c r="Y586" s="223" t="s">
        <v>283</v>
      </c>
    </row>
    <row r="587" spans="1:25">
      <c r="A587" s="217">
        <v>11</v>
      </c>
      <c r="B587" s="218" t="str">
        <f>VLOOKUP(Tabel10[[#This Row],[Code]],Ruimtegroepen[[Code]:[Ruimte omschrijving]],2,FALSE)</f>
        <v>Garderobes</v>
      </c>
      <c r="C587" s="219" t="s">
        <v>773</v>
      </c>
      <c r="D587" s="218" t="s">
        <v>14</v>
      </c>
      <c r="E587" s="219" t="s">
        <v>99</v>
      </c>
      <c r="F587" s="219" t="s">
        <v>775</v>
      </c>
      <c r="G587" s="224" t="s">
        <v>283</v>
      </c>
      <c r="H587" s="220" t="s">
        <v>17</v>
      </c>
      <c r="I587" s="220" t="s">
        <v>283</v>
      </c>
      <c r="J587" s="220" t="s">
        <v>283</v>
      </c>
      <c r="K587" s="220" t="s">
        <v>283</v>
      </c>
      <c r="L587" s="220" t="s">
        <v>283</v>
      </c>
      <c r="M587" s="220" t="s">
        <v>283</v>
      </c>
      <c r="N587" s="220" t="s">
        <v>283</v>
      </c>
      <c r="O587" s="221" t="s">
        <v>17</v>
      </c>
      <c r="P587" s="221" t="s">
        <v>17</v>
      </c>
      <c r="Q587" s="221" t="s">
        <v>15</v>
      </c>
      <c r="R587" s="221" t="s">
        <v>15</v>
      </c>
      <c r="S587" s="221" t="s">
        <v>16</v>
      </c>
      <c r="T587" s="221" t="s">
        <v>330</v>
      </c>
      <c r="U587" s="221" t="s">
        <v>250</v>
      </c>
      <c r="V587" s="221" t="s">
        <v>283</v>
      </c>
      <c r="W587" s="222" t="s">
        <v>283</v>
      </c>
      <c r="X587" s="222" t="s">
        <v>283</v>
      </c>
      <c r="Y587" s="223" t="s">
        <v>283</v>
      </c>
    </row>
    <row r="588" spans="1:25">
      <c r="A588" s="217">
        <v>11</v>
      </c>
      <c r="B588" s="218" t="str">
        <f>VLOOKUP(Tabel10[[#This Row],[Code]],Ruimtegroepen[[Code]:[Ruimte omschrijving]],2,FALSE)</f>
        <v>Garderobes</v>
      </c>
      <c r="C588" s="219" t="s">
        <v>773</v>
      </c>
      <c r="D588" s="218" t="s">
        <v>14</v>
      </c>
      <c r="E588" s="219" t="s">
        <v>101</v>
      </c>
      <c r="F588" s="219" t="s">
        <v>776</v>
      </c>
      <c r="G588" s="224" t="s">
        <v>283</v>
      </c>
      <c r="H588" s="220" t="s">
        <v>283</v>
      </c>
      <c r="I588" s="220" t="s">
        <v>15</v>
      </c>
      <c r="J588" s="220" t="s">
        <v>15</v>
      </c>
      <c r="K588" s="220" t="s">
        <v>284</v>
      </c>
      <c r="L588" s="220" t="s">
        <v>283</v>
      </c>
      <c r="M588" s="220" t="s">
        <v>283</v>
      </c>
      <c r="N588" s="220" t="s">
        <v>283</v>
      </c>
      <c r="O588" s="221" t="s">
        <v>17</v>
      </c>
      <c r="P588" s="221" t="s">
        <v>17</v>
      </c>
      <c r="Q588" s="221" t="s">
        <v>15</v>
      </c>
      <c r="R588" s="221" t="s">
        <v>15</v>
      </c>
      <c r="S588" s="221" t="s">
        <v>16</v>
      </c>
      <c r="T588" s="221" t="s">
        <v>330</v>
      </c>
      <c r="U588" s="221" t="s">
        <v>250</v>
      </c>
      <c r="V588" s="221" t="s">
        <v>283</v>
      </c>
      <c r="W588" s="222" t="s">
        <v>283</v>
      </c>
      <c r="X588" s="222" t="s">
        <v>283</v>
      </c>
      <c r="Y588" s="223" t="s">
        <v>283</v>
      </c>
    </row>
    <row r="589" spans="1:25">
      <c r="A589" s="217">
        <v>11</v>
      </c>
      <c r="B589" s="218" t="str">
        <f>VLOOKUP(Tabel10[[#This Row],[Code]],Ruimtegroepen[[Code]:[Ruimte omschrijving]],2,FALSE)</f>
        <v>Garderobes</v>
      </c>
      <c r="C589" s="219" t="s">
        <v>773</v>
      </c>
      <c r="D589" s="218" t="s">
        <v>14</v>
      </c>
      <c r="E589" s="219" t="s">
        <v>102</v>
      </c>
      <c r="F589" s="219" t="s">
        <v>777</v>
      </c>
      <c r="G589" s="224" t="s">
        <v>283</v>
      </c>
      <c r="H589" s="220" t="s">
        <v>283</v>
      </c>
      <c r="I589" s="220" t="s">
        <v>15</v>
      </c>
      <c r="J589" s="220" t="s">
        <v>15</v>
      </c>
      <c r="K589" s="220" t="s">
        <v>284</v>
      </c>
      <c r="L589" s="220" t="s">
        <v>283</v>
      </c>
      <c r="M589" s="220" t="s">
        <v>283</v>
      </c>
      <c r="N589" s="220" t="s">
        <v>283</v>
      </c>
      <c r="O589" s="221" t="s">
        <v>17</v>
      </c>
      <c r="P589" s="221" t="s">
        <v>17</v>
      </c>
      <c r="Q589" s="221" t="s">
        <v>15</v>
      </c>
      <c r="R589" s="221" t="s">
        <v>15</v>
      </c>
      <c r="S589" s="221" t="s">
        <v>16</v>
      </c>
      <c r="T589" s="221" t="s">
        <v>330</v>
      </c>
      <c r="U589" s="221" t="s">
        <v>250</v>
      </c>
      <c r="V589" s="221" t="s">
        <v>283</v>
      </c>
      <c r="W589" s="222" t="s">
        <v>283</v>
      </c>
      <c r="X589" s="222" t="s">
        <v>283</v>
      </c>
      <c r="Y589" s="223" t="s">
        <v>283</v>
      </c>
    </row>
    <row r="590" spans="1:25">
      <c r="A590" s="217">
        <v>11</v>
      </c>
      <c r="B590" s="218" t="str">
        <f>VLOOKUP(Tabel10[[#This Row],[Code]],Ruimtegroepen[[Code]:[Ruimte omschrijving]],2,FALSE)</f>
        <v>Garderobes</v>
      </c>
      <c r="C590" s="219" t="s">
        <v>773</v>
      </c>
      <c r="D590" s="218" t="s">
        <v>14</v>
      </c>
      <c r="E590" s="219" t="s">
        <v>99</v>
      </c>
      <c r="F590" s="219" t="s">
        <v>775</v>
      </c>
      <c r="G590" s="224" t="s">
        <v>283</v>
      </c>
      <c r="H590" s="220" t="s">
        <v>17</v>
      </c>
      <c r="I590" s="220" t="s">
        <v>283</v>
      </c>
      <c r="J590" s="220" t="s">
        <v>283</v>
      </c>
      <c r="K590" s="220" t="s">
        <v>283</v>
      </c>
      <c r="L590" s="220" t="s">
        <v>283</v>
      </c>
      <c r="M590" s="220" t="s">
        <v>283</v>
      </c>
      <c r="N590" s="220" t="s">
        <v>283</v>
      </c>
      <c r="O590" s="221" t="s">
        <v>17</v>
      </c>
      <c r="P590" s="221" t="s">
        <v>17</v>
      </c>
      <c r="Q590" s="221" t="s">
        <v>15</v>
      </c>
      <c r="R590" s="221" t="s">
        <v>15</v>
      </c>
      <c r="S590" s="221" t="s">
        <v>16</v>
      </c>
      <c r="T590" s="221" t="s">
        <v>330</v>
      </c>
      <c r="U590" s="221" t="s">
        <v>250</v>
      </c>
      <c r="V590" s="221" t="s">
        <v>283</v>
      </c>
      <c r="W590" s="222" t="s">
        <v>283</v>
      </c>
      <c r="X590" s="222" t="s">
        <v>283</v>
      </c>
      <c r="Y590" s="223" t="s">
        <v>283</v>
      </c>
    </row>
    <row r="591" spans="1:25">
      <c r="A591" s="217">
        <v>11</v>
      </c>
      <c r="B591" s="218" t="str">
        <f>VLOOKUP(Tabel10[[#This Row],[Code]],Ruimtegroepen[[Code]:[Ruimte omschrijving]],2,FALSE)</f>
        <v>Garderobes</v>
      </c>
      <c r="C591" s="219" t="s">
        <v>773</v>
      </c>
      <c r="D591" s="218" t="s">
        <v>14</v>
      </c>
      <c r="E591" s="219" t="s">
        <v>1313</v>
      </c>
      <c r="F591" s="219" t="s">
        <v>1404</v>
      </c>
      <c r="G591" s="224" t="s">
        <v>283</v>
      </c>
      <c r="H591" s="220" t="s">
        <v>283</v>
      </c>
      <c r="I591" s="220" t="s">
        <v>15</v>
      </c>
      <c r="J591" s="220" t="s">
        <v>15</v>
      </c>
      <c r="K591" s="220" t="s">
        <v>284</v>
      </c>
      <c r="L591" s="220" t="s">
        <v>283</v>
      </c>
      <c r="M591" s="220" t="s">
        <v>283</v>
      </c>
      <c r="N591" s="220" t="s">
        <v>283</v>
      </c>
      <c r="O591" s="221" t="s">
        <v>17</v>
      </c>
      <c r="P591" s="221" t="s">
        <v>17</v>
      </c>
      <c r="Q591" s="221" t="s">
        <v>15</v>
      </c>
      <c r="R591" s="221" t="s">
        <v>15</v>
      </c>
      <c r="S591" s="221" t="s">
        <v>16</v>
      </c>
      <c r="T591" s="221" t="s">
        <v>330</v>
      </c>
      <c r="U591" s="221" t="s">
        <v>250</v>
      </c>
      <c r="V591" s="221" t="s">
        <v>283</v>
      </c>
      <c r="W591" s="222" t="s">
        <v>283</v>
      </c>
      <c r="X591" s="222" t="s">
        <v>283</v>
      </c>
      <c r="Y591" s="223" t="s">
        <v>283</v>
      </c>
    </row>
    <row r="592" spans="1:25">
      <c r="A592" s="217">
        <v>11</v>
      </c>
      <c r="B592" s="218" t="str">
        <f>VLOOKUP(Tabel10[[#This Row],[Code]],Ruimtegroepen[[Code]:[Ruimte omschrijving]],2,FALSE)</f>
        <v>Garderobes</v>
      </c>
      <c r="C592" s="219" t="s">
        <v>778</v>
      </c>
      <c r="D592" s="218" t="s">
        <v>13</v>
      </c>
      <c r="E592" s="219" t="s">
        <v>100</v>
      </c>
      <c r="F592" s="219" t="s">
        <v>779</v>
      </c>
      <c r="G592" s="224" t="s">
        <v>283</v>
      </c>
      <c r="H592" s="220" t="s">
        <v>283</v>
      </c>
      <c r="I592" s="220" t="s">
        <v>283</v>
      </c>
      <c r="J592" s="220" t="s">
        <v>15</v>
      </c>
      <c r="K592" s="220" t="s">
        <v>283</v>
      </c>
      <c r="L592" s="220" t="s">
        <v>283</v>
      </c>
      <c r="M592" s="220" t="s">
        <v>283</v>
      </c>
      <c r="N592" s="220" t="s">
        <v>283</v>
      </c>
      <c r="O592" s="221" t="s">
        <v>15</v>
      </c>
      <c r="P592" s="221" t="s">
        <v>15</v>
      </c>
      <c r="Q592" s="221" t="s">
        <v>15</v>
      </c>
      <c r="R592" s="221" t="s">
        <v>15</v>
      </c>
      <c r="S592" s="221" t="s">
        <v>16</v>
      </c>
      <c r="T592" s="221" t="s">
        <v>330</v>
      </c>
      <c r="U592" s="221" t="s">
        <v>250</v>
      </c>
      <c r="V592" s="221" t="s">
        <v>283</v>
      </c>
      <c r="W592" s="222" t="s">
        <v>283</v>
      </c>
      <c r="X592" s="222" t="s">
        <v>283</v>
      </c>
      <c r="Y592" s="223" t="s">
        <v>283</v>
      </c>
    </row>
    <row r="593" spans="1:25">
      <c r="A593" s="217">
        <v>11</v>
      </c>
      <c r="B593" s="218" t="str">
        <f>VLOOKUP(Tabel10[[#This Row],[Code]],Ruimtegroepen[[Code]:[Ruimte omschrijving]],2,FALSE)</f>
        <v>Garderobes</v>
      </c>
      <c r="C593" s="219" t="s">
        <v>778</v>
      </c>
      <c r="D593" s="218" t="s">
        <v>13</v>
      </c>
      <c r="E593" s="219" t="s">
        <v>99</v>
      </c>
      <c r="F593" s="219" t="s">
        <v>780</v>
      </c>
      <c r="G593" s="224" t="s">
        <v>283</v>
      </c>
      <c r="H593" s="220" t="s">
        <v>15</v>
      </c>
      <c r="I593" s="220" t="s">
        <v>283</v>
      </c>
      <c r="J593" s="220" t="s">
        <v>283</v>
      </c>
      <c r="K593" s="220" t="s">
        <v>283</v>
      </c>
      <c r="L593" s="220" t="s">
        <v>283</v>
      </c>
      <c r="M593" s="220" t="s">
        <v>283</v>
      </c>
      <c r="N593" s="220" t="s">
        <v>283</v>
      </c>
      <c r="O593" s="221" t="s">
        <v>15</v>
      </c>
      <c r="P593" s="221" t="s">
        <v>15</v>
      </c>
      <c r="Q593" s="221" t="s">
        <v>15</v>
      </c>
      <c r="R593" s="221" t="s">
        <v>15</v>
      </c>
      <c r="S593" s="221" t="s">
        <v>16</v>
      </c>
      <c r="T593" s="221" t="s">
        <v>330</v>
      </c>
      <c r="U593" s="221" t="s">
        <v>250</v>
      </c>
      <c r="V593" s="221" t="s">
        <v>283</v>
      </c>
      <c r="W593" s="222" t="s">
        <v>283</v>
      </c>
      <c r="X593" s="222" t="s">
        <v>283</v>
      </c>
      <c r="Y593" s="223" t="s">
        <v>283</v>
      </c>
    </row>
    <row r="594" spans="1:25">
      <c r="A594" s="217">
        <v>11</v>
      </c>
      <c r="B594" s="218" t="str">
        <f>VLOOKUP(Tabel10[[#This Row],[Code]],Ruimtegroepen[[Code]:[Ruimte omschrijving]],2,FALSE)</f>
        <v>Garderobes</v>
      </c>
      <c r="C594" s="219" t="s">
        <v>778</v>
      </c>
      <c r="D594" s="218" t="s">
        <v>13</v>
      </c>
      <c r="E594" s="219" t="s">
        <v>101</v>
      </c>
      <c r="F594" s="219" t="s">
        <v>781</v>
      </c>
      <c r="G594" s="224" t="s">
        <v>283</v>
      </c>
      <c r="H594" s="220" t="s">
        <v>283</v>
      </c>
      <c r="I594" s="220" t="s">
        <v>283</v>
      </c>
      <c r="J594" s="220" t="s">
        <v>15</v>
      </c>
      <c r="K594" s="220" t="s">
        <v>284</v>
      </c>
      <c r="L594" s="220" t="s">
        <v>283</v>
      </c>
      <c r="M594" s="220" t="s">
        <v>283</v>
      </c>
      <c r="N594" s="220" t="s">
        <v>283</v>
      </c>
      <c r="O594" s="221" t="s">
        <v>15</v>
      </c>
      <c r="P594" s="221" t="s">
        <v>15</v>
      </c>
      <c r="Q594" s="221" t="s">
        <v>15</v>
      </c>
      <c r="R594" s="221" t="s">
        <v>15</v>
      </c>
      <c r="S594" s="221" t="s">
        <v>16</v>
      </c>
      <c r="T594" s="221" t="s">
        <v>330</v>
      </c>
      <c r="U594" s="221" t="s">
        <v>250</v>
      </c>
      <c r="V594" s="221" t="s">
        <v>283</v>
      </c>
      <c r="W594" s="222" t="s">
        <v>283</v>
      </c>
      <c r="X594" s="222" t="s">
        <v>283</v>
      </c>
      <c r="Y594" s="223" t="s">
        <v>283</v>
      </c>
    </row>
    <row r="595" spans="1:25">
      <c r="A595" s="217">
        <v>11</v>
      </c>
      <c r="B595" s="218" t="str">
        <f>VLOOKUP(Tabel10[[#This Row],[Code]],Ruimtegroepen[[Code]:[Ruimte omschrijving]],2,FALSE)</f>
        <v>Garderobes</v>
      </c>
      <c r="C595" s="219" t="s">
        <v>778</v>
      </c>
      <c r="D595" s="218" t="s">
        <v>13</v>
      </c>
      <c r="E595" s="219" t="s">
        <v>102</v>
      </c>
      <c r="F595" s="219" t="s">
        <v>782</v>
      </c>
      <c r="G595" s="224" t="s">
        <v>283</v>
      </c>
      <c r="H595" s="220" t="s">
        <v>283</v>
      </c>
      <c r="I595" s="220" t="s">
        <v>283</v>
      </c>
      <c r="J595" s="220" t="s">
        <v>15</v>
      </c>
      <c r="K595" s="220" t="s">
        <v>284</v>
      </c>
      <c r="L595" s="220" t="s">
        <v>283</v>
      </c>
      <c r="M595" s="220" t="s">
        <v>283</v>
      </c>
      <c r="N595" s="220" t="s">
        <v>283</v>
      </c>
      <c r="O595" s="221" t="s">
        <v>15</v>
      </c>
      <c r="P595" s="221" t="s">
        <v>15</v>
      </c>
      <c r="Q595" s="221" t="s">
        <v>15</v>
      </c>
      <c r="R595" s="221" t="s">
        <v>15</v>
      </c>
      <c r="S595" s="221" t="s">
        <v>16</v>
      </c>
      <c r="T595" s="221" t="s">
        <v>330</v>
      </c>
      <c r="U595" s="221" t="s">
        <v>250</v>
      </c>
      <c r="V595" s="221" t="s">
        <v>283</v>
      </c>
      <c r="W595" s="222" t="s">
        <v>283</v>
      </c>
      <c r="X595" s="222" t="s">
        <v>283</v>
      </c>
      <c r="Y595" s="223" t="s">
        <v>283</v>
      </c>
    </row>
    <row r="596" spans="1:25">
      <c r="A596" s="217">
        <v>11</v>
      </c>
      <c r="B596" s="218" t="str">
        <f>VLOOKUP(Tabel10[[#This Row],[Code]],Ruimtegroepen[[Code]:[Ruimte omschrijving]],2,FALSE)</f>
        <v>Garderobes</v>
      </c>
      <c r="C596" s="219" t="s">
        <v>778</v>
      </c>
      <c r="D596" s="218" t="s">
        <v>13</v>
      </c>
      <c r="E596" s="219" t="s">
        <v>99</v>
      </c>
      <c r="F596" s="219" t="s">
        <v>780</v>
      </c>
      <c r="G596" s="224" t="s">
        <v>283</v>
      </c>
      <c r="H596" s="220" t="s">
        <v>15</v>
      </c>
      <c r="I596" s="220" t="s">
        <v>283</v>
      </c>
      <c r="J596" s="220" t="s">
        <v>283</v>
      </c>
      <c r="K596" s="220" t="s">
        <v>283</v>
      </c>
      <c r="L596" s="220" t="s">
        <v>283</v>
      </c>
      <c r="M596" s="220" t="s">
        <v>283</v>
      </c>
      <c r="N596" s="220" t="s">
        <v>283</v>
      </c>
      <c r="O596" s="221" t="s">
        <v>15</v>
      </c>
      <c r="P596" s="221" t="s">
        <v>15</v>
      </c>
      <c r="Q596" s="221" t="s">
        <v>15</v>
      </c>
      <c r="R596" s="221" t="s">
        <v>15</v>
      </c>
      <c r="S596" s="221" t="s">
        <v>16</v>
      </c>
      <c r="T596" s="221" t="s">
        <v>330</v>
      </c>
      <c r="U596" s="221" t="s">
        <v>250</v>
      </c>
      <c r="V596" s="221" t="s">
        <v>283</v>
      </c>
      <c r="W596" s="222" t="s">
        <v>283</v>
      </c>
      <c r="X596" s="222" t="s">
        <v>283</v>
      </c>
      <c r="Y596" s="223" t="s">
        <v>283</v>
      </c>
    </row>
    <row r="597" spans="1:25">
      <c r="A597" s="217">
        <v>11</v>
      </c>
      <c r="B597" s="218" t="str">
        <f>VLOOKUP(Tabel10[[#This Row],[Code]],Ruimtegroepen[[Code]:[Ruimte omschrijving]],2,FALSE)</f>
        <v>Garderobes</v>
      </c>
      <c r="C597" s="219" t="s">
        <v>778</v>
      </c>
      <c r="D597" s="218" t="s">
        <v>13</v>
      </c>
      <c r="E597" s="219" t="s">
        <v>1313</v>
      </c>
      <c r="F597" s="219" t="s">
        <v>1371</v>
      </c>
      <c r="G597" s="224" t="s">
        <v>283</v>
      </c>
      <c r="H597" s="220" t="s">
        <v>283</v>
      </c>
      <c r="I597" s="220" t="s">
        <v>283</v>
      </c>
      <c r="J597" s="220" t="s">
        <v>15</v>
      </c>
      <c r="K597" s="220" t="s">
        <v>284</v>
      </c>
      <c r="L597" s="220" t="s">
        <v>283</v>
      </c>
      <c r="M597" s="220" t="s">
        <v>283</v>
      </c>
      <c r="N597" s="220" t="s">
        <v>283</v>
      </c>
      <c r="O597" s="221" t="s">
        <v>15</v>
      </c>
      <c r="P597" s="221" t="s">
        <v>15</v>
      </c>
      <c r="Q597" s="221" t="s">
        <v>15</v>
      </c>
      <c r="R597" s="221" t="s">
        <v>15</v>
      </c>
      <c r="S597" s="221" t="s">
        <v>16</v>
      </c>
      <c r="T597" s="221" t="s">
        <v>330</v>
      </c>
      <c r="U597" s="221" t="s">
        <v>250</v>
      </c>
      <c r="V597" s="221" t="s">
        <v>283</v>
      </c>
      <c r="W597" s="222" t="s">
        <v>283</v>
      </c>
      <c r="X597" s="222" t="s">
        <v>283</v>
      </c>
      <c r="Y597" s="223" t="s">
        <v>283</v>
      </c>
    </row>
    <row r="598" spans="1:25">
      <c r="A598" s="217">
        <v>11</v>
      </c>
      <c r="B598" s="218" t="str">
        <f>VLOOKUP(Tabel10[[#This Row],[Code]],Ruimtegroepen[[Code]:[Ruimte omschrijving]],2,FALSE)</f>
        <v>Garderobes</v>
      </c>
      <c r="C598" s="219" t="s">
        <v>783</v>
      </c>
      <c r="D598" s="218" t="s">
        <v>0</v>
      </c>
      <c r="E598" s="219" t="s">
        <v>100</v>
      </c>
      <c r="F598" s="219" t="s">
        <v>784</v>
      </c>
      <c r="G598" s="224" t="s">
        <v>283</v>
      </c>
      <c r="H598" s="220" t="s">
        <v>283</v>
      </c>
      <c r="I598" s="220" t="s">
        <v>283</v>
      </c>
      <c r="J598" s="220" t="s">
        <v>16</v>
      </c>
      <c r="K598" s="220" t="s">
        <v>283</v>
      </c>
      <c r="L598" s="220" t="s">
        <v>283</v>
      </c>
      <c r="M598" s="220" t="s">
        <v>283</v>
      </c>
      <c r="N598" s="220" t="s">
        <v>283</v>
      </c>
      <c r="O598" s="221" t="s">
        <v>16</v>
      </c>
      <c r="P598" s="221" t="s">
        <v>16</v>
      </c>
      <c r="Q598" s="221" t="s">
        <v>16</v>
      </c>
      <c r="R598" s="221" t="s">
        <v>16</v>
      </c>
      <c r="S598" s="221" t="s">
        <v>16</v>
      </c>
      <c r="T598" s="221" t="s">
        <v>330</v>
      </c>
      <c r="U598" s="221" t="s">
        <v>250</v>
      </c>
      <c r="V598" s="221" t="s">
        <v>283</v>
      </c>
      <c r="W598" s="222" t="s">
        <v>283</v>
      </c>
      <c r="X598" s="222" t="s">
        <v>283</v>
      </c>
      <c r="Y598" s="223" t="s">
        <v>283</v>
      </c>
    </row>
    <row r="599" spans="1:25">
      <c r="A599" s="217">
        <v>11</v>
      </c>
      <c r="B599" s="218" t="str">
        <f>VLOOKUP(Tabel10[[#This Row],[Code]],Ruimtegroepen[[Code]:[Ruimte omschrijving]],2,FALSE)</f>
        <v>Garderobes</v>
      </c>
      <c r="C599" s="219" t="s">
        <v>783</v>
      </c>
      <c r="D599" s="218" t="s">
        <v>0</v>
      </c>
      <c r="E599" s="219" t="s">
        <v>99</v>
      </c>
      <c r="F599" s="219" t="s">
        <v>785</v>
      </c>
      <c r="G599" s="224" t="s">
        <v>283</v>
      </c>
      <c r="H599" s="220" t="s">
        <v>16</v>
      </c>
      <c r="I599" s="220" t="s">
        <v>283</v>
      </c>
      <c r="J599" s="220" t="s">
        <v>283</v>
      </c>
      <c r="K599" s="220" t="s">
        <v>283</v>
      </c>
      <c r="L599" s="220" t="s">
        <v>283</v>
      </c>
      <c r="M599" s="220" t="s">
        <v>283</v>
      </c>
      <c r="N599" s="220" t="s">
        <v>283</v>
      </c>
      <c r="O599" s="221" t="s">
        <v>16</v>
      </c>
      <c r="P599" s="221" t="s">
        <v>16</v>
      </c>
      <c r="Q599" s="221" t="s">
        <v>16</v>
      </c>
      <c r="R599" s="221" t="s">
        <v>16</v>
      </c>
      <c r="S599" s="221" t="s">
        <v>16</v>
      </c>
      <c r="T599" s="221" t="s">
        <v>330</v>
      </c>
      <c r="U599" s="221" t="s">
        <v>250</v>
      </c>
      <c r="V599" s="221" t="s">
        <v>283</v>
      </c>
      <c r="W599" s="222" t="s">
        <v>283</v>
      </c>
      <c r="X599" s="222" t="s">
        <v>283</v>
      </c>
      <c r="Y599" s="223" t="s">
        <v>283</v>
      </c>
    </row>
    <row r="600" spans="1:25">
      <c r="A600" s="217">
        <v>11</v>
      </c>
      <c r="B600" s="218" t="str">
        <f>VLOOKUP(Tabel10[[#This Row],[Code]],Ruimtegroepen[[Code]:[Ruimte omschrijving]],2,FALSE)</f>
        <v>Garderobes</v>
      </c>
      <c r="C600" s="219" t="s">
        <v>783</v>
      </c>
      <c r="D600" s="218" t="s">
        <v>0</v>
      </c>
      <c r="E600" s="219" t="s">
        <v>101</v>
      </c>
      <c r="F600" s="219" t="s">
        <v>786</v>
      </c>
      <c r="G600" s="224" t="s">
        <v>283</v>
      </c>
      <c r="H600" s="220" t="s">
        <v>283</v>
      </c>
      <c r="I600" s="220" t="s">
        <v>283</v>
      </c>
      <c r="J600" s="220" t="s">
        <v>16</v>
      </c>
      <c r="K600" s="220" t="s">
        <v>284</v>
      </c>
      <c r="L600" s="220" t="s">
        <v>283</v>
      </c>
      <c r="M600" s="220" t="s">
        <v>283</v>
      </c>
      <c r="N600" s="220" t="s">
        <v>283</v>
      </c>
      <c r="O600" s="221" t="s">
        <v>16</v>
      </c>
      <c r="P600" s="221" t="s">
        <v>16</v>
      </c>
      <c r="Q600" s="221" t="s">
        <v>16</v>
      </c>
      <c r="R600" s="221" t="s">
        <v>16</v>
      </c>
      <c r="S600" s="221" t="s">
        <v>16</v>
      </c>
      <c r="T600" s="221" t="s">
        <v>330</v>
      </c>
      <c r="U600" s="221" t="s">
        <v>250</v>
      </c>
      <c r="V600" s="221" t="s">
        <v>283</v>
      </c>
      <c r="W600" s="222" t="s">
        <v>283</v>
      </c>
      <c r="X600" s="222" t="s">
        <v>283</v>
      </c>
      <c r="Y600" s="223" t="s">
        <v>283</v>
      </c>
    </row>
    <row r="601" spans="1:25">
      <c r="A601" s="217">
        <v>11</v>
      </c>
      <c r="B601" s="218" t="str">
        <f>VLOOKUP(Tabel10[[#This Row],[Code]],Ruimtegroepen[[Code]:[Ruimte omschrijving]],2,FALSE)</f>
        <v>Garderobes</v>
      </c>
      <c r="C601" s="219" t="s">
        <v>783</v>
      </c>
      <c r="D601" s="218" t="s">
        <v>0</v>
      </c>
      <c r="E601" s="219" t="s">
        <v>102</v>
      </c>
      <c r="F601" s="219" t="s">
        <v>787</v>
      </c>
      <c r="G601" s="224" t="s">
        <v>283</v>
      </c>
      <c r="H601" s="220" t="s">
        <v>283</v>
      </c>
      <c r="I601" s="220" t="s">
        <v>283</v>
      </c>
      <c r="J601" s="220" t="s">
        <v>16</v>
      </c>
      <c r="K601" s="220" t="s">
        <v>284</v>
      </c>
      <c r="L601" s="220" t="s">
        <v>283</v>
      </c>
      <c r="M601" s="220" t="s">
        <v>283</v>
      </c>
      <c r="N601" s="220" t="s">
        <v>283</v>
      </c>
      <c r="O601" s="221" t="s">
        <v>16</v>
      </c>
      <c r="P601" s="221" t="s">
        <v>16</v>
      </c>
      <c r="Q601" s="221" t="s">
        <v>16</v>
      </c>
      <c r="R601" s="221" t="s">
        <v>16</v>
      </c>
      <c r="S601" s="221" t="s">
        <v>16</v>
      </c>
      <c r="T601" s="221" t="s">
        <v>330</v>
      </c>
      <c r="U601" s="221" t="s">
        <v>250</v>
      </c>
      <c r="V601" s="221" t="s">
        <v>283</v>
      </c>
      <c r="W601" s="222" t="s">
        <v>283</v>
      </c>
      <c r="X601" s="222" t="s">
        <v>283</v>
      </c>
      <c r="Y601" s="223" t="s">
        <v>283</v>
      </c>
    </row>
    <row r="602" spans="1:25">
      <c r="A602" s="217">
        <v>11</v>
      </c>
      <c r="B602" s="218" t="str">
        <f>VLOOKUP(Tabel10[[#This Row],[Code]],Ruimtegroepen[[Code]:[Ruimte omschrijving]],2,FALSE)</f>
        <v>Garderobes</v>
      </c>
      <c r="C602" s="219" t="s">
        <v>783</v>
      </c>
      <c r="D602" s="218" t="s">
        <v>0</v>
      </c>
      <c r="E602" s="219" t="s">
        <v>99</v>
      </c>
      <c r="F602" s="219" t="s">
        <v>785</v>
      </c>
      <c r="G602" s="224" t="s">
        <v>283</v>
      </c>
      <c r="H602" s="220" t="s">
        <v>16</v>
      </c>
      <c r="I602" s="220" t="s">
        <v>283</v>
      </c>
      <c r="J602" s="220" t="s">
        <v>283</v>
      </c>
      <c r="K602" s="220" t="s">
        <v>283</v>
      </c>
      <c r="L602" s="220" t="s">
        <v>283</v>
      </c>
      <c r="M602" s="220" t="s">
        <v>283</v>
      </c>
      <c r="N602" s="220" t="s">
        <v>283</v>
      </c>
      <c r="O602" s="221" t="s">
        <v>16</v>
      </c>
      <c r="P602" s="221" t="s">
        <v>16</v>
      </c>
      <c r="Q602" s="221" t="s">
        <v>16</v>
      </c>
      <c r="R602" s="221" t="s">
        <v>16</v>
      </c>
      <c r="S602" s="221" t="s">
        <v>16</v>
      </c>
      <c r="T602" s="221" t="s">
        <v>330</v>
      </c>
      <c r="U602" s="221" t="s">
        <v>250</v>
      </c>
      <c r="V602" s="221" t="s">
        <v>283</v>
      </c>
      <c r="W602" s="222" t="s">
        <v>283</v>
      </c>
      <c r="X602" s="222" t="s">
        <v>283</v>
      </c>
      <c r="Y602" s="223" t="s">
        <v>283</v>
      </c>
    </row>
    <row r="603" spans="1:25">
      <c r="A603" s="217">
        <v>11</v>
      </c>
      <c r="B603" s="218" t="str">
        <f>VLOOKUP(Tabel10[[#This Row],[Code]],Ruimtegroepen[[Code]:[Ruimte omschrijving]],2,FALSE)</f>
        <v>Garderobes</v>
      </c>
      <c r="C603" s="219" t="s">
        <v>783</v>
      </c>
      <c r="D603" s="218" t="s">
        <v>0</v>
      </c>
      <c r="E603" s="219" t="s">
        <v>1313</v>
      </c>
      <c r="F603" s="219" t="s">
        <v>1355</v>
      </c>
      <c r="G603" s="224" t="s">
        <v>283</v>
      </c>
      <c r="H603" s="220" t="s">
        <v>283</v>
      </c>
      <c r="I603" s="220" t="s">
        <v>283</v>
      </c>
      <c r="J603" s="220" t="s">
        <v>16</v>
      </c>
      <c r="K603" s="220" t="s">
        <v>284</v>
      </c>
      <c r="L603" s="220" t="s">
        <v>283</v>
      </c>
      <c r="M603" s="220" t="s">
        <v>283</v>
      </c>
      <c r="N603" s="220" t="s">
        <v>283</v>
      </c>
      <c r="O603" s="221" t="s">
        <v>16</v>
      </c>
      <c r="P603" s="221" t="s">
        <v>16</v>
      </c>
      <c r="Q603" s="221" t="s">
        <v>16</v>
      </c>
      <c r="R603" s="221" t="s">
        <v>16</v>
      </c>
      <c r="S603" s="221" t="s">
        <v>16</v>
      </c>
      <c r="T603" s="221" t="s">
        <v>330</v>
      </c>
      <c r="U603" s="221" t="s">
        <v>250</v>
      </c>
      <c r="V603" s="221" t="s">
        <v>283</v>
      </c>
      <c r="W603" s="222" t="s">
        <v>283</v>
      </c>
      <c r="X603" s="222" t="s">
        <v>283</v>
      </c>
      <c r="Y603" s="223" t="s">
        <v>283</v>
      </c>
    </row>
    <row r="604" spans="1:25">
      <c r="A604" s="217">
        <v>11</v>
      </c>
      <c r="B604" s="218" t="str">
        <f>VLOOKUP(Tabel10[[#This Row],[Code]],Ruimtegroepen[[Code]:[Ruimte omschrijving]],2,FALSE)</f>
        <v>Garderobes</v>
      </c>
      <c r="C604" s="219" t="s">
        <v>788</v>
      </c>
      <c r="D604" s="218" t="s">
        <v>27</v>
      </c>
      <c r="E604" s="219" t="s">
        <v>100</v>
      </c>
      <c r="F604" s="219" t="s">
        <v>789</v>
      </c>
      <c r="G604" s="224" t="s">
        <v>283</v>
      </c>
      <c r="H604" s="220" t="s">
        <v>283</v>
      </c>
      <c r="I604" s="220" t="s">
        <v>15</v>
      </c>
      <c r="J604" s="220" t="s">
        <v>283</v>
      </c>
      <c r="K604" s="220" t="s">
        <v>283</v>
      </c>
      <c r="L604" s="220" t="s">
        <v>283</v>
      </c>
      <c r="M604" s="220" t="s">
        <v>283</v>
      </c>
      <c r="N604" s="220" t="s">
        <v>283</v>
      </c>
      <c r="O604" s="221" t="s">
        <v>15</v>
      </c>
      <c r="P604" s="221" t="s">
        <v>15</v>
      </c>
      <c r="Q604" s="221" t="s">
        <v>15</v>
      </c>
      <c r="R604" s="221" t="s">
        <v>283</v>
      </c>
      <c r="S604" s="221" t="s">
        <v>283</v>
      </c>
      <c r="T604" s="221" t="s">
        <v>283</v>
      </c>
      <c r="U604" s="221" t="s">
        <v>283</v>
      </c>
      <c r="V604" s="221" t="s">
        <v>283</v>
      </c>
      <c r="W604" s="222" t="s">
        <v>283</v>
      </c>
      <c r="X604" s="222" t="s">
        <v>283</v>
      </c>
      <c r="Y604" s="223" t="s">
        <v>283</v>
      </c>
    </row>
    <row r="605" spans="1:25">
      <c r="A605" s="217">
        <v>11</v>
      </c>
      <c r="B605" s="218" t="str">
        <f>VLOOKUP(Tabel10[[#This Row],[Code]],Ruimtegroepen[[Code]:[Ruimte omschrijving]],2,FALSE)</f>
        <v>Garderobes</v>
      </c>
      <c r="C605" s="219" t="s">
        <v>788</v>
      </c>
      <c r="D605" s="218" t="s">
        <v>27</v>
      </c>
      <c r="E605" s="219" t="s">
        <v>99</v>
      </c>
      <c r="F605" s="219" t="s">
        <v>790</v>
      </c>
      <c r="G605" s="224" t="s">
        <v>283</v>
      </c>
      <c r="H605" s="220" t="s">
        <v>15</v>
      </c>
      <c r="I605" s="220" t="s">
        <v>283</v>
      </c>
      <c r="J605" s="220" t="s">
        <v>283</v>
      </c>
      <c r="K605" s="220" t="s">
        <v>283</v>
      </c>
      <c r="L605" s="220" t="s">
        <v>283</v>
      </c>
      <c r="M605" s="220" t="s">
        <v>283</v>
      </c>
      <c r="N605" s="220" t="s">
        <v>283</v>
      </c>
      <c r="O605" s="221" t="s">
        <v>15</v>
      </c>
      <c r="P605" s="221" t="s">
        <v>15</v>
      </c>
      <c r="Q605" s="221" t="s">
        <v>15</v>
      </c>
      <c r="R605" s="221" t="s">
        <v>283</v>
      </c>
      <c r="S605" s="221" t="s">
        <v>283</v>
      </c>
      <c r="T605" s="221" t="s">
        <v>283</v>
      </c>
      <c r="U605" s="221" t="s">
        <v>283</v>
      </c>
      <c r="V605" s="221" t="s">
        <v>283</v>
      </c>
      <c r="W605" s="222" t="s">
        <v>283</v>
      </c>
      <c r="X605" s="222" t="s">
        <v>283</v>
      </c>
      <c r="Y605" s="223" t="s">
        <v>283</v>
      </c>
    </row>
    <row r="606" spans="1:25">
      <c r="A606" s="217">
        <v>11</v>
      </c>
      <c r="B606" s="218" t="str">
        <f>VLOOKUP(Tabel10[[#This Row],[Code]],Ruimtegroepen[[Code]:[Ruimte omschrijving]],2,FALSE)</f>
        <v>Garderobes</v>
      </c>
      <c r="C606" s="219" t="s">
        <v>788</v>
      </c>
      <c r="D606" s="218" t="s">
        <v>27</v>
      </c>
      <c r="E606" s="219" t="s">
        <v>101</v>
      </c>
      <c r="F606" s="219" t="s">
        <v>791</v>
      </c>
      <c r="G606" s="224" t="s">
        <v>283</v>
      </c>
      <c r="H606" s="220" t="s">
        <v>283</v>
      </c>
      <c r="I606" s="220" t="s">
        <v>15</v>
      </c>
      <c r="J606" s="220" t="s">
        <v>283</v>
      </c>
      <c r="K606" s="220" t="s">
        <v>283</v>
      </c>
      <c r="L606" s="220" t="s">
        <v>283</v>
      </c>
      <c r="M606" s="220" t="s">
        <v>283</v>
      </c>
      <c r="N606" s="220" t="s">
        <v>283</v>
      </c>
      <c r="O606" s="221" t="s">
        <v>15</v>
      </c>
      <c r="P606" s="221" t="s">
        <v>15</v>
      </c>
      <c r="Q606" s="221" t="s">
        <v>15</v>
      </c>
      <c r="R606" s="221" t="s">
        <v>283</v>
      </c>
      <c r="S606" s="221" t="s">
        <v>283</v>
      </c>
      <c r="T606" s="221" t="s">
        <v>283</v>
      </c>
      <c r="U606" s="221" t="s">
        <v>283</v>
      </c>
      <c r="V606" s="221" t="s">
        <v>283</v>
      </c>
      <c r="W606" s="222" t="s">
        <v>283</v>
      </c>
      <c r="X606" s="222" t="s">
        <v>283</v>
      </c>
      <c r="Y606" s="223" t="s">
        <v>283</v>
      </c>
    </row>
    <row r="607" spans="1:25">
      <c r="A607" s="217">
        <v>11</v>
      </c>
      <c r="B607" s="218" t="str">
        <f>VLOOKUP(Tabel10[[#This Row],[Code]],Ruimtegroepen[[Code]:[Ruimte omschrijving]],2,FALSE)</f>
        <v>Garderobes</v>
      </c>
      <c r="C607" s="219" t="s">
        <v>788</v>
      </c>
      <c r="D607" s="218" t="s">
        <v>27</v>
      </c>
      <c r="E607" s="219" t="s">
        <v>102</v>
      </c>
      <c r="F607" s="219" t="s">
        <v>792</v>
      </c>
      <c r="G607" s="224" t="s">
        <v>283</v>
      </c>
      <c r="H607" s="220" t="s">
        <v>283</v>
      </c>
      <c r="I607" s="220" t="s">
        <v>15</v>
      </c>
      <c r="J607" s="220" t="s">
        <v>283</v>
      </c>
      <c r="K607" s="220" t="s">
        <v>283</v>
      </c>
      <c r="L607" s="220" t="s">
        <v>283</v>
      </c>
      <c r="M607" s="220" t="s">
        <v>283</v>
      </c>
      <c r="N607" s="220" t="s">
        <v>283</v>
      </c>
      <c r="O607" s="221" t="s">
        <v>15</v>
      </c>
      <c r="P607" s="221" t="s">
        <v>15</v>
      </c>
      <c r="Q607" s="221" t="s">
        <v>15</v>
      </c>
      <c r="R607" s="221" t="s">
        <v>283</v>
      </c>
      <c r="S607" s="221" t="s">
        <v>283</v>
      </c>
      <c r="T607" s="221" t="s">
        <v>283</v>
      </c>
      <c r="U607" s="221" t="s">
        <v>283</v>
      </c>
      <c r="V607" s="221" t="s">
        <v>283</v>
      </c>
      <c r="W607" s="222" t="s">
        <v>283</v>
      </c>
      <c r="X607" s="222" t="s">
        <v>283</v>
      </c>
      <c r="Y607" s="223" t="s">
        <v>283</v>
      </c>
    </row>
    <row r="608" spans="1:25">
      <c r="A608" s="217">
        <v>11</v>
      </c>
      <c r="B608" s="218" t="str">
        <f>VLOOKUP(Tabel10[[#This Row],[Code]],Ruimtegroepen[[Code]:[Ruimte omschrijving]],2,FALSE)</f>
        <v>Garderobes</v>
      </c>
      <c r="C608" s="219" t="s">
        <v>788</v>
      </c>
      <c r="D608" s="218" t="s">
        <v>27</v>
      </c>
      <c r="E608" s="219" t="s">
        <v>99</v>
      </c>
      <c r="F608" s="219" t="s">
        <v>790</v>
      </c>
      <c r="G608" s="224" t="s">
        <v>283</v>
      </c>
      <c r="H608" s="220" t="s">
        <v>15</v>
      </c>
      <c r="I608" s="220" t="s">
        <v>283</v>
      </c>
      <c r="J608" s="220" t="s">
        <v>283</v>
      </c>
      <c r="K608" s="220" t="s">
        <v>283</v>
      </c>
      <c r="L608" s="220" t="s">
        <v>283</v>
      </c>
      <c r="M608" s="220" t="s">
        <v>283</v>
      </c>
      <c r="N608" s="220" t="s">
        <v>283</v>
      </c>
      <c r="O608" s="221" t="s">
        <v>15</v>
      </c>
      <c r="P608" s="221" t="s">
        <v>15</v>
      </c>
      <c r="Q608" s="221" t="s">
        <v>15</v>
      </c>
      <c r="R608" s="221" t="s">
        <v>283</v>
      </c>
      <c r="S608" s="221" t="s">
        <v>283</v>
      </c>
      <c r="T608" s="221" t="s">
        <v>283</v>
      </c>
      <c r="U608" s="221" t="s">
        <v>283</v>
      </c>
      <c r="V608" s="221" t="s">
        <v>283</v>
      </c>
      <c r="W608" s="222" t="s">
        <v>283</v>
      </c>
      <c r="X608" s="222" t="s">
        <v>283</v>
      </c>
      <c r="Y608" s="223" t="s">
        <v>283</v>
      </c>
    </row>
    <row r="609" spans="1:25">
      <c r="A609" s="217">
        <v>11</v>
      </c>
      <c r="B609" s="218" t="str">
        <f>VLOOKUP(Tabel10[[#This Row],[Code]],Ruimtegroepen[[Code]:[Ruimte omschrijving]],2,FALSE)</f>
        <v>Garderobes</v>
      </c>
      <c r="C609" s="219" t="s">
        <v>788</v>
      </c>
      <c r="D609" s="218" t="s">
        <v>27</v>
      </c>
      <c r="E609" s="219" t="s">
        <v>1313</v>
      </c>
      <c r="F609" s="219" t="s">
        <v>1388</v>
      </c>
      <c r="G609" s="224" t="s">
        <v>283</v>
      </c>
      <c r="H609" s="220" t="s">
        <v>283</v>
      </c>
      <c r="I609" s="220" t="s">
        <v>15</v>
      </c>
      <c r="J609" s="220" t="s">
        <v>283</v>
      </c>
      <c r="K609" s="220" t="s">
        <v>283</v>
      </c>
      <c r="L609" s="220" t="s">
        <v>283</v>
      </c>
      <c r="M609" s="220" t="s">
        <v>283</v>
      </c>
      <c r="N609" s="220" t="s">
        <v>283</v>
      </c>
      <c r="O609" s="221" t="s">
        <v>15</v>
      </c>
      <c r="P609" s="221" t="s">
        <v>15</v>
      </c>
      <c r="Q609" s="221" t="s">
        <v>15</v>
      </c>
      <c r="R609" s="221" t="s">
        <v>283</v>
      </c>
      <c r="S609" s="221" t="s">
        <v>283</v>
      </c>
      <c r="T609" s="221" t="s">
        <v>283</v>
      </c>
      <c r="U609" s="221" t="s">
        <v>283</v>
      </c>
      <c r="V609" s="221" t="s">
        <v>283</v>
      </c>
      <c r="W609" s="222" t="s">
        <v>283</v>
      </c>
      <c r="X609" s="222" t="s">
        <v>283</v>
      </c>
      <c r="Y609" s="223" t="s">
        <v>283</v>
      </c>
    </row>
    <row r="610" spans="1:25">
      <c r="A610" s="217">
        <v>11</v>
      </c>
      <c r="B610" s="218" t="str">
        <f>VLOOKUP(Tabel10[[#This Row],[Code]],Ruimtegroepen[[Code]:[Ruimte omschrijving]],2,FALSE)</f>
        <v>Garderobes</v>
      </c>
      <c r="C610" s="219" t="s">
        <v>793</v>
      </c>
      <c r="D610" s="218" t="s">
        <v>28</v>
      </c>
      <c r="E610" s="219" t="s">
        <v>100</v>
      </c>
      <c r="F610" s="219" t="s">
        <v>794</v>
      </c>
      <c r="G610" s="224" t="s">
        <v>283</v>
      </c>
      <c r="H610" s="220" t="s">
        <v>283</v>
      </c>
      <c r="I610" s="220" t="s">
        <v>17</v>
      </c>
      <c r="J610" s="220" t="s">
        <v>283</v>
      </c>
      <c r="K610" s="220" t="s">
        <v>283</v>
      </c>
      <c r="L610" s="220" t="s">
        <v>283</v>
      </c>
      <c r="M610" s="220" t="s">
        <v>283</v>
      </c>
      <c r="N610" s="220" t="s">
        <v>283</v>
      </c>
      <c r="O610" s="221" t="s">
        <v>17</v>
      </c>
      <c r="P610" s="221" t="s">
        <v>17</v>
      </c>
      <c r="Q610" s="221" t="s">
        <v>15</v>
      </c>
      <c r="R610" s="221" t="s">
        <v>283</v>
      </c>
      <c r="S610" s="221" t="s">
        <v>283</v>
      </c>
      <c r="T610" s="221" t="s">
        <v>283</v>
      </c>
      <c r="U610" s="221" t="s">
        <v>283</v>
      </c>
      <c r="V610" s="221" t="s">
        <v>283</v>
      </c>
      <c r="W610" s="222" t="s">
        <v>283</v>
      </c>
      <c r="X610" s="222" t="s">
        <v>283</v>
      </c>
      <c r="Y610" s="223" t="s">
        <v>283</v>
      </c>
    </row>
    <row r="611" spans="1:25">
      <c r="A611" s="217">
        <v>11</v>
      </c>
      <c r="B611" s="218" t="str">
        <f>VLOOKUP(Tabel10[[#This Row],[Code]],Ruimtegroepen[[Code]:[Ruimte omschrijving]],2,FALSE)</f>
        <v>Garderobes</v>
      </c>
      <c r="C611" s="219" t="s">
        <v>793</v>
      </c>
      <c r="D611" s="218" t="s">
        <v>28</v>
      </c>
      <c r="E611" s="219" t="s">
        <v>99</v>
      </c>
      <c r="F611" s="219" t="s">
        <v>795</v>
      </c>
      <c r="G611" s="224" t="s">
        <v>283</v>
      </c>
      <c r="H611" s="220" t="s">
        <v>17</v>
      </c>
      <c r="I611" s="220" t="s">
        <v>283</v>
      </c>
      <c r="J611" s="220" t="s">
        <v>283</v>
      </c>
      <c r="K611" s="220" t="s">
        <v>283</v>
      </c>
      <c r="L611" s="220" t="s">
        <v>283</v>
      </c>
      <c r="M611" s="220" t="s">
        <v>283</v>
      </c>
      <c r="N611" s="220" t="s">
        <v>283</v>
      </c>
      <c r="O611" s="221" t="s">
        <v>17</v>
      </c>
      <c r="P611" s="221" t="s">
        <v>17</v>
      </c>
      <c r="Q611" s="221" t="s">
        <v>15</v>
      </c>
      <c r="R611" s="221" t="s">
        <v>283</v>
      </c>
      <c r="S611" s="221" t="s">
        <v>283</v>
      </c>
      <c r="T611" s="221" t="s">
        <v>283</v>
      </c>
      <c r="U611" s="221" t="s">
        <v>283</v>
      </c>
      <c r="V611" s="221" t="s">
        <v>283</v>
      </c>
      <c r="W611" s="222" t="s">
        <v>283</v>
      </c>
      <c r="X611" s="222" t="s">
        <v>283</v>
      </c>
      <c r="Y611" s="223" t="s">
        <v>283</v>
      </c>
    </row>
    <row r="612" spans="1:25">
      <c r="A612" s="217">
        <v>11</v>
      </c>
      <c r="B612" s="218" t="str">
        <f>VLOOKUP(Tabel10[[#This Row],[Code]],Ruimtegroepen[[Code]:[Ruimte omschrijving]],2,FALSE)</f>
        <v>Garderobes</v>
      </c>
      <c r="C612" s="219" t="s">
        <v>793</v>
      </c>
      <c r="D612" s="218" t="s">
        <v>28</v>
      </c>
      <c r="E612" s="219" t="s">
        <v>101</v>
      </c>
      <c r="F612" s="219" t="s">
        <v>796</v>
      </c>
      <c r="G612" s="224" t="s">
        <v>283</v>
      </c>
      <c r="H612" s="220" t="s">
        <v>283</v>
      </c>
      <c r="I612" s="220" t="s">
        <v>17</v>
      </c>
      <c r="J612" s="220" t="s">
        <v>283</v>
      </c>
      <c r="K612" s="220" t="s">
        <v>283</v>
      </c>
      <c r="L612" s="220" t="s">
        <v>283</v>
      </c>
      <c r="M612" s="220" t="s">
        <v>283</v>
      </c>
      <c r="N612" s="220" t="s">
        <v>283</v>
      </c>
      <c r="O612" s="221" t="s">
        <v>17</v>
      </c>
      <c r="P612" s="221" t="s">
        <v>17</v>
      </c>
      <c r="Q612" s="221" t="s">
        <v>15</v>
      </c>
      <c r="R612" s="221" t="s">
        <v>283</v>
      </c>
      <c r="S612" s="221" t="s">
        <v>283</v>
      </c>
      <c r="T612" s="221" t="s">
        <v>283</v>
      </c>
      <c r="U612" s="221" t="s">
        <v>283</v>
      </c>
      <c r="V612" s="221" t="s">
        <v>283</v>
      </c>
      <c r="W612" s="222" t="s">
        <v>283</v>
      </c>
      <c r="X612" s="222" t="s">
        <v>283</v>
      </c>
      <c r="Y612" s="223" t="s">
        <v>283</v>
      </c>
    </row>
    <row r="613" spans="1:25">
      <c r="A613" s="217">
        <v>11</v>
      </c>
      <c r="B613" s="218" t="str">
        <f>VLOOKUP(Tabel10[[#This Row],[Code]],Ruimtegroepen[[Code]:[Ruimte omschrijving]],2,FALSE)</f>
        <v>Garderobes</v>
      </c>
      <c r="C613" s="219" t="s">
        <v>793</v>
      </c>
      <c r="D613" s="218" t="s">
        <v>28</v>
      </c>
      <c r="E613" s="219" t="s">
        <v>102</v>
      </c>
      <c r="F613" s="219" t="s">
        <v>797</v>
      </c>
      <c r="G613" s="224" t="s">
        <v>283</v>
      </c>
      <c r="H613" s="220" t="s">
        <v>283</v>
      </c>
      <c r="I613" s="220" t="s">
        <v>17</v>
      </c>
      <c r="J613" s="220" t="s">
        <v>283</v>
      </c>
      <c r="K613" s="220" t="s">
        <v>283</v>
      </c>
      <c r="L613" s="220" t="s">
        <v>283</v>
      </c>
      <c r="M613" s="220" t="s">
        <v>283</v>
      </c>
      <c r="N613" s="220" t="s">
        <v>283</v>
      </c>
      <c r="O613" s="221" t="s">
        <v>17</v>
      </c>
      <c r="P613" s="221" t="s">
        <v>17</v>
      </c>
      <c r="Q613" s="221" t="s">
        <v>15</v>
      </c>
      <c r="R613" s="221" t="s">
        <v>283</v>
      </c>
      <c r="S613" s="221" t="s">
        <v>283</v>
      </c>
      <c r="T613" s="221" t="s">
        <v>283</v>
      </c>
      <c r="U613" s="221" t="s">
        <v>283</v>
      </c>
      <c r="V613" s="221" t="s">
        <v>283</v>
      </c>
      <c r="W613" s="222" t="s">
        <v>283</v>
      </c>
      <c r="X613" s="222" t="s">
        <v>283</v>
      </c>
      <c r="Y613" s="223" t="s">
        <v>283</v>
      </c>
    </row>
    <row r="614" spans="1:25">
      <c r="A614" s="217">
        <v>11</v>
      </c>
      <c r="B614" s="218" t="str">
        <f>VLOOKUP(Tabel10[[#This Row],[Code]],Ruimtegroepen[[Code]:[Ruimte omschrijving]],2,FALSE)</f>
        <v>Garderobes</v>
      </c>
      <c r="C614" s="219" t="s">
        <v>793</v>
      </c>
      <c r="D614" s="218" t="s">
        <v>28</v>
      </c>
      <c r="E614" s="219" t="s">
        <v>99</v>
      </c>
      <c r="F614" s="219" t="s">
        <v>795</v>
      </c>
      <c r="G614" s="224" t="s">
        <v>283</v>
      </c>
      <c r="H614" s="220" t="s">
        <v>17</v>
      </c>
      <c r="I614" s="220" t="s">
        <v>283</v>
      </c>
      <c r="J614" s="220" t="s">
        <v>283</v>
      </c>
      <c r="K614" s="220" t="s">
        <v>283</v>
      </c>
      <c r="L614" s="220" t="s">
        <v>283</v>
      </c>
      <c r="M614" s="220" t="s">
        <v>283</v>
      </c>
      <c r="N614" s="220" t="s">
        <v>283</v>
      </c>
      <c r="O614" s="221" t="s">
        <v>17</v>
      </c>
      <c r="P614" s="221" t="s">
        <v>17</v>
      </c>
      <c r="Q614" s="221" t="s">
        <v>15</v>
      </c>
      <c r="R614" s="221" t="s">
        <v>283</v>
      </c>
      <c r="S614" s="221" t="s">
        <v>283</v>
      </c>
      <c r="T614" s="221" t="s">
        <v>283</v>
      </c>
      <c r="U614" s="221" t="s">
        <v>283</v>
      </c>
      <c r="V614" s="221" t="s">
        <v>283</v>
      </c>
      <c r="W614" s="222" t="s">
        <v>283</v>
      </c>
      <c r="X614" s="222" t="s">
        <v>283</v>
      </c>
      <c r="Y614" s="223" t="s">
        <v>283</v>
      </c>
    </row>
    <row r="615" spans="1:25">
      <c r="A615" s="217">
        <v>11</v>
      </c>
      <c r="B615" s="218" t="str">
        <f>VLOOKUP(Tabel10[[#This Row],[Code]],Ruimtegroepen[[Code]:[Ruimte omschrijving]],2,FALSE)</f>
        <v>Garderobes</v>
      </c>
      <c r="C615" s="219" t="s">
        <v>793</v>
      </c>
      <c r="D615" s="218" t="s">
        <v>28</v>
      </c>
      <c r="E615" s="219" t="s">
        <v>1313</v>
      </c>
      <c r="F615" s="219" t="s">
        <v>1421</v>
      </c>
      <c r="G615" s="224" t="s">
        <v>283</v>
      </c>
      <c r="H615" s="220" t="s">
        <v>283</v>
      </c>
      <c r="I615" s="220" t="s">
        <v>17</v>
      </c>
      <c r="J615" s="220" t="s">
        <v>283</v>
      </c>
      <c r="K615" s="220" t="s">
        <v>283</v>
      </c>
      <c r="L615" s="220" t="s">
        <v>283</v>
      </c>
      <c r="M615" s="220" t="s">
        <v>283</v>
      </c>
      <c r="N615" s="220" t="s">
        <v>283</v>
      </c>
      <c r="O615" s="221" t="s">
        <v>17</v>
      </c>
      <c r="P615" s="221" t="s">
        <v>17</v>
      </c>
      <c r="Q615" s="221" t="s">
        <v>15</v>
      </c>
      <c r="R615" s="221" t="s">
        <v>283</v>
      </c>
      <c r="S615" s="221" t="s">
        <v>283</v>
      </c>
      <c r="T615" s="221" t="s">
        <v>283</v>
      </c>
      <c r="U615" s="221" t="s">
        <v>283</v>
      </c>
      <c r="V615" s="221" t="s">
        <v>283</v>
      </c>
      <c r="W615" s="222" t="s">
        <v>283</v>
      </c>
      <c r="X615" s="222" t="s">
        <v>283</v>
      </c>
      <c r="Y615" s="223" t="s">
        <v>283</v>
      </c>
    </row>
    <row r="616" spans="1:25">
      <c r="A616" s="217">
        <v>12</v>
      </c>
      <c r="B616" s="218" t="str">
        <f>VLOOKUP(Tabel10[[#This Row],[Code]],Ruimtegroepen[[Code]:[Ruimte omschrijving]],2,FALSE)</f>
        <v>Kantine/Aula</v>
      </c>
      <c r="C616" s="219" t="s">
        <v>798</v>
      </c>
      <c r="D616" s="218" t="s">
        <v>29</v>
      </c>
      <c r="E616" s="219" t="s">
        <v>100</v>
      </c>
      <c r="F616" s="219" t="s">
        <v>799</v>
      </c>
      <c r="G616" s="224" t="s">
        <v>283</v>
      </c>
      <c r="H616" s="220" t="s">
        <v>283</v>
      </c>
      <c r="I616" s="220" t="s">
        <v>283</v>
      </c>
      <c r="J616" s="220" t="s">
        <v>2</v>
      </c>
      <c r="K616" s="220" t="s">
        <v>283</v>
      </c>
      <c r="L616" s="220" t="s">
        <v>283</v>
      </c>
      <c r="M616" s="220" t="s">
        <v>283</v>
      </c>
      <c r="N616" s="220" t="s">
        <v>2</v>
      </c>
      <c r="O616" s="221" t="s">
        <v>2</v>
      </c>
      <c r="P616" s="221" t="s">
        <v>2</v>
      </c>
      <c r="Q616" s="221" t="s">
        <v>15</v>
      </c>
      <c r="R616" s="221" t="s">
        <v>15</v>
      </c>
      <c r="S616" s="221" t="s">
        <v>16</v>
      </c>
      <c r="T616" s="221" t="s">
        <v>330</v>
      </c>
      <c r="U616" s="221" t="s">
        <v>250</v>
      </c>
      <c r="V616" s="221" t="s">
        <v>2</v>
      </c>
      <c r="W616" s="222" t="s">
        <v>283</v>
      </c>
      <c r="X616" s="222" t="s">
        <v>283</v>
      </c>
      <c r="Y616" s="223" t="s">
        <v>283</v>
      </c>
    </row>
    <row r="617" spans="1:25">
      <c r="A617" s="217">
        <v>12</v>
      </c>
      <c r="B617" s="218" t="str">
        <f>VLOOKUP(Tabel10[[#This Row],[Code]],Ruimtegroepen[[Code]:[Ruimte omschrijving]],2,FALSE)</f>
        <v>Kantine/Aula</v>
      </c>
      <c r="C617" s="219" t="s">
        <v>798</v>
      </c>
      <c r="D617" s="218" t="s">
        <v>29</v>
      </c>
      <c r="E617" s="219" t="s">
        <v>99</v>
      </c>
      <c r="F617" s="219" t="s">
        <v>800</v>
      </c>
      <c r="G617" s="224" t="s">
        <v>283</v>
      </c>
      <c r="H617" s="220" t="s">
        <v>2</v>
      </c>
      <c r="I617" s="220" t="s">
        <v>283</v>
      </c>
      <c r="J617" s="220" t="s">
        <v>283</v>
      </c>
      <c r="K617" s="220" t="s">
        <v>283</v>
      </c>
      <c r="L617" s="220" t="s">
        <v>283</v>
      </c>
      <c r="M617" s="220" t="s">
        <v>283</v>
      </c>
      <c r="N617" s="220" t="s">
        <v>2</v>
      </c>
      <c r="O617" s="221" t="s">
        <v>2</v>
      </c>
      <c r="P617" s="221" t="s">
        <v>2</v>
      </c>
      <c r="Q617" s="221" t="s">
        <v>15</v>
      </c>
      <c r="R617" s="221" t="s">
        <v>15</v>
      </c>
      <c r="S617" s="221" t="s">
        <v>16</v>
      </c>
      <c r="T617" s="221" t="s">
        <v>330</v>
      </c>
      <c r="U617" s="221" t="s">
        <v>250</v>
      </c>
      <c r="V617" s="221" t="s">
        <v>2</v>
      </c>
      <c r="W617" s="222" t="s">
        <v>283</v>
      </c>
      <c r="X617" s="222" t="s">
        <v>283</v>
      </c>
      <c r="Y617" s="223" t="s">
        <v>283</v>
      </c>
    </row>
    <row r="618" spans="1:25">
      <c r="A618" s="217">
        <v>12</v>
      </c>
      <c r="B618" s="218" t="str">
        <f>VLOOKUP(Tabel10[[#This Row],[Code]],Ruimtegroepen[[Code]:[Ruimte omschrijving]],2,FALSE)</f>
        <v>Kantine/Aula</v>
      </c>
      <c r="C618" s="219" t="s">
        <v>798</v>
      </c>
      <c r="D618" s="218" t="s">
        <v>29</v>
      </c>
      <c r="E618" s="219" t="s">
        <v>101</v>
      </c>
      <c r="F618" s="219" t="s">
        <v>801</v>
      </c>
      <c r="G618" s="224" t="s">
        <v>283</v>
      </c>
      <c r="H618" s="220" t="s">
        <v>283</v>
      </c>
      <c r="I618" s="220" t="s">
        <v>2</v>
      </c>
      <c r="J618" s="220" t="s">
        <v>283</v>
      </c>
      <c r="K618" s="220" t="s">
        <v>2</v>
      </c>
      <c r="L618" s="220" t="s">
        <v>283</v>
      </c>
      <c r="M618" s="220" t="s">
        <v>283</v>
      </c>
      <c r="N618" s="220" t="s">
        <v>2</v>
      </c>
      <c r="O618" s="221" t="s">
        <v>2</v>
      </c>
      <c r="P618" s="221" t="s">
        <v>2</v>
      </c>
      <c r="Q618" s="221" t="s">
        <v>15</v>
      </c>
      <c r="R618" s="221" t="s">
        <v>15</v>
      </c>
      <c r="S618" s="221" t="s">
        <v>16</v>
      </c>
      <c r="T618" s="221" t="s">
        <v>330</v>
      </c>
      <c r="U618" s="221" t="s">
        <v>250</v>
      </c>
      <c r="V618" s="221" t="s">
        <v>2</v>
      </c>
      <c r="W618" s="222" t="s">
        <v>283</v>
      </c>
      <c r="X618" s="222" t="s">
        <v>283</v>
      </c>
      <c r="Y618" s="223" t="s">
        <v>283</v>
      </c>
    </row>
    <row r="619" spans="1:25">
      <c r="A619" s="217">
        <v>12</v>
      </c>
      <c r="B619" s="218" t="str">
        <f>VLOOKUP(Tabel10[[#This Row],[Code]],Ruimtegroepen[[Code]:[Ruimte omschrijving]],2,FALSE)</f>
        <v>Kantine/Aula</v>
      </c>
      <c r="C619" s="219" t="s">
        <v>798</v>
      </c>
      <c r="D619" s="218" t="s">
        <v>29</v>
      </c>
      <c r="E619" s="219" t="s">
        <v>102</v>
      </c>
      <c r="F619" s="219" t="s">
        <v>802</v>
      </c>
      <c r="G619" s="224" t="s">
        <v>283</v>
      </c>
      <c r="H619" s="220" t="s">
        <v>283</v>
      </c>
      <c r="I619" s="220" t="s">
        <v>2</v>
      </c>
      <c r="J619" s="220" t="s">
        <v>283</v>
      </c>
      <c r="K619" s="220" t="s">
        <v>2</v>
      </c>
      <c r="L619" s="220" t="s">
        <v>283</v>
      </c>
      <c r="M619" s="220" t="s">
        <v>283</v>
      </c>
      <c r="N619" s="220" t="s">
        <v>2</v>
      </c>
      <c r="O619" s="221" t="s">
        <v>2</v>
      </c>
      <c r="P619" s="221" t="s">
        <v>2</v>
      </c>
      <c r="Q619" s="221" t="s">
        <v>15</v>
      </c>
      <c r="R619" s="221" t="s">
        <v>15</v>
      </c>
      <c r="S619" s="221" t="s">
        <v>16</v>
      </c>
      <c r="T619" s="221" t="s">
        <v>330</v>
      </c>
      <c r="U619" s="221" t="s">
        <v>250</v>
      </c>
      <c r="V619" s="221" t="s">
        <v>2</v>
      </c>
      <c r="W619" s="222" t="s">
        <v>283</v>
      </c>
      <c r="X619" s="222" t="s">
        <v>283</v>
      </c>
      <c r="Y619" s="223" t="s">
        <v>283</v>
      </c>
    </row>
    <row r="620" spans="1:25">
      <c r="A620" s="217">
        <v>12</v>
      </c>
      <c r="B620" s="218" t="str">
        <f>VLOOKUP(Tabel10[[#This Row],[Code]],Ruimtegroepen[[Code]:[Ruimte omschrijving]],2,FALSE)</f>
        <v>Kantine/Aula</v>
      </c>
      <c r="C620" s="219" t="s">
        <v>798</v>
      </c>
      <c r="D620" s="218" t="s">
        <v>29</v>
      </c>
      <c r="E620" s="219" t="s">
        <v>99</v>
      </c>
      <c r="F620" s="219" t="s">
        <v>800</v>
      </c>
      <c r="G620" s="224" t="s">
        <v>283</v>
      </c>
      <c r="H620" s="220" t="s">
        <v>2</v>
      </c>
      <c r="I620" s="220" t="s">
        <v>283</v>
      </c>
      <c r="J620" s="220" t="s">
        <v>283</v>
      </c>
      <c r="K620" s="220" t="s">
        <v>283</v>
      </c>
      <c r="L620" s="220" t="s">
        <v>283</v>
      </c>
      <c r="M620" s="220" t="s">
        <v>283</v>
      </c>
      <c r="N620" s="220" t="s">
        <v>2</v>
      </c>
      <c r="O620" s="221" t="s">
        <v>2</v>
      </c>
      <c r="P620" s="221" t="s">
        <v>2</v>
      </c>
      <c r="Q620" s="221" t="s">
        <v>15</v>
      </c>
      <c r="R620" s="221" t="s">
        <v>15</v>
      </c>
      <c r="S620" s="221" t="s">
        <v>16</v>
      </c>
      <c r="T620" s="221" t="s">
        <v>330</v>
      </c>
      <c r="U620" s="221" t="s">
        <v>250</v>
      </c>
      <c r="V620" s="221" t="s">
        <v>2</v>
      </c>
      <c r="W620" s="222" t="s">
        <v>283</v>
      </c>
      <c r="X620" s="222" t="s">
        <v>283</v>
      </c>
      <c r="Y620" s="223" t="s">
        <v>283</v>
      </c>
    </row>
    <row r="621" spans="1:25">
      <c r="A621" s="217">
        <v>12</v>
      </c>
      <c r="B621" s="218" t="str">
        <f>VLOOKUP(Tabel10[[#This Row],[Code]],Ruimtegroepen[[Code]:[Ruimte omschrijving]],2,FALSE)</f>
        <v>Kantine/Aula</v>
      </c>
      <c r="C621" s="219" t="s">
        <v>798</v>
      </c>
      <c r="D621" s="218" t="s">
        <v>29</v>
      </c>
      <c r="E621" s="219" t="s">
        <v>1313</v>
      </c>
      <c r="F621" s="219" t="s">
        <v>1489</v>
      </c>
      <c r="G621" s="224" t="s">
        <v>283</v>
      </c>
      <c r="H621" s="220" t="s">
        <v>283</v>
      </c>
      <c r="I621" s="220" t="s">
        <v>2</v>
      </c>
      <c r="J621" s="220" t="s">
        <v>283</v>
      </c>
      <c r="K621" s="220" t="s">
        <v>2</v>
      </c>
      <c r="L621" s="220" t="s">
        <v>283</v>
      </c>
      <c r="M621" s="220" t="s">
        <v>283</v>
      </c>
      <c r="N621" s="220" t="s">
        <v>2</v>
      </c>
      <c r="O621" s="221" t="s">
        <v>2</v>
      </c>
      <c r="P621" s="221" t="s">
        <v>2</v>
      </c>
      <c r="Q621" s="221" t="s">
        <v>15</v>
      </c>
      <c r="R621" s="221" t="s">
        <v>15</v>
      </c>
      <c r="S621" s="221" t="s">
        <v>16</v>
      </c>
      <c r="T621" s="221" t="s">
        <v>330</v>
      </c>
      <c r="U621" s="221" t="s">
        <v>250</v>
      </c>
      <c r="V621" s="221" t="s">
        <v>2</v>
      </c>
      <c r="W621" s="222" t="s">
        <v>283</v>
      </c>
      <c r="X621" s="222" t="s">
        <v>283</v>
      </c>
      <c r="Y621" s="223" t="s">
        <v>283</v>
      </c>
    </row>
    <row r="622" spans="1:25">
      <c r="A622" s="217">
        <v>12</v>
      </c>
      <c r="B622" s="218" t="str">
        <f>VLOOKUP(Tabel10[[#This Row],[Code]],Ruimtegroepen[[Code]:[Ruimte omschrijving]],2,FALSE)</f>
        <v>Kantine/Aula</v>
      </c>
      <c r="C622" s="219" t="s">
        <v>803</v>
      </c>
      <c r="D622" s="218" t="s">
        <v>1</v>
      </c>
      <c r="E622" s="219" t="s">
        <v>100</v>
      </c>
      <c r="F622" s="219" t="s">
        <v>804</v>
      </c>
      <c r="G622" s="224" t="s">
        <v>283</v>
      </c>
      <c r="H622" s="220" t="s">
        <v>283</v>
      </c>
      <c r="I622" s="220" t="s">
        <v>283</v>
      </c>
      <c r="J622" s="220" t="s">
        <v>2</v>
      </c>
      <c r="K622" s="220" t="s">
        <v>283</v>
      </c>
      <c r="L622" s="220" t="s">
        <v>283</v>
      </c>
      <c r="M622" s="220" t="s">
        <v>283</v>
      </c>
      <c r="N622" s="220" t="s">
        <v>283</v>
      </c>
      <c r="O622" s="221" t="s">
        <v>2</v>
      </c>
      <c r="P622" s="221" t="s">
        <v>2</v>
      </c>
      <c r="Q622" s="221" t="s">
        <v>15</v>
      </c>
      <c r="R622" s="221" t="s">
        <v>15</v>
      </c>
      <c r="S622" s="221" t="s">
        <v>16</v>
      </c>
      <c r="T622" s="221" t="s">
        <v>330</v>
      </c>
      <c r="U622" s="221" t="s">
        <v>250</v>
      </c>
      <c r="V622" s="221" t="s">
        <v>283</v>
      </c>
      <c r="W622" s="222" t="s">
        <v>283</v>
      </c>
      <c r="X622" s="222" t="s">
        <v>283</v>
      </c>
      <c r="Y622" s="223" t="s">
        <v>283</v>
      </c>
    </row>
    <row r="623" spans="1:25">
      <c r="A623" s="217">
        <v>12</v>
      </c>
      <c r="B623" s="218" t="str">
        <f>VLOOKUP(Tabel10[[#This Row],[Code]],Ruimtegroepen[[Code]:[Ruimte omschrijving]],2,FALSE)</f>
        <v>Kantine/Aula</v>
      </c>
      <c r="C623" s="219" t="s">
        <v>803</v>
      </c>
      <c r="D623" s="218" t="s">
        <v>1</v>
      </c>
      <c r="E623" s="219" t="s">
        <v>99</v>
      </c>
      <c r="F623" s="219" t="s">
        <v>805</v>
      </c>
      <c r="G623" s="224" t="s">
        <v>283</v>
      </c>
      <c r="H623" s="220" t="s">
        <v>2</v>
      </c>
      <c r="I623" s="220" t="s">
        <v>283</v>
      </c>
      <c r="J623" s="220" t="s">
        <v>283</v>
      </c>
      <c r="K623" s="220" t="s">
        <v>283</v>
      </c>
      <c r="L623" s="220" t="s">
        <v>283</v>
      </c>
      <c r="M623" s="220" t="s">
        <v>283</v>
      </c>
      <c r="N623" s="220" t="s">
        <v>283</v>
      </c>
      <c r="O623" s="221" t="s">
        <v>2</v>
      </c>
      <c r="P623" s="221" t="s">
        <v>2</v>
      </c>
      <c r="Q623" s="221" t="s">
        <v>15</v>
      </c>
      <c r="R623" s="221" t="s">
        <v>15</v>
      </c>
      <c r="S623" s="221" t="s">
        <v>16</v>
      </c>
      <c r="T623" s="221" t="s">
        <v>330</v>
      </c>
      <c r="U623" s="221" t="s">
        <v>250</v>
      </c>
      <c r="V623" s="221" t="s">
        <v>283</v>
      </c>
      <c r="W623" s="222" t="s">
        <v>283</v>
      </c>
      <c r="X623" s="222" t="s">
        <v>283</v>
      </c>
      <c r="Y623" s="223" t="s">
        <v>283</v>
      </c>
    </row>
    <row r="624" spans="1:25">
      <c r="A624" s="217">
        <v>12</v>
      </c>
      <c r="B624" s="218" t="str">
        <f>VLOOKUP(Tabel10[[#This Row],[Code]],Ruimtegroepen[[Code]:[Ruimte omschrijving]],2,FALSE)</f>
        <v>Kantine/Aula</v>
      </c>
      <c r="C624" s="219" t="s">
        <v>803</v>
      </c>
      <c r="D624" s="218" t="s">
        <v>1</v>
      </c>
      <c r="E624" s="219" t="s">
        <v>101</v>
      </c>
      <c r="F624" s="219" t="s">
        <v>806</v>
      </c>
      <c r="G624" s="224" t="s">
        <v>283</v>
      </c>
      <c r="H624" s="220" t="s">
        <v>283</v>
      </c>
      <c r="I624" s="220" t="s">
        <v>2</v>
      </c>
      <c r="J624" s="220" t="s">
        <v>283</v>
      </c>
      <c r="K624" s="220" t="s">
        <v>2</v>
      </c>
      <c r="L624" s="220" t="s">
        <v>283</v>
      </c>
      <c r="M624" s="220" t="s">
        <v>283</v>
      </c>
      <c r="N624" s="220" t="s">
        <v>283</v>
      </c>
      <c r="O624" s="221" t="s">
        <v>2</v>
      </c>
      <c r="P624" s="221" t="s">
        <v>2</v>
      </c>
      <c r="Q624" s="221" t="s">
        <v>15</v>
      </c>
      <c r="R624" s="221" t="s">
        <v>15</v>
      </c>
      <c r="S624" s="221" t="s">
        <v>16</v>
      </c>
      <c r="T624" s="221" t="s">
        <v>330</v>
      </c>
      <c r="U624" s="221" t="s">
        <v>250</v>
      </c>
      <c r="V624" s="221" t="s">
        <v>283</v>
      </c>
      <c r="W624" s="222" t="s">
        <v>283</v>
      </c>
      <c r="X624" s="222" t="s">
        <v>283</v>
      </c>
      <c r="Y624" s="223" t="s">
        <v>283</v>
      </c>
    </row>
    <row r="625" spans="1:25">
      <c r="A625" s="217">
        <v>12</v>
      </c>
      <c r="B625" s="218" t="str">
        <f>VLOOKUP(Tabel10[[#This Row],[Code]],Ruimtegroepen[[Code]:[Ruimte omschrijving]],2,FALSE)</f>
        <v>Kantine/Aula</v>
      </c>
      <c r="C625" s="219" t="s">
        <v>803</v>
      </c>
      <c r="D625" s="218" t="s">
        <v>1</v>
      </c>
      <c r="E625" s="219" t="s">
        <v>102</v>
      </c>
      <c r="F625" s="219" t="s">
        <v>807</v>
      </c>
      <c r="G625" s="224" t="s">
        <v>283</v>
      </c>
      <c r="H625" s="220" t="s">
        <v>283</v>
      </c>
      <c r="I625" s="220" t="s">
        <v>2</v>
      </c>
      <c r="J625" s="220" t="s">
        <v>283</v>
      </c>
      <c r="K625" s="220" t="s">
        <v>2</v>
      </c>
      <c r="L625" s="220" t="s">
        <v>283</v>
      </c>
      <c r="M625" s="220" t="s">
        <v>283</v>
      </c>
      <c r="N625" s="220" t="s">
        <v>283</v>
      </c>
      <c r="O625" s="221" t="s">
        <v>2</v>
      </c>
      <c r="P625" s="221" t="s">
        <v>2</v>
      </c>
      <c r="Q625" s="221" t="s">
        <v>15</v>
      </c>
      <c r="R625" s="221" t="s">
        <v>15</v>
      </c>
      <c r="S625" s="221" t="s">
        <v>16</v>
      </c>
      <c r="T625" s="221" t="s">
        <v>330</v>
      </c>
      <c r="U625" s="221" t="s">
        <v>250</v>
      </c>
      <c r="V625" s="221" t="s">
        <v>283</v>
      </c>
      <c r="W625" s="222" t="s">
        <v>283</v>
      </c>
      <c r="X625" s="222" t="s">
        <v>283</v>
      </c>
      <c r="Y625" s="223" t="s">
        <v>283</v>
      </c>
    </row>
    <row r="626" spans="1:25">
      <c r="A626" s="217">
        <v>12</v>
      </c>
      <c r="B626" s="218" t="str">
        <f>VLOOKUP(Tabel10[[#This Row],[Code]],Ruimtegroepen[[Code]:[Ruimte omschrijving]],2,FALSE)</f>
        <v>Kantine/Aula</v>
      </c>
      <c r="C626" s="219" t="s">
        <v>803</v>
      </c>
      <c r="D626" s="218" t="s">
        <v>1</v>
      </c>
      <c r="E626" s="219" t="s">
        <v>99</v>
      </c>
      <c r="F626" s="219" t="s">
        <v>805</v>
      </c>
      <c r="G626" s="224" t="s">
        <v>283</v>
      </c>
      <c r="H626" s="220" t="s">
        <v>2</v>
      </c>
      <c r="I626" s="220" t="s">
        <v>283</v>
      </c>
      <c r="J626" s="220" t="s">
        <v>283</v>
      </c>
      <c r="K626" s="220" t="s">
        <v>283</v>
      </c>
      <c r="L626" s="220" t="s">
        <v>283</v>
      </c>
      <c r="M626" s="220" t="s">
        <v>283</v>
      </c>
      <c r="N626" s="220" t="s">
        <v>283</v>
      </c>
      <c r="O626" s="221" t="s">
        <v>2</v>
      </c>
      <c r="P626" s="221" t="s">
        <v>2</v>
      </c>
      <c r="Q626" s="221" t="s">
        <v>15</v>
      </c>
      <c r="R626" s="221" t="s">
        <v>15</v>
      </c>
      <c r="S626" s="221" t="s">
        <v>16</v>
      </c>
      <c r="T626" s="221" t="s">
        <v>330</v>
      </c>
      <c r="U626" s="221" t="s">
        <v>250</v>
      </c>
      <c r="V626" s="221" t="s">
        <v>283</v>
      </c>
      <c r="W626" s="222" t="s">
        <v>283</v>
      </c>
      <c r="X626" s="222" t="s">
        <v>283</v>
      </c>
      <c r="Y626" s="223" t="s">
        <v>283</v>
      </c>
    </row>
    <row r="627" spans="1:25">
      <c r="A627" s="217">
        <v>12</v>
      </c>
      <c r="B627" s="218" t="str">
        <f>VLOOKUP(Tabel10[[#This Row],[Code]],Ruimtegroepen[[Code]:[Ruimte omschrijving]],2,FALSE)</f>
        <v>Kantine/Aula</v>
      </c>
      <c r="C627" s="219" t="s">
        <v>803</v>
      </c>
      <c r="D627" s="218" t="s">
        <v>1</v>
      </c>
      <c r="E627" s="219" t="s">
        <v>1313</v>
      </c>
      <c r="F627" s="219" t="s">
        <v>1473</v>
      </c>
      <c r="G627" s="224" t="s">
        <v>283</v>
      </c>
      <c r="H627" s="220" t="s">
        <v>283</v>
      </c>
      <c r="I627" s="220" t="s">
        <v>2</v>
      </c>
      <c r="J627" s="220" t="s">
        <v>283</v>
      </c>
      <c r="K627" s="220" t="s">
        <v>2</v>
      </c>
      <c r="L627" s="220" t="s">
        <v>283</v>
      </c>
      <c r="M627" s="220" t="s">
        <v>283</v>
      </c>
      <c r="N627" s="220" t="s">
        <v>283</v>
      </c>
      <c r="O627" s="221" t="s">
        <v>2</v>
      </c>
      <c r="P627" s="221" t="s">
        <v>2</v>
      </c>
      <c r="Q627" s="221" t="s">
        <v>15</v>
      </c>
      <c r="R627" s="221" t="s">
        <v>15</v>
      </c>
      <c r="S627" s="221" t="s">
        <v>16</v>
      </c>
      <c r="T627" s="221" t="s">
        <v>330</v>
      </c>
      <c r="U627" s="221" t="s">
        <v>250</v>
      </c>
      <c r="V627" s="221" t="s">
        <v>283</v>
      </c>
      <c r="W627" s="222" t="s">
        <v>283</v>
      </c>
      <c r="X627" s="222" t="s">
        <v>283</v>
      </c>
      <c r="Y627" s="223" t="s">
        <v>283</v>
      </c>
    </row>
    <row r="628" spans="1:25">
      <c r="A628" s="217">
        <v>12</v>
      </c>
      <c r="B628" s="218" t="str">
        <f>VLOOKUP(Tabel10[[#This Row],[Code]],Ruimtegroepen[[Code]:[Ruimte omschrijving]],2,FALSE)</f>
        <v>Kantine/Aula</v>
      </c>
      <c r="C628" s="219" t="s">
        <v>808</v>
      </c>
      <c r="D628" s="218" t="s">
        <v>21</v>
      </c>
      <c r="E628" s="219" t="s">
        <v>100</v>
      </c>
      <c r="F628" s="219" t="s">
        <v>809</v>
      </c>
      <c r="G628" s="224" t="s">
        <v>283</v>
      </c>
      <c r="H628" s="220" t="s">
        <v>283</v>
      </c>
      <c r="I628" s="220" t="s">
        <v>283</v>
      </c>
      <c r="J628" s="220" t="s">
        <v>20</v>
      </c>
      <c r="K628" s="220" t="s">
        <v>283</v>
      </c>
      <c r="L628" s="220" t="s">
        <v>283</v>
      </c>
      <c r="M628" s="220" t="s">
        <v>283</v>
      </c>
      <c r="N628" s="220" t="s">
        <v>283</v>
      </c>
      <c r="O628" s="221" t="s">
        <v>20</v>
      </c>
      <c r="P628" s="221" t="s">
        <v>20</v>
      </c>
      <c r="Q628" s="221" t="s">
        <v>15</v>
      </c>
      <c r="R628" s="221" t="s">
        <v>15</v>
      </c>
      <c r="S628" s="221" t="s">
        <v>16</v>
      </c>
      <c r="T628" s="221" t="s">
        <v>330</v>
      </c>
      <c r="U628" s="221" t="s">
        <v>250</v>
      </c>
      <c r="V628" s="221" t="s">
        <v>283</v>
      </c>
      <c r="W628" s="222" t="s">
        <v>283</v>
      </c>
      <c r="X628" s="222" t="s">
        <v>283</v>
      </c>
      <c r="Y628" s="223" t="s">
        <v>283</v>
      </c>
    </row>
    <row r="629" spans="1:25">
      <c r="A629" s="217">
        <v>12</v>
      </c>
      <c r="B629" s="218" t="str">
        <f>VLOOKUP(Tabel10[[#This Row],[Code]],Ruimtegroepen[[Code]:[Ruimte omschrijving]],2,FALSE)</f>
        <v>Kantine/Aula</v>
      </c>
      <c r="C629" s="219" t="s">
        <v>808</v>
      </c>
      <c r="D629" s="218" t="s">
        <v>21</v>
      </c>
      <c r="E629" s="219" t="s">
        <v>99</v>
      </c>
      <c r="F629" s="219" t="s">
        <v>810</v>
      </c>
      <c r="G629" s="224" t="s">
        <v>283</v>
      </c>
      <c r="H629" s="220" t="s">
        <v>20</v>
      </c>
      <c r="I629" s="220" t="s">
        <v>283</v>
      </c>
      <c r="J629" s="220" t="s">
        <v>283</v>
      </c>
      <c r="K629" s="220" t="s">
        <v>283</v>
      </c>
      <c r="L629" s="220" t="s">
        <v>283</v>
      </c>
      <c r="M629" s="220" t="s">
        <v>283</v>
      </c>
      <c r="N629" s="220" t="s">
        <v>283</v>
      </c>
      <c r="O629" s="221" t="s">
        <v>20</v>
      </c>
      <c r="P629" s="221" t="s">
        <v>20</v>
      </c>
      <c r="Q629" s="221" t="s">
        <v>15</v>
      </c>
      <c r="R629" s="221" t="s">
        <v>15</v>
      </c>
      <c r="S629" s="221" t="s">
        <v>16</v>
      </c>
      <c r="T629" s="221" t="s">
        <v>330</v>
      </c>
      <c r="U629" s="221" t="s">
        <v>250</v>
      </c>
      <c r="V629" s="221" t="s">
        <v>283</v>
      </c>
      <c r="W629" s="222" t="s">
        <v>283</v>
      </c>
      <c r="X629" s="222" t="s">
        <v>283</v>
      </c>
      <c r="Y629" s="223" t="s">
        <v>283</v>
      </c>
    </row>
    <row r="630" spans="1:25">
      <c r="A630" s="217">
        <v>12</v>
      </c>
      <c r="B630" s="218" t="str">
        <f>VLOOKUP(Tabel10[[#This Row],[Code]],Ruimtegroepen[[Code]:[Ruimte omschrijving]],2,FALSE)</f>
        <v>Kantine/Aula</v>
      </c>
      <c r="C630" s="219" t="s">
        <v>808</v>
      </c>
      <c r="D630" s="218" t="s">
        <v>21</v>
      </c>
      <c r="E630" s="219" t="s">
        <v>101</v>
      </c>
      <c r="F630" s="219" t="s">
        <v>811</v>
      </c>
      <c r="G630" s="224" t="s">
        <v>283</v>
      </c>
      <c r="H630" s="220" t="s">
        <v>283</v>
      </c>
      <c r="I630" s="220" t="s">
        <v>20</v>
      </c>
      <c r="J630" s="220" t="s">
        <v>283</v>
      </c>
      <c r="K630" s="220" t="s">
        <v>20</v>
      </c>
      <c r="L630" s="220" t="s">
        <v>283</v>
      </c>
      <c r="M630" s="220" t="s">
        <v>283</v>
      </c>
      <c r="N630" s="220" t="s">
        <v>283</v>
      </c>
      <c r="O630" s="221" t="s">
        <v>20</v>
      </c>
      <c r="P630" s="221" t="s">
        <v>20</v>
      </c>
      <c r="Q630" s="221" t="s">
        <v>15</v>
      </c>
      <c r="R630" s="221" t="s">
        <v>15</v>
      </c>
      <c r="S630" s="221" t="s">
        <v>16</v>
      </c>
      <c r="T630" s="221" t="s">
        <v>330</v>
      </c>
      <c r="U630" s="221" t="s">
        <v>250</v>
      </c>
      <c r="V630" s="221" t="s">
        <v>283</v>
      </c>
      <c r="W630" s="222" t="s">
        <v>283</v>
      </c>
      <c r="X630" s="222" t="s">
        <v>283</v>
      </c>
      <c r="Y630" s="223" t="s">
        <v>283</v>
      </c>
    </row>
    <row r="631" spans="1:25">
      <c r="A631" s="217">
        <v>12</v>
      </c>
      <c r="B631" s="218" t="str">
        <f>VLOOKUP(Tabel10[[#This Row],[Code]],Ruimtegroepen[[Code]:[Ruimte omschrijving]],2,FALSE)</f>
        <v>Kantine/Aula</v>
      </c>
      <c r="C631" s="219" t="s">
        <v>808</v>
      </c>
      <c r="D631" s="218" t="s">
        <v>21</v>
      </c>
      <c r="E631" s="219" t="s">
        <v>102</v>
      </c>
      <c r="F631" s="219" t="s">
        <v>812</v>
      </c>
      <c r="G631" s="224" t="s">
        <v>283</v>
      </c>
      <c r="H631" s="220" t="s">
        <v>283</v>
      </c>
      <c r="I631" s="220" t="s">
        <v>20</v>
      </c>
      <c r="J631" s="220" t="s">
        <v>283</v>
      </c>
      <c r="K631" s="220" t="s">
        <v>20</v>
      </c>
      <c r="L631" s="220" t="s">
        <v>283</v>
      </c>
      <c r="M631" s="220" t="s">
        <v>283</v>
      </c>
      <c r="N631" s="220" t="s">
        <v>283</v>
      </c>
      <c r="O631" s="221" t="s">
        <v>20</v>
      </c>
      <c r="P631" s="221" t="s">
        <v>20</v>
      </c>
      <c r="Q631" s="221" t="s">
        <v>15</v>
      </c>
      <c r="R631" s="221" t="s">
        <v>15</v>
      </c>
      <c r="S631" s="221" t="s">
        <v>16</v>
      </c>
      <c r="T631" s="221" t="s">
        <v>330</v>
      </c>
      <c r="U631" s="221" t="s">
        <v>250</v>
      </c>
      <c r="V631" s="221" t="s">
        <v>283</v>
      </c>
      <c r="W631" s="222" t="s">
        <v>283</v>
      </c>
      <c r="X631" s="222" t="s">
        <v>283</v>
      </c>
      <c r="Y631" s="223" t="s">
        <v>283</v>
      </c>
    </row>
    <row r="632" spans="1:25">
      <c r="A632" s="217">
        <v>12</v>
      </c>
      <c r="B632" s="218" t="str">
        <f>VLOOKUP(Tabel10[[#This Row],[Code]],Ruimtegroepen[[Code]:[Ruimte omschrijving]],2,FALSE)</f>
        <v>Kantine/Aula</v>
      </c>
      <c r="C632" s="219" t="s">
        <v>808</v>
      </c>
      <c r="D632" s="218" t="s">
        <v>21</v>
      </c>
      <c r="E632" s="219" t="s">
        <v>99</v>
      </c>
      <c r="F632" s="219" t="s">
        <v>810</v>
      </c>
      <c r="G632" s="224" t="s">
        <v>283</v>
      </c>
      <c r="H632" s="220" t="s">
        <v>20</v>
      </c>
      <c r="I632" s="220" t="s">
        <v>283</v>
      </c>
      <c r="J632" s="220" t="s">
        <v>283</v>
      </c>
      <c r="K632" s="220" t="s">
        <v>283</v>
      </c>
      <c r="L632" s="220" t="s">
        <v>283</v>
      </c>
      <c r="M632" s="220" t="s">
        <v>283</v>
      </c>
      <c r="N632" s="220" t="s">
        <v>283</v>
      </c>
      <c r="O632" s="221" t="s">
        <v>20</v>
      </c>
      <c r="P632" s="221" t="s">
        <v>20</v>
      </c>
      <c r="Q632" s="221" t="s">
        <v>15</v>
      </c>
      <c r="R632" s="221" t="s">
        <v>15</v>
      </c>
      <c r="S632" s="221" t="s">
        <v>16</v>
      </c>
      <c r="T632" s="221" t="s">
        <v>330</v>
      </c>
      <c r="U632" s="221" t="s">
        <v>250</v>
      </c>
      <c r="V632" s="221" t="s">
        <v>283</v>
      </c>
      <c r="W632" s="222" t="s">
        <v>283</v>
      </c>
      <c r="X632" s="222" t="s">
        <v>283</v>
      </c>
      <c r="Y632" s="223" t="s">
        <v>283</v>
      </c>
    </row>
    <row r="633" spans="1:25">
      <c r="A633" s="217">
        <v>12</v>
      </c>
      <c r="B633" s="218" t="str">
        <f>VLOOKUP(Tabel10[[#This Row],[Code]],Ruimtegroepen[[Code]:[Ruimte omschrijving]],2,FALSE)</f>
        <v>Kantine/Aula</v>
      </c>
      <c r="C633" s="219" t="s">
        <v>808</v>
      </c>
      <c r="D633" s="218" t="s">
        <v>21</v>
      </c>
      <c r="E633" s="219" t="s">
        <v>1313</v>
      </c>
      <c r="F633" s="219" t="s">
        <v>1456</v>
      </c>
      <c r="G633" s="224" t="s">
        <v>283</v>
      </c>
      <c r="H633" s="220" t="s">
        <v>283</v>
      </c>
      <c r="I633" s="220" t="s">
        <v>20</v>
      </c>
      <c r="J633" s="220" t="s">
        <v>283</v>
      </c>
      <c r="K633" s="220" t="s">
        <v>20</v>
      </c>
      <c r="L633" s="220" t="s">
        <v>283</v>
      </c>
      <c r="M633" s="220" t="s">
        <v>283</v>
      </c>
      <c r="N633" s="220" t="s">
        <v>283</v>
      </c>
      <c r="O633" s="221" t="s">
        <v>20</v>
      </c>
      <c r="P633" s="221" t="s">
        <v>20</v>
      </c>
      <c r="Q633" s="221" t="s">
        <v>15</v>
      </c>
      <c r="R633" s="221" t="s">
        <v>15</v>
      </c>
      <c r="S633" s="221" t="s">
        <v>16</v>
      </c>
      <c r="T633" s="221" t="s">
        <v>330</v>
      </c>
      <c r="U633" s="221" t="s">
        <v>250</v>
      </c>
      <c r="V633" s="221" t="s">
        <v>283</v>
      </c>
      <c r="W633" s="222" t="s">
        <v>283</v>
      </c>
      <c r="X633" s="222" t="s">
        <v>283</v>
      </c>
      <c r="Y633" s="223" t="s">
        <v>283</v>
      </c>
    </row>
    <row r="634" spans="1:25">
      <c r="A634" s="217">
        <v>12</v>
      </c>
      <c r="B634" s="218" t="str">
        <f>VLOOKUP(Tabel10[[#This Row],[Code]],Ruimtegroepen[[Code]:[Ruimte omschrijving]],2,FALSE)</f>
        <v>Kantine/Aula</v>
      </c>
      <c r="C634" s="219" t="s">
        <v>813</v>
      </c>
      <c r="D634" s="218" t="s">
        <v>12</v>
      </c>
      <c r="E634" s="219" t="s">
        <v>100</v>
      </c>
      <c r="F634" s="219" t="s">
        <v>814</v>
      </c>
      <c r="G634" s="224" t="s">
        <v>283</v>
      </c>
      <c r="H634" s="220" t="s">
        <v>283</v>
      </c>
      <c r="I634" s="220" t="s">
        <v>283</v>
      </c>
      <c r="J634" s="220" t="s">
        <v>18</v>
      </c>
      <c r="K634" s="220" t="s">
        <v>283</v>
      </c>
      <c r="L634" s="220" t="s">
        <v>283</v>
      </c>
      <c r="M634" s="220" t="s">
        <v>283</v>
      </c>
      <c r="N634" s="220" t="s">
        <v>283</v>
      </c>
      <c r="O634" s="221" t="s">
        <v>18</v>
      </c>
      <c r="P634" s="221" t="s">
        <v>18</v>
      </c>
      <c r="Q634" s="221" t="s">
        <v>15</v>
      </c>
      <c r="R634" s="221" t="s">
        <v>15</v>
      </c>
      <c r="S634" s="221" t="s">
        <v>16</v>
      </c>
      <c r="T634" s="221" t="s">
        <v>330</v>
      </c>
      <c r="U634" s="221" t="s">
        <v>250</v>
      </c>
      <c r="V634" s="221" t="s">
        <v>283</v>
      </c>
      <c r="W634" s="222" t="s">
        <v>283</v>
      </c>
      <c r="X634" s="222" t="s">
        <v>283</v>
      </c>
      <c r="Y634" s="223" t="s">
        <v>283</v>
      </c>
    </row>
    <row r="635" spans="1:25">
      <c r="A635" s="217">
        <v>12</v>
      </c>
      <c r="B635" s="218" t="str">
        <f>VLOOKUP(Tabel10[[#This Row],[Code]],Ruimtegroepen[[Code]:[Ruimte omschrijving]],2,FALSE)</f>
        <v>Kantine/Aula</v>
      </c>
      <c r="C635" s="219" t="s">
        <v>813</v>
      </c>
      <c r="D635" s="218" t="s">
        <v>12</v>
      </c>
      <c r="E635" s="219" t="s">
        <v>99</v>
      </c>
      <c r="F635" s="219" t="s">
        <v>815</v>
      </c>
      <c r="G635" s="224" t="s">
        <v>283</v>
      </c>
      <c r="H635" s="220" t="s">
        <v>18</v>
      </c>
      <c r="I635" s="220" t="s">
        <v>283</v>
      </c>
      <c r="J635" s="220" t="s">
        <v>283</v>
      </c>
      <c r="K635" s="220" t="s">
        <v>283</v>
      </c>
      <c r="L635" s="220" t="s">
        <v>283</v>
      </c>
      <c r="M635" s="220" t="s">
        <v>283</v>
      </c>
      <c r="N635" s="220" t="s">
        <v>283</v>
      </c>
      <c r="O635" s="221" t="s">
        <v>18</v>
      </c>
      <c r="P635" s="221" t="s">
        <v>18</v>
      </c>
      <c r="Q635" s="221" t="s">
        <v>15</v>
      </c>
      <c r="R635" s="221" t="s">
        <v>15</v>
      </c>
      <c r="S635" s="221" t="s">
        <v>16</v>
      </c>
      <c r="T635" s="221" t="s">
        <v>330</v>
      </c>
      <c r="U635" s="221" t="s">
        <v>250</v>
      </c>
      <c r="V635" s="221" t="s">
        <v>283</v>
      </c>
      <c r="W635" s="222" t="s">
        <v>283</v>
      </c>
      <c r="X635" s="222" t="s">
        <v>283</v>
      </c>
      <c r="Y635" s="223" t="s">
        <v>283</v>
      </c>
    </row>
    <row r="636" spans="1:25">
      <c r="A636" s="217">
        <v>12</v>
      </c>
      <c r="B636" s="218" t="str">
        <f>VLOOKUP(Tabel10[[#This Row],[Code]],Ruimtegroepen[[Code]:[Ruimte omschrijving]],2,FALSE)</f>
        <v>Kantine/Aula</v>
      </c>
      <c r="C636" s="219" t="s">
        <v>813</v>
      </c>
      <c r="D636" s="218" t="s">
        <v>12</v>
      </c>
      <c r="E636" s="219" t="s">
        <v>101</v>
      </c>
      <c r="F636" s="219" t="s">
        <v>816</v>
      </c>
      <c r="G636" s="224" t="s">
        <v>283</v>
      </c>
      <c r="H636" s="220" t="s">
        <v>283</v>
      </c>
      <c r="I636" s="220" t="s">
        <v>18</v>
      </c>
      <c r="J636" s="220" t="s">
        <v>283</v>
      </c>
      <c r="K636" s="220" t="s">
        <v>18</v>
      </c>
      <c r="L636" s="220" t="s">
        <v>283</v>
      </c>
      <c r="M636" s="220" t="s">
        <v>283</v>
      </c>
      <c r="N636" s="220" t="s">
        <v>283</v>
      </c>
      <c r="O636" s="221" t="s">
        <v>18</v>
      </c>
      <c r="P636" s="221" t="s">
        <v>18</v>
      </c>
      <c r="Q636" s="221" t="s">
        <v>15</v>
      </c>
      <c r="R636" s="221" t="s">
        <v>15</v>
      </c>
      <c r="S636" s="221" t="s">
        <v>16</v>
      </c>
      <c r="T636" s="221" t="s">
        <v>330</v>
      </c>
      <c r="U636" s="221" t="s">
        <v>250</v>
      </c>
      <c r="V636" s="221" t="s">
        <v>283</v>
      </c>
      <c r="W636" s="222" t="s">
        <v>283</v>
      </c>
      <c r="X636" s="222" t="s">
        <v>283</v>
      </c>
      <c r="Y636" s="223" t="s">
        <v>283</v>
      </c>
    </row>
    <row r="637" spans="1:25">
      <c r="A637" s="217">
        <v>12</v>
      </c>
      <c r="B637" s="218" t="str">
        <f>VLOOKUP(Tabel10[[#This Row],[Code]],Ruimtegroepen[[Code]:[Ruimte omschrijving]],2,FALSE)</f>
        <v>Kantine/Aula</v>
      </c>
      <c r="C637" s="219" t="s">
        <v>813</v>
      </c>
      <c r="D637" s="218" t="s">
        <v>12</v>
      </c>
      <c r="E637" s="219" t="s">
        <v>102</v>
      </c>
      <c r="F637" s="219" t="s">
        <v>817</v>
      </c>
      <c r="G637" s="224" t="s">
        <v>283</v>
      </c>
      <c r="H637" s="220" t="s">
        <v>283</v>
      </c>
      <c r="I637" s="220" t="s">
        <v>18</v>
      </c>
      <c r="J637" s="220" t="s">
        <v>283</v>
      </c>
      <c r="K637" s="220" t="s">
        <v>18</v>
      </c>
      <c r="L637" s="220" t="s">
        <v>283</v>
      </c>
      <c r="M637" s="220" t="s">
        <v>283</v>
      </c>
      <c r="N637" s="220" t="s">
        <v>283</v>
      </c>
      <c r="O637" s="221" t="s">
        <v>18</v>
      </c>
      <c r="P637" s="221" t="s">
        <v>18</v>
      </c>
      <c r="Q637" s="221" t="s">
        <v>15</v>
      </c>
      <c r="R637" s="221" t="s">
        <v>15</v>
      </c>
      <c r="S637" s="221" t="s">
        <v>16</v>
      </c>
      <c r="T637" s="221" t="s">
        <v>330</v>
      </c>
      <c r="U637" s="221" t="s">
        <v>250</v>
      </c>
      <c r="V637" s="221" t="s">
        <v>283</v>
      </c>
      <c r="W637" s="222" t="s">
        <v>283</v>
      </c>
      <c r="X637" s="222" t="s">
        <v>283</v>
      </c>
      <c r="Y637" s="223" t="s">
        <v>283</v>
      </c>
    </row>
    <row r="638" spans="1:25">
      <c r="A638" s="217">
        <v>12</v>
      </c>
      <c r="B638" s="218" t="str">
        <f>VLOOKUP(Tabel10[[#This Row],[Code]],Ruimtegroepen[[Code]:[Ruimte omschrijving]],2,FALSE)</f>
        <v>Kantine/Aula</v>
      </c>
      <c r="C638" s="219" t="s">
        <v>813</v>
      </c>
      <c r="D638" s="218" t="s">
        <v>12</v>
      </c>
      <c r="E638" s="219" t="s">
        <v>99</v>
      </c>
      <c r="F638" s="219" t="s">
        <v>815</v>
      </c>
      <c r="G638" s="224" t="s">
        <v>283</v>
      </c>
      <c r="H638" s="220" t="s">
        <v>18</v>
      </c>
      <c r="I638" s="220" t="s">
        <v>283</v>
      </c>
      <c r="J638" s="220" t="s">
        <v>283</v>
      </c>
      <c r="K638" s="220" t="s">
        <v>283</v>
      </c>
      <c r="L638" s="220" t="s">
        <v>283</v>
      </c>
      <c r="M638" s="220" t="s">
        <v>283</v>
      </c>
      <c r="N638" s="220" t="s">
        <v>283</v>
      </c>
      <c r="O638" s="221" t="s">
        <v>18</v>
      </c>
      <c r="P638" s="221" t="s">
        <v>18</v>
      </c>
      <c r="Q638" s="221" t="s">
        <v>15</v>
      </c>
      <c r="R638" s="221" t="s">
        <v>15</v>
      </c>
      <c r="S638" s="221" t="s">
        <v>16</v>
      </c>
      <c r="T638" s="221" t="s">
        <v>330</v>
      </c>
      <c r="U638" s="221" t="s">
        <v>250</v>
      </c>
      <c r="V638" s="221" t="s">
        <v>283</v>
      </c>
      <c r="W638" s="222" t="s">
        <v>283</v>
      </c>
      <c r="X638" s="222" t="s">
        <v>283</v>
      </c>
      <c r="Y638" s="223" t="s">
        <v>283</v>
      </c>
    </row>
    <row r="639" spans="1:25">
      <c r="A639" s="217">
        <v>12</v>
      </c>
      <c r="B639" s="218" t="str">
        <f>VLOOKUP(Tabel10[[#This Row],[Code]],Ruimtegroepen[[Code]:[Ruimte omschrijving]],2,FALSE)</f>
        <v>Kantine/Aula</v>
      </c>
      <c r="C639" s="219" t="s">
        <v>813</v>
      </c>
      <c r="D639" s="218" t="s">
        <v>12</v>
      </c>
      <c r="E639" s="219" t="s">
        <v>1313</v>
      </c>
      <c r="F639" s="219" t="s">
        <v>1438</v>
      </c>
      <c r="G639" s="224" t="s">
        <v>283</v>
      </c>
      <c r="H639" s="220" t="s">
        <v>283</v>
      </c>
      <c r="I639" s="220" t="s">
        <v>18</v>
      </c>
      <c r="J639" s="220" t="s">
        <v>283</v>
      </c>
      <c r="K639" s="220" t="s">
        <v>18</v>
      </c>
      <c r="L639" s="220" t="s">
        <v>283</v>
      </c>
      <c r="M639" s="220" t="s">
        <v>283</v>
      </c>
      <c r="N639" s="220" t="s">
        <v>283</v>
      </c>
      <c r="O639" s="221" t="s">
        <v>18</v>
      </c>
      <c r="P639" s="221" t="s">
        <v>18</v>
      </c>
      <c r="Q639" s="221" t="s">
        <v>15</v>
      </c>
      <c r="R639" s="221" t="s">
        <v>15</v>
      </c>
      <c r="S639" s="221" t="s">
        <v>16</v>
      </c>
      <c r="T639" s="221" t="s">
        <v>330</v>
      </c>
      <c r="U639" s="221" t="s">
        <v>250</v>
      </c>
      <c r="V639" s="221" t="s">
        <v>283</v>
      </c>
      <c r="W639" s="222" t="s">
        <v>283</v>
      </c>
      <c r="X639" s="222" t="s">
        <v>283</v>
      </c>
      <c r="Y639" s="223" t="s">
        <v>283</v>
      </c>
    </row>
    <row r="640" spans="1:25">
      <c r="A640" s="217">
        <v>12</v>
      </c>
      <c r="B640" s="218" t="str">
        <f>VLOOKUP(Tabel10[[#This Row],[Code]],Ruimtegroepen[[Code]:[Ruimte omschrijving]],2,FALSE)</f>
        <v>Kantine/Aula</v>
      </c>
      <c r="C640" s="219" t="s">
        <v>818</v>
      </c>
      <c r="D640" s="218" t="s">
        <v>14</v>
      </c>
      <c r="E640" s="219" t="s">
        <v>100</v>
      </c>
      <c r="F640" s="219" t="s">
        <v>819</v>
      </c>
      <c r="G640" s="224" t="s">
        <v>283</v>
      </c>
      <c r="H640" s="220" t="s">
        <v>283</v>
      </c>
      <c r="I640" s="220" t="s">
        <v>283</v>
      </c>
      <c r="J640" s="220" t="s">
        <v>17</v>
      </c>
      <c r="K640" s="220" t="s">
        <v>283</v>
      </c>
      <c r="L640" s="220" t="s">
        <v>283</v>
      </c>
      <c r="M640" s="220" t="s">
        <v>283</v>
      </c>
      <c r="N640" s="220" t="s">
        <v>283</v>
      </c>
      <c r="O640" s="221" t="s">
        <v>17</v>
      </c>
      <c r="P640" s="221" t="s">
        <v>17</v>
      </c>
      <c r="Q640" s="221" t="s">
        <v>15</v>
      </c>
      <c r="R640" s="221" t="s">
        <v>15</v>
      </c>
      <c r="S640" s="221" t="s">
        <v>16</v>
      </c>
      <c r="T640" s="221" t="s">
        <v>330</v>
      </c>
      <c r="U640" s="221" t="s">
        <v>250</v>
      </c>
      <c r="V640" s="221" t="s">
        <v>283</v>
      </c>
      <c r="W640" s="222" t="s">
        <v>283</v>
      </c>
      <c r="X640" s="222" t="s">
        <v>283</v>
      </c>
      <c r="Y640" s="223" t="s">
        <v>283</v>
      </c>
    </row>
    <row r="641" spans="1:25">
      <c r="A641" s="217">
        <v>12</v>
      </c>
      <c r="B641" s="218" t="str">
        <f>VLOOKUP(Tabel10[[#This Row],[Code]],Ruimtegroepen[[Code]:[Ruimte omschrijving]],2,FALSE)</f>
        <v>Kantine/Aula</v>
      </c>
      <c r="C641" s="219" t="s">
        <v>818</v>
      </c>
      <c r="D641" s="218" t="s">
        <v>14</v>
      </c>
      <c r="E641" s="219" t="s">
        <v>99</v>
      </c>
      <c r="F641" s="219" t="s">
        <v>820</v>
      </c>
      <c r="G641" s="224" t="s">
        <v>283</v>
      </c>
      <c r="H641" s="220" t="s">
        <v>17</v>
      </c>
      <c r="I641" s="220" t="s">
        <v>283</v>
      </c>
      <c r="J641" s="220" t="s">
        <v>283</v>
      </c>
      <c r="K641" s="220" t="s">
        <v>283</v>
      </c>
      <c r="L641" s="220" t="s">
        <v>283</v>
      </c>
      <c r="M641" s="220" t="s">
        <v>283</v>
      </c>
      <c r="N641" s="220" t="s">
        <v>283</v>
      </c>
      <c r="O641" s="221" t="s">
        <v>17</v>
      </c>
      <c r="P641" s="221" t="s">
        <v>17</v>
      </c>
      <c r="Q641" s="221" t="s">
        <v>15</v>
      </c>
      <c r="R641" s="221" t="s">
        <v>15</v>
      </c>
      <c r="S641" s="221" t="s">
        <v>16</v>
      </c>
      <c r="T641" s="221" t="s">
        <v>330</v>
      </c>
      <c r="U641" s="221" t="s">
        <v>250</v>
      </c>
      <c r="V641" s="221" t="s">
        <v>283</v>
      </c>
      <c r="W641" s="222" t="s">
        <v>283</v>
      </c>
      <c r="X641" s="222" t="s">
        <v>283</v>
      </c>
      <c r="Y641" s="223" t="s">
        <v>283</v>
      </c>
    </row>
    <row r="642" spans="1:25">
      <c r="A642" s="217">
        <v>12</v>
      </c>
      <c r="B642" s="218" t="str">
        <f>VLOOKUP(Tabel10[[#This Row],[Code]],Ruimtegroepen[[Code]:[Ruimte omschrijving]],2,FALSE)</f>
        <v>Kantine/Aula</v>
      </c>
      <c r="C642" s="219" t="s">
        <v>818</v>
      </c>
      <c r="D642" s="218" t="s">
        <v>14</v>
      </c>
      <c r="E642" s="219" t="s">
        <v>101</v>
      </c>
      <c r="F642" s="219" t="s">
        <v>821</v>
      </c>
      <c r="G642" s="224" t="s">
        <v>283</v>
      </c>
      <c r="H642" s="220" t="s">
        <v>283</v>
      </c>
      <c r="I642" s="220" t="s">
        <v>17</v>
      </c>
      <c r="J642" s="220" t="s">
        <v>283</v>
      </c>
      <c r="K642" s="220" t="s">
        <v>17</v>
      </c>
      <c r="L642" s="220" t="s">
        <v>283</v>
      </c>
      <c r="M642" s="220" t="s">
        <v>283</v>
      </c>
      <c r="N642" s="220" t="s">
        <v>283</v>
      </c>
      <c r="O642" s="221" t="s">
        <v>17</v>
      </c>
      <c r="P642" s="221" t="s">
        <v>17</v>
      </c>
      <c r="Q642" s="221" t="s">
        <v>15</v>
      </c>
      <c r="R642" s="221" t="s">
        <v>15</v>
      </c>
      <c r="S642" s="221" t="s">
        <v>16</v>
      </c>
      <c r="T642" s="221" t="s">
        <v>330</v>
      </c>
      <c r="U642" s="221" t="s">
        <v>250</v>
      </c>
      <c r="V642" s="221" t="s">
        <v>283</v>
      </c>
      <c r="W642" s="222" t="s">
        <v>283</v>
      </c>
      <c r="X642" s="222" t="s">
        <v>283</v>
      </c>
      <c r="Y642" s="223" t="s">
        <v>283</v>
      </c>
    </row>
    <row r="643" spans="1:25">
      <c r="A643" s="217">
        <v>12</v>
      </c>
      <c r="B643" s="218" t="str">
        <f>VLOOKUP(Tabel10[[#This Row],[Code]],Ruimtegroepen[[Code]:[Ruimte omschrijving]],2,FALSE)</f>
        <v>Kantine/Aula</v>
      </c>
      <c r="C643" s="219" t="s">
        <v>818</v>
      </c>
      <c r="D643" s="218" t="s">
        <v>14</v>
      </c>
      <c r="E643" s="219" t="s">
        <v>102</v>
      </c>
      <c r="F643" s="219" t="s">
        <v>822</v>
      </c>
      <c r="G643" s="224" t="s">
        <v>283</v>
      </c>
      <c r="H643" s="220" t="s">
        <v>283</v>
      </c>
      <c r="I643" s="220" t="s">
        <v>17</v>
      </c>
      <c r="J643" s="220" t="s">
        <v>283</v>
      </c>
      <c r="K643" s="220" t="s">
        <v>17</v>
      </c>
      <c r="L643" s="220" t="s">
        <v>283</v>
      </c>
      <c r="M643" s="220" t="s">
        <v>283</v>
      </c>
      <c r="N643" s="220" t="s">
        <v>283</v>
      </c>
      <c r="O643" s="221" t="s">
        <v>17</v>
      </c>
      <c r="P643" s="221" t="s">
        <v>17</v>
      </c>
      <c r="Q643" s="221" t="s">
        <v>15</v>
      </c>
      <c r="R643" s="221" t="s">
        <v>15</v>
      </c>
      <c r="S643" s="221" t="s">
        <v>16</v>
      </c>
      <c r="T643" s="221" t="s">
        <v>330</v>
      </c>
      <c r="U643" s="221" t="s">
        <v>250</v>
      </c>
      <c r="V643" s="221" t="s">
        <v>283</v>
      </c>
      <c r="W643" s="222" t="s">
        <v>283</v>
      </c>
      <c r="X643" s="222" t="s">
        <v>283</v>
      </c>
      <c r="Y643" s="223" t="s">
        <v>283</v>
      </c>
    </row>
    <row r="644" spans="1:25">
      <c r="A644" s="217">
        <v>12</v>
      </c>
      <c r="B644" s="218" t="str">
        <f>VLOOKUP(Tabel10[[#This Row],[Code]],Ruimtegroepen[[Code]:[Ruimte omschrijving]],2,FALSE)</f>
        <v>Kantine/Aula</v>
      </c>
      <c r="C644" s="219" t="s">
        <v>818</v>
      </c>
      <c r="D644" s="218" t="s">
        <v>14</v>
      </c>
      <c r="E644" s="219" t="s">
        <v>99</v>
      </c>
      <c r="F644" s="219" t="s">
        <v>820</v>
      </c>
      <c r="G644" s="224" t="s">
        <v>283</v>
      </c>
      <c r="H644" s="220" t="s">
        <v>17</v>
      </c>
      <c r="I644" s="220" t="s">
        <v>283</v>
      </c>
      <c r="J644" s="220" t="s">
        <v>283</v>
      </c>
      <c r="K644" s="220" t="s">
        <v>283</v>
      </c>
      <c r="L644" s="220" t="s">
        <v>283</v>
      </c>
      <c r="M644" s="220" t="s">
        <v>283</v>
      </c>
      <c r="N644" s="220" t="s">
        <v>283</v>
      </c>
      <c r="O644" s="221" t="s">
        <v>17</v>
      </c>
      <c r="P644" s="221" t="s">
        <v>17</v>
      </c>
      <c r="Q644" s="221" t="s">
        <v>15</v>
      </c>
      <c r="R644" s="221" t="s">
        <v>15</v>
      </c>
      <c r="S644" s="221" t="s">
        <v>16</v>
      </c>
      <c r="T644" s="221" t="s">
        <v>330</v>
      </c>
      <c r="U644" s="221" t="s">
        <v>250</v>
      </c>
      <c r="V644" s="221" t="s">
        <v>283</v>
      </c>
      <c r="W644" s="222" t="s">
        <v>283</v>
      </c>
      <c r="X644" s="222" t="s">
        <v>283</v>
      </c>
      <c r="Y644" s="223" t="s">
        <v>283</v>
      </c>
    </row>
    <row r="645" spans="1:25">
      <c r="A645" s="217">
        <v>12</v>
      </c>
      <c r="B645" s="218" t="str">
        <f>VLOOKUP(Tabel10[[#This Row],[Code]],Ruimtegroepen[[Code]:[Ruimte omschrijving]],2,FALSE)</f>
        <v>Kantine/Aula</v>
      </c>
      <c r="C645" s="219" t="s">
        <v>818</v>
      </c>
      <c r="D645" s="218" t="s">
        <v>14</v>
      </c>
      <c r="E645" s="219" t="s">
        <v>1313</v>
      </c>
      <c r="F645" s="219" t="s">
        <v>1405</v>
      </c>
      <c r="G645" s="224" t="s">
        <v>283</v>
      </c>
      <c r="H645" s="220" t="s">
        <v>283</v>
      </c>
      <c r="I645" s="220" t="s">
        <v>17</v>
      </c>
      <c r="J645" s="220" t="s">
        <v>283</v>
      </c>
      <c r="K645" s="220" t="s">
        <v>17</v>
      </c>
      <c r="L645" s="220" t="s">
        <v>283</v>
      </c>
      <c r="M645" s="220" t="s">
        <v>283</v>
      </c>
      <c r="N645" s="220" t="s">
        <v>283</v>
      </c>
      <c r="O645" s="221" t="s">
        <v>17</v>
      </c>
      <c r="P645" s="221" t="s">
        <v>17</v>
      </c>
      <c r="Q645" s="221" t="s">
        <v>15</v>
      </c>
      <c r="R645" s="221" t="s">
        <v>15</v>
      </c>
      <c r="S645" s="221" t="s">
        <v>16</v>
      </c>
      <c r="T645" s="221" t="s">
        <v>330</v>
      </c>
      <c r="U645" s="221" t="s">
        <v>250</v>
      </c>
      <c r="V645" s="221" t="s">
        <v>283</v>
      </c>
      <c r="W645" s="222" t="s">
        <v>283</v>
      </c>
      <c r="X645" s="222" t="s">
        <v>283</v>
      </c>
      <c r="Y645" s="223" t="s">
        <v>283</v>
      </c>
    </row>
    <row r="646" spans="1:25">
      <c r="A646" s="217">
        <v>12</v>
      </c>
      <c r="B646" s="218" t="str">
        <f>VLOOKUP(Tabel10[[#This Row],[Code]],Ruimtegroepen[[Code]:[Ruimte omschrijving]],2,FALSE)</f>
        <v>Kantine/Aula</v>
      </c>
      <c r="C646" s="219" t="s">
        <v>823</v>
      </c>
      <c r="D646" s="218" t="s">
        <v>13</v>
      </c>
      <c r="E646" s="219" t="s">
        <v>100</v>
      </c>
      <c r="F646" s="219" t="s">
        <v>824</v>
      </c>
      <c r="G646" s="224" t="s">
        <v>283</v>
      </c>
      <c r="H646" s="220" t="s">
        <v>283</v>
      </c>
      <c r="I646" s="220" t="s">
        <v>283</v>
      </c>
      <c r="J646" s="220" t="s">
        <v>15</v>
      </c>
      <c r="K646" s="220" t="s">
        <v>283</v>
      </c>
      <c r="L646" s="220" t="s">
        <v>283</v>
      </c>
      <c r="M646" s="220" t="s">
        <v>283</v>
      </c>
      <c r="N646" s="220" t="s">
        <v>283</v>
      </c>
      <c r="O646" s="221" t="s">
        <v>15</v>
      </c>
      <c r="P646" s="221" t="s">
        <v>15</v>
      </c>
      <c r="Q646" s="221" t="s">
        <v>15</v>
      </c>
      <c r="R646" s="221" t="s">
        <v>15</v>
      </c>
      <c r="S646" s="221" t="s">
        <v>16</v>
      </c>
      <c r="T646" s="221" t="s">
        <v>330</v>
      </c>
      <c r="U646" s="221" t="s">
        <v>250</v>
      </c>
      <c r="V646" s="221" t="s">
        <v>283</v>
      </c>
      <c r="W646" s="222" t="s">
        <v>283</v>
      </c>
      <c r="X646" s="222" t="s">
        <v>283</v>
      </c>
      <c r="Y646" s="223" t="s">
        <v>283</v>
      </c>
    </row>
    <row r="647" spans="1:25">
      <c r="A647" s="217">
        <v>12</v>
      </c>
      <c r="B647" s="218" t="str">
        <f>VLOOKUP(Tabel10[[#This Row],[Code]],Ruimtegroepen[[Code]:[Ruimte omschrijving]],2,FALSE)</f>
        <v>Kantine/Aula</v>
      </c>
      <c r="C647" s="219" t="s">
        <v>823</v>
      </c>
      <c r="D647" s="218" t="s">
        <v>13</v>
      </c>
      <c r="E647" s="219" t="s">
        <v>99</v>
      </c>
      <c r="F647" s="219" t="s">
        <v>825</v>
      </c>
      <c r="G647" s="224" t="s">
        <v>283</v>
      </c>
      <c r="H647" s="220" t="s">
        <v>15</v>
      </c>
      <c r="I647" s="220" t="s">
        <v>283</v>
      </c>
      <c r="J647" s="220" t="s">
        <v>283</v>
      </c>
      <c r="K647" s="220" t="s">
        <v>283</v>
      </c>
      <c r="L647" s="220" t="s">
        <v>283</v>
      </c>
      <c r="M647" s="220" t="s">
        <v>283</v>
      </c>
      <c r="N647" s="220" t="s">
        <v>283</v>
      </c>
      <c r="O647" s="221" t="s">
        <v>15</v>
      </c>
      <c r="P647" s="221" t="s">
        <v>15</v>
      </c>
      <c r="Q647" s="221" t="s">
        <v>15</v>
      </c>
      <c r="R647" s="221" t="s">
        <v>15</v>
      </c>
      <c r="S647" s="221" t="s">
        <v>16</v>
      </c>
      <c r="T647" s="221" t="s">
        <v>330</v>
      </c>
      <c r="U647" s="221" t="s">
        <v>250</v>
      </c>
      <c r="V647" s="221" t="s">
        <v>283</v>
      </c>
      <c r="W647" s="222" t="s">
        <v>283</v>
      </c>
      <c r="X647" s="222" t="s">
        <v>283</v>
      </c>
      <c r="Y647" s="223" t="s">
        <v>283</v>
      </c>
    </row>
    <row r="648" spans="1:25">
      <c r="A648" s="217">
        <v>12</v>
      </c>
      <c r="B648" s="218" t="str">
        <f>VLOOKUP(Tabel10[[#This Row],[Code]],Ruimtegroepen[[Code]:[Ruimte omschrijving]],2,FALSE)</f>
        <v>Kantine/Aula</v>
      </c>
      <c r="C648" s="219" t="s">
        <v>823</v>
      </c>
      <c r="D648" s="218" t="s">
        <v>13</v>
      </c>
      <c r="E648" s="219" t="s">
        <v>101</v>
      </c>
      <c r="F648" s="219" t="s">
        <v>826</v>
      </c>
      <c r="G648" s="224" t="s">
        <v>283</v>
      </c>
      <c r="H648" s="220" t="s">
        <v>283</v>
      </c>
      <c r="I648" s="220" t="s">
        <v>15</v>
      </c>
      <c r="J648" s="220" t="s">
        <v>283</v>
      </c>
      <c r="K648" s="220" t="s">
        <v>15</v>
      </c>
      <c r="L648" s="220" t="s">
        <v>283</v>
      </c>
      <c r="M648" s="220" t="s">
        <v>283</v>
      </c>
      <c r="N648" s="220" t="s">
        <v>283</v>
      </c>
      <c r="O648" s="221" t="s">
        <v>15</v>
      </c>
      <c r="P648" s="221" t="s">
        <v>15</v>
      </c>
      <c r="Q648" s="221" t="s">
        <v>15</v>
      </c>
      <c r="R648" s="221" t="s">
        <v>15</v>
      </c>
      <c r="S648" s="221" t="s">
        <v>16</v>
      </c>
      <c r="T648" s="221" t="s">
        <v>330</v>
      </c>
      <c r="U648" s="221" t="s">
        <v>250</v>
      </c>
      <c r="V648" s="221" t="s">
        <v>283</v>
      </c>
      <c r="W648" s="222" t="s">
        <v>283</v>
      </c>
      <c r="X648" s="222" t="s">
        <v>283</v>
      </c>
      <c r="Y648" s="223" t="s">
        <v>283</v>
      </c>
    </row>
    <row r="649" spans="1:25">
      <c r="A649" s="217">
        <v>12</v>
      </c>
      <c r="B649" s="218" t="str">
        <f>VLOOKUP(Tabel10[[#This Row],[Code]],Ruimtegroepen[[Code]:[Ruimte omschrijving]],2,FALSE)</f>
        <v>Kantine/Aula</v>
      </c>
      <c r="C649" s="219" t="s">
        <v>823</v>
      </c>
      <c r="D649" s="218" t="s">
        <v>13</v>
      </c>
      <c r="E649" s="219" t="s">
        <v>102</v>
      </c>
      <c r="F649" s="219" t="s">
        <v>827</v>
      </c>
      <c r="G649" s="224" t="s">
        <v>283</v>
      </c>
      <c r="H649" s="220" t="s">
        <v>283</v>
      </c>
      <c r="I649" s="220" t="s">
        <v>15</v>
      </c>
      <c r="J649" s="220" t="s">
        <v>283</v>
      </c>
      <c r="K649" s="220" t="s">
        <v>15</v>
      </c>
      <c r="L649" s="220" t="s">
        <v>283</v>
      </c>
      <c r="M649" s="220" t="s">
        <v>283</v>
      </c>
      <c r="N649" s="220" t="s">
        <v>283</v>
      </c>
      <c r="O649" s="221" t="s">
        <v>15</v>
      </c>
      <c r="P649" s="221" t="s">
        <v>15</v>
      </c>
      <c r="Q649" s="221" t="s">
        <v>15</v>
      </c>
      <c r="R649" s="221" t="s">
        <v>15</v>
      </c>
      <c r="S649" s="221" t="s">
        <v>16</v>
      </c>
      <c r="T649" s="221" t="s">
        <v>330</v>
      </c>
      <c r="U649" s="221" t="s">
        <v>250</v>
      </c>
      <c r="V649" s="221" t="s">
        <v>283</v>
      </c>
      <c r="W649" s="222" t="s">
        <v>283</v>
      </c>
      <c r="X649" s="222" t="s">
        <v>283</v>
      </c>
      <c r="Y649" s="223" t="s">
        <v>283</v>
      </c>
    </row>
    <row r="650" spans="1:25">
      <c r="A650" s="217">
        <v>12</v>
      </c>
      <c r="B650" s="218" t="str">
        <f>VLOOKUP(Tabel10[[#This Row],[Code]],Ruimtegroepen[[Code]:[Ruimte omschrijving]],2,FALSE)</f>
        <v>Kantine/Aula</v>
      </c>
      <c r="C650" s="219" t="s">
        <v>823</v>
      </c>
      <c r="D650" s="218" t="s">
        <v>13</v>
      </c>
      <c r="E650" s="219" t="s">
        <v>99</v>
      </c>
      <c r="F650" s="219" t="s">
        <v>825</v>
      </c>
      <c r="G650" s="224" t="s">
        <v>283</v>
      </c>
      <c r="H650" s="220" t="s">
        <v>15</v>
      </c>
      <c r="I650" s="220" t="s">
        <v>283</v>
      </c>
      <c r="J650" s="220" t="s">
        <v>283</v>
      </c>
      <c r="K650" s="220" t="s">
        <v>283</v>
      </c>
      <c r="L650" s="220" t="s">
        <v>283</v>
      </c>
      <c r="M650" s="220" t="s">
        <v>283</v>
      </c>
      <c r="N650" s="220" t="s">
        <v>283</v>
      </c>
      <c r="O650" s="221" t="s">
        <v>15</v>
      </c>
      <c r="P650" s="221" t="s">
        <v>15</v>
      </c>
      <c r="Q650" s="221" t="s">
        <v>15</v>
      </c>
      <c r="R650" s="221" t="s">
        <v>15</v>
      </c>
      <c r="S650" s="221" t="s">
        <v>16</v>
      </c>
      <c r="T650" s="221" t="s">
        <v>330</v>
      </c>
      <c r="U650" s="221" t="s">
        <v>250</v>
      </c>
      <c r="V650" s="221" t="s">
        <v>283</v>
      </c>
      <c r="W650" s="222" t="s">
        <v>283</v>
      </c>
      <c r="X650" s="222" t="s">
        <v>283</v>
      </c>
      <c r="Y650" s="223" t="s">
        <v>283</v>
      </c>
    </row>
    <row r="651" spans="1:25">
      <c r="A651" s="217">
        <v>12</v>
      </c>
      <c r="B651" s="218" t="str">
        <f>VLOOKUP(Tabel10[[#This Row],[Code]],Ruimtegroepen[[Code]:[Ruimte omschrijving]],2,FALSE)</f>
        <v>Kantine/Aula</v>
      </c>
      <c r="C651" s="219" t="s">
        <v>823</v>
      </c>
      <c r="D651" s="218" t="s">
        <v>13</v>
      </c>
      <c r="E651" s="219" t="s">
        <v>1313</v>
      </c>
      <c r="F651" s="219" t="s">
        <v>1372</v>
      </c>
      <c r="G651" s="224" t="s">
        <v>283</v>
      </c>
      <c r="H651" s="220" t="s">
        <v>283</v>
      </c>
      <c r="I651" s="220" t="s">
        <v>15</v>
      </c>
      <c r="J651" s="220" t="s">
        <v>283</v>
      </c>
      <c r="K651" s="220" t="s">
        <v>15</v>
      </c>
      <c r="L651" s="220" t="s">
        <v>283</v>
      </c>
      <c r="M651" s="220" t="s">
        <v>283</v>
      </c>
      <c r="N651" s="220" t="s">
        <v>283</v>
      </c>
      <c r="O651" s="221" t="s">
        <v>15</v>
      </c>
      <c r="P651" s="221" t="s">
        <v>15</v>
      </c>
      <c r="Q651" s="221" t="s">
        <v>15</v>
      </c>
      <c r="R651" s="221" t="s">
        <v>15</v>
      </c>
      <c r="S651" s="221" t="s">
        <v>16</v>
      </c>
      <c r="T651" s="221" t="s">
        <v>330</v>
      </c>
      <c r="U651" s="221" t="s">
        <v>250</v>
      </c>
      <c r="V651" s="221" t="s">
        <v>283</v>
      </c>
      <c r="W651" s="222" t="s">
        <v>283</v>
      </c>
      <c r="X651" s="222" t="s">
        <v>283</v>
      </c>
      <c r="Y651" s="223" t="s">
        <v>283</v>
      </c>
    </row>
    <row r="652" spans="1:25">
      <c r="A652" s="217">
        <v>12</v>
      </c>
      <c r="B652" s="218" t="str">
        <f>VLOOKUP(Tabel10[[#This Row],[Code]],Ruimtegroepen[[Code]:[Ruimte omschrijving]],2,FALSE)</f>
        <v>Kantine/Aula</v>
      </c>
      <c r="C652" s="219" t="s">
        <v>828</v>
      </c>
      <c r="D652" s="218" t="s">
        <v>0</v>
      </c>
      <c r="E652" s="219" t="s">
        <v>100</v>
      </c>
      <c r="F652" s="219" t="s">
        <v>829</v>
      </c>
      <c r="G652" s="224" t="s">
        <v>283</v>
      </c>
      <c r="H652" s="220" t="s">
        <v>283</v>
      </c>
      <c r="I652" s="220" t="s">
        <v>283</v>
      </c>
      <c r="J652" s="220" t="s">
        <v>16</v>
      </c>
      <c r="K652" s="220" t="s">
        <v>283</v>
      </c>
      <c r="L652" s="220" t="s">
        <v>283</v>
      </c>
      <c r="M652" s="220" t="s">
        <v>283</v>
      </c>
      <c r="N652" s="220" t="s">
        <v>283</v>
      </c>
      <c r="O652" s="221" t="s">
        <v>16</v>
      </c>
      <c r="P652" s="221" t="s">
        <v>16</v>
      </c>
      <c r="Q652" s="221" t="s">
        <v>16</v>
      </c>
      <c r="R652" s="221" t="s">
        <v>16</v>
      </c>
      <c r="S652" s="221" t="s">
        <v>16</v>
      </c>
      <c r="T652" s="221" t="s">
        <v>330</v>
      </c>
      <c r="U652" s="221" t="s">
        <v>250</v>
      </c>
      <c r="V652" s="221" t="s">
        <v>283</v>
      </c>
      <c r="W652" s="222" t="s">
        <v>283</v>
      </c>
      <c r="X652" s="222" t="s">
        <v>283</v>
      </c>
      <c r="Y652" s="223" t="s">
        <v>283</v>
      </c>
    </row>
    <row r="653" spans="1:25">
      <c r="A653" s="217">
        <v>12</v>
      </c>
      <c r="B653" s="218" t="str">
        <f>VLOOKUP(Tabel10[[#This Row],[Code]],Ruimtegroepen[[Code]:[Ruimte omschrijving]],2,FALSE)</f>
        <v>Kantine/Aula</v>
      </c>
      <c r="C653" s="219" t="s">
        <v>828</v>
      </c>
      <c r="D653" s="218" t="s">
        <v>0</v>
      </c>
      <c r="E653" s="219" t="s">
        <v>99</v>
      </c>
      <c r="F653" s="219" t="s">
        <v>830</v>
      </c>
      <c r="G653" s="224" t="s">
        <v>283</v>
      </c>
      <c r="H653" s="220" t="s">
        <v>16</v>
      </c>
      <c r="I653" s="220" t="s">
        <v>283</v>
      </c>
      <c r="J653" s="220" t="s">
        <v>283</v>
      </c>
      <c r="K653" s="220" t="s">
        <v>283</v>
      </c>
      <c r="L653" s="220" t="s">
        <v>283</v>
      </c>
      <c r="M653" s="220" t="s">
        <v>283</v>
      </c>
      <c r="N653" s="220" t="s">
        <v>283</v>
      </c>
      <c r="O653" s="221" t="s">
        <v>16</v>
      </c>
      <c r="P653" s="221" t="s">
        <v>16</v>
      </c>
      <c r="Q653" s="221" t="s">
        <v>16</v>
      </c>
      <c r="R653" s="221" t="s">
        <v>16</v>
      </c>
      <c r="S653" s="221" t="s">
        <v>16</v>
      </c>
      <c r="T653" s="221" t="s">
        <v>330</v>
      </c>
      <c r="U653" s="221" t="s">
        <v>250</v>
      </c>
      <c r="V653" s="221" t="s">
        <v>283</v>
      </c>
      <c r="W653" s="222" t="s">
        <v>283</v>
      </c>
      <c r="X653" s="222" t="s">
        <v>283</v>
      </c>
      <c r="Y653" s="223" t="s">
        <v>283</v>
      </c>
    </row>
    <row r="654" spans="1:25">
      <c r="A654" s="217">
        <v>12</v>
      </c>
      <c r="B654" s="218" t="str">
        <f>VLOOKUP(Tabel10[[#This Row],[Code]],Ruimtegroepen[[Code]:[Ruimte omschrijving]],2,FALSE)</f>
        <v>Kantine/Aula</v>
      </c>
      <c r="C654" s="219" t="s">
        <v>828</v>
      </c>
      <c r="D654" s="218" t="s">
        <v>0</v>
      </c>
      <c r="E654" s="219" t="s">
        <v>101</v>
      </c>
      <c r="F654" s="219" t="s">
        <v>831</v>
      </c>
      <c r="G654" s="224" t="s">
        <v>283</v>
      </c>
      <c r="H654" s="220" t="s">
        <v>283</v>
      </c>
      <c r="I654" s="220" t="s">
        <v>16</v>
      </c>
      <c r="J654" s="220" t="s">
        <v>362</v>
      </c>
      <c r="K654" s="220" t="s">
        <v>16</v>
      </c>
      <c r="L654" s="220" t="s">
        <v>283</v>
      </c>
      <c r="M654" s="220" t="s">
        <v>283</v>
      </c>
      <c r="N654" s="220" t="s">
        <v>283</v>
      </c>
      <c r="O654" s="221" t="s">
        <v>16</v>
      </c>
      <c r="P654" s="221" t="s">
        <v>16</v>
      </c>
      <c r="Q654" s="221" t="s">
        <v>16</v>
      </c>
      <c r="R654" s="221" t="s">
        <v>16</v>
      </c>
      <c r="S654" s="221" t="s">
        <v>16</v>
      </c>
      <c r="T654" s="221" t="s">
        <v>330</v>
      </c>
      <c r="U654" s="221" t="s">
        <v>250</v>
      </c>
      <c r="V654" s="221" t="s">
        <v>283</v>
      </c>
      <c r="W654" s="222" t="s">
        <v>283</v>
      </c>
      <c r="X654" s="222" t="s">
        <v>283</v>
      </c>
      <c r="Y654" s="223" t="s">
        <v>283</v>
      </c>
    </row>
    <row r="655" spans="1:25">
      <c r="A655" s="217">
        <v>12</v>
      </c>
      <c r="B655" s="218" t="str">
        <f>VLOOKUP(Tabel10[[#This Row],[Code]],Ruimtegroepen[[Code]:[Ruimte omschrijving]],2,FALSE)</f>
        <v>Kantine/Aula</v>
      </c>
      <c r="C655" s="219" t="s">
        <v>828</v>
      </c>
      <c r="D655" s="218" t="s">
        <v>0</v>
      </c>
      <c r="E655" s="219" t="s">
        <v>102</v>
      </c>
      <c r="F655" s="219" t="s">
        <v>832</v>
      </c>
      <c r="G655" s="224" t="s">
        <v>283</v>
      </c>
      <c r="H655" s="220" t="s">
        <v>283</v>
      </c>
      <c r="I655" s="220" t="s">
        <v>16</v>
      </c>
      <c r="J655" s="220" t="s">
        <v>283</v>
      </c>
      <c r="K655" s="220" t="s">
        <v>16</v>
      </c>
      <c r="L655" s="220" t="s">
        <v>283</v>
      </c>
      <c r="M655" s="220" t="s">
        <v>283</v>
      </c>
      <c r="N655" s="220" t="s">
        <v>283</v>
      </c>
      <c r="O655" s="221" t="s">
        <v>16</v>
      </c>
      <c r="P655" s="221" t="s">
        <v>16</v>
      </c>
      <c r="Q655" s="221" t="s">
        <v>16</v>
      </c>
      <c r="R655" s="221" t="s">
        <v>16</v>
      </c>
      <c r="S655" s="221" t="s">
        <v>16</v>
      </c>
      <c r="T655" s="221" t="s">
        <v>330</v>
      </c>
      <c r="U655" s="221" t="s">
        <v>250</v>
      </c>
      <c r="V655" s="221" t="s">
        <v>283</v>
      </c>
      <c r="W655" s="222" t="s">
        <v>283</v>
      </c>
      <c r="X655" s="222" t="s">
        <v>283</v>
      </c>
      <c r="Y655" s="223" t="s">
        <v>283</v>
      </c>
    </row>
    <row r="656" spans="1:25">
      <c r="A656" s="217">
        <v>12</v>
      </c>
      <c r="B656" s="218" t="str">
        <f>VLOOKUP(Tabel10[[#This Row],[Code]],Ruimtegroepen[[Code]:[Ruimte omschrijving]],2,FALSE)</f>
        <v>Kantine/Aula</v>
      </c>
      <c r="C656" s="219" t="s">
        <v>828</v>
      </c>
      <c r="D656" s="218" t="s">
        <v>0</v>
      </c>
      <c r="E656" s="219" t="s">
        <v>99</v>
      </c>
      <c r="F656" s="219" t="s">
        <v>830</v>
      </c>
      <c r="G656" s="224" t="s">
        <v>283</v>
      </c>
      <c r="H656" s="220" t="s">
        <v>16</v>
      </c>
      <c r="I656" s="220" t="s">
        <v>283</v>
      </c>
      <c r="J656" s="220" t="s">
        <v>283</v>
      </c>
      <c r="K656" s="220" t="s">
        <v>283</v>
      </c>
      <c r="L656" s="220" t="s">
        <v>283</v>
      </c>
      <c r="M656" s="220" t="s">
        <v>283</v>
      </c>
      <c r="N656" s="220" t="s">
        <v>283</v>
      </c>
      <c r="O656" s="221" t="s">
        <v>16</v>
      </c>
      <c r="P656" s="221" t="s">
        <v>16</v>
      </c>
      <c r="Q656" s="221" t="s">
        <v>16</v>
      </c>
      <c r="R656" s="221" t="s">
        <v>16</v>
      </c>
      <c r="S656" s="221" t="s">
        <v>16</v>
      </c>
      <c r="T656" s="221" t="s">
        <v>330</v>
      </c>
      <c r="U656" s="221" t="s">
        <v>250</v>
      </c>
      <c r="V656" s="221" t="s">
        <v>283</v>
      </c>
      <c r="W656" s="222" t="s">
        <v>283</v>
      </c>
      <c r="X656" s="222" t="s">
        <v>283</v>
      </c>
      <c r="Y656" s="223" t="s">
        <v>283</v>
      </c>
    </row>
    <row r="657" spans="1:25">
      <c r="A657" s="217">
        <v>12</v>
      </c>
      <c r="B657" s="218" t="str">
        <f>VLOOKUP(Tabel10[[#This Row],[Code]],Ruimtegroepen[[Code]:[Ruimte omschrijving]],2,FALSE)</f>
        <v>Kantine/Aula</v>
      </c>
      <c r="C657" s="219" t="s">
        <v>828</v>
      </c>
      <c r="D657" s="218" t="s">
        <v>0</v>
      </c>
      <c r="E657" s="219" t="s">
        <v>1313</v>
      </c>
      <c r="F657" s="219" t="s">
        <v>1356</v>
      </c>
      <c r="G657" s="224" t="s">
        <v>283</v>
      </c>
      <c r="H657" s="220" t="s">
        <v>283</v>
      </c>
      <c r="I657" s="220" t="s">
        <v>16</v>
      </c>
      <c r="J657" s="220" t="s">
        <v>283</v>
      </c>
      <c r="K657" s="220" t="s">
        <v>16</v>
      </c>
      <c r="L657" s="220" t="s">
        <v>283</v>
      </c>
      <c r="M657" s="220" t="s">
        <v>283</v>
      </c>
      <c r="N657" s="220" t="s">
        <v>283</v>
      </c>
      <c r="O657" s="221" t="s">
        <v>16</v>
      </c>
      <c r="P657" s="221" t="s">
        <v>16</v>
      </c>
      <c r="Q657" s="221" t="s">
        <v>16</v>
      </c>
      <c r="R657" s="221" t="s">
        <v>16</v>
      </c>
      <c r="S657" s="221" t="s">
        <v>16</v>
      </c>
      <c r="T657" s="221" t="s">
        <v>330</v>
      </c>
      <c r="U657" s="221" t="s">
        <v>250</v>
      </c>
      <c r="V657" s="221" t="s">
        <v>283</v>
      </c>
      <c r="W657" s="222" t="s">
        <v>283</v>
      </c>
      <c r="X657" s="222" t="s">
        <v>283</v>
      </c>
      <c r="Y657" s="223" t="s">
        <v>283</v>
      </c>
    </row>
    <row r="658" spans="1:25">
      <c r="A658" s="217">
        <v>12</v>
      </c>
      <c r="B658" s="218" t="str">
        <f>VLOOKUP(Tabel10[[#This Row],[Code]],Ruimtegroepen[[Code]:[Ruimte omschrijving]],2,FALSE)</f>
        <v>Kantine/Aula</v>
      </c>
      <c r="C658" s="219" t="s">
        <v>833</v>
      </c>
      <c r="D658" s="218" t="s">
        <v>27</v>
      </c>
      <c r="E658" s="219" t="s">
        <v>100</v>
      </c>
      <c r="F658" s="219" t="s">
        <v>834</v>
      </c>
      <c r="G658" s="224" t="s">
        <v>283</v>
      </c>
      <c r="H658" s="220" t="s">
        <v>283</v>
      </c>
      <c r="I658" s="220" t="s">
        <v>15</v>
      </c>
      <c r="J658" s="220" t="s">
        <v>283</v>
      </c>
      <c r="K658" s="220" t="s">
        <v>283</v>
      </c>
      <c r="L658" s="220" t="s">
        <v>283</v>
      </c>
      <c r="M658" s="220" t="s">
        <v>283</v>
      </c>
      <c r="N658" s="220" t="s">
        <v>283</v>
      </c>
      <c r="O658" s="221" t="s">
        <v>15</v>
      </c>
      <c r="P658" s="221" t="s">
        <v>15</v>
      </c>
      <c r="Q658" s="221" t="s">
        <v>15</v>
      </c>
      <c r="R658" s="221" t="s">
        <v>283</v>
      </c>
      <c r="S658" s="221" t="s">
        <v>283</v>
      </c>
      <c r="T658" s="221" t="s">
        <v>283</v>
      </c>
      <c r="U658" s="221" t="s">
        <v>283</v>
      </c>
      <c r="V658" s="221" t="s">
        <v>283</v>
      </c>
      <c r="W658" s="222" t="s">
        <v>283</v>
      </c>
      <c r="X658" s="222" t="s">
        <v>283</v>
      </c>
      <c r="Y658" s="223" t="s">
        <v>283</v>
      </c>
    </row>
    <row r="659" spans="1:25">
      <c r="A659" s="217">
        <v>12</v>
      </c>
      <c r="B659" s="218" t="str">
        <f>VLOOKUP(Tabel10[[#This Row],[Code]],Ruimtegroepen[[Code]:[Ruimte omschrijving]],2,FALSE)</f>
        <v>Kantine/Aula</v>
      </c>
      <c r="C659" s="219" t="s">
        <v>833</v>
      </c>
      <c r="D659" s="218" t="s">
        <v>27</v>
      </c>
      <c r="E659" s="219" t="s">
        <v>99</v>
      </c>
      <c r="F659" s="219" t="s">
        <v>835</v>
      </c>
      <c r="G659" s="224" t="s">
        <v>283</v>
      </c>
      <c r="H659" s="220" t="s">
        <v>15</v>
      </c>
      <c r="I659" s="220" t="s">
        <v>283</v>
      </c>
      <c r="J659" s="220" t="s">
        <v>283</v>
      </c>
      <c r="K659" s="220" t="s">
        <v>283</v>
      </c>
      <c r="L659" s="220" t="s">
        <v>283</v>
      </c>
      <c r="M659" s="220" t="s">
        <v>283</v>
      </c>
      <c r="N659" s="220" t="s">
        <v>283</v>
      </c>
      <c r="O659" s="221" t="s">
        <v>15</v>
      </c>
      <c r="P659" s="221" t="s">
        <v>15</v>
      </c>
      <c r="Q659" s="221" t="s">
        <v>15</v>
      </c>
      <c r="R659" s="221" t="s">
        <v>283</v>
      </c>
      <c r="S659" s="221" t="s">
        <v>283</v>
      </c>
      <c r="T659" s="221" t="s">
        <v>283</v>
      </c>
      <c r="U659" s="221" t="s">
        <v>283</v>
      </c>
      <c r="V659" s="221" t="s">
        <v>283</v>
      </c>
      <c r="W659" s="222" t="s">
        <v>283</v>
      </c>
      <c r="X659" s="222" t="s">
        <v>283</v>
      </c>
      <c r="Y659" s="223" t="s">
        <v>283</v>
      </c>
    </row>
    <row r="660" spans="1:25">
      <c r="A660" s="217">
        <v>12</v>
      </c>
      <c r="B660" s="218" t="str">
        <f>VLOOKUP(Tabel10[[#This Row],[Code]],Ruimtegroepen[[Code]:[Ruimte omschrijving]],2,FALSE)</f>
        <v>Kantine/Aula</v>
      </c>
      <c r="C660" s="219" t="s">
        <v>833</v>
      </c>
      <c r="D660" s="218" t="s">
        <v>27</v>
      </c>
      <c r="E660" s="219" t="s">
        <v>101</v>
      </c>
      <c r="F660" s="219" t="s">
        <v>836</v>
      </c>
      <c r="G660" s="224" t="s">
        <v>283</v>
      </c>
      <c r="H660" s="220" t="s">
        <v>283</v>
      </c>
      <c r="I660" s="220" t="s">
        <v>15</v>
      </c>
      <c r="J660" s="220" t="s">
        <v>283</v>
      </c>
      <c r="K660" s="220" t="s">
        <v>283</v>
      </c>
      <c r="L660" s="220" t="s">
        <v>283</v>
      </c>
      <c r="M660" s="220" t="s">
        <v>283</v>
      </c>
      <c r="N660" s="220" t="s">
        <v>283</v>
      </c>
      <c r="O660" s="221" t="s">
        <v>15</v>
      </c>
      <c r="P660" s="221" t="s">
        <v>15</v>
      </c>
      <c r="Q660" s="221" t="s">
        <v>15</v>
      </c>
      <c r="R660" s="221" t="s">
        <v>283</v>
      </c>
      <c r="S660" s="221" t="s">
        <v>283</v>
      </c>
      <c r="T660" s="221" t="s">
        <v>283</v>
      </c>
      <c r="U660" s="221" t="s">
        <v>283</v>
      </c>
      <c r="V660" s="221" t="s">
        <v>283</v>
      </c>
      <c r="W660" s="222" t="s">
        <v>283</v>
      </c>
      <c r="X660" s="222" t="s">
        <v>283</v>
      </c>
      <c r="Y660" s="223" t="s">
        <v>283</v>
      </c>
    </row>
    <row r="661" spans="1:25">
      <c r="A661" s="217">
        <v>12</v>
      </c>
      <c r="B661" s="218" t="str">
        <f>VLOOKUP(Tabel10[[#This Row],[Code]],Ruimtegroepen[[Code]:[Ruimte omschrijving]],2,FALSE)</f>
        <v>Kantine/Aula</v>
      </c>
      <c r="C661" s="219" t="s">
        <v>833</v>
      </c>
      <c r="D661" s="218" t="s">
        <v>27</v>
      </c>
      <c r="E661" s="219" t="s">
        <v>102</v>
      </c>
      <c r="F661" s="219" t="s">
        <v>837</v>
      </c>
      <c r="G661" s="224" t="s">
        <v>283</v>
      </c>
      <c r="H661" s="220" t="s">
        <v>283</v>
      </c>
      <c r="I661" s="220" t="s">
        <v>15</v>
      </c>
      <c r="J661" s="220" t="s">
        <v>283</v>
      </c>
      <c r="K661" s="220" t="s">
        <v>283</v>
      </c>
      <c r="L661" s="220" t="s">
        <v>283</v>
      </c>
      <c r="M661" s="220" t="s">
        <v>283</v>
      </c>
      <c r="N661" s="220" t="s">
        <v>283</v>
      </c>
      <c r="O661" s="221" t="s">
        <v>15</v>
      </c>
      <c r="P661" s="221" t="s">
        <v>15</v>
      </c>
      <c r="Q661" s="221" t="s">
        <v>15</v>
      </c>
      <c r="R661" s="221" t="s">
        <v>283</v>
      </c>
      <c r="S661" s="221" t="s">
        <v>283</v>
      </c>
      <c r="T661" s="221" t="s">
        <v>283</v>
      </c>
      <c r="U661" s="221" t="s">
        <v>283</v>
      </c>
      <c r="V661" s="221" t="s">
        <v>283</v>
      </c>
      <c r="W661" s="222" t="s">
        <v>283</v>
      </c>
      <c r="X661" s="222" t="s">
        <v>283</v>
      </c>
      <c r="Y661" s="223" t="s">
        <v>283</v>
      </c>
    </row>
    <row r="662" spans="1:25">
      <c r="A662" s="217">
        <v>12</v>
      </c>
      <c r="B662" s="218" t="str">
        <f>VLOOKUP(Tabel10[[#This Row],[Code]],Ruimtegroepen[[Code]:[Ruimte omschrijving]],2,FALSE)</f>
        <v>Kantine/Aula</v>
      </c>
      <c r="C662" s="219" t="s">
        <v>833</v>
      </c>
      <c r="D662" s="218" t="s">
        <v>27</v>
      </c>
      <c r="E662" s="219" t="s">
        <v>99</v>
      </c>
      <c r="F662" s="219" t="s">
        <v>835</v>
      </c>
      <c r="G662" s="224" t="s">
        <v>283</v>
      </c>
      <c r="H662" s="220" t="s">
        <v>15</v>
      </c>
      <c r="I662" s="220" t="s">
        <v>283</v>
      </c>
      <c r="J662" s="220" t="s">
        <v>283</v>
      </c>
      <c r="K662" s="220" t="s">
        <v>283</v>
      </c>
      <c r="L662" s="220" t="s">
        <v>283</v>
      </c>
      <c r="M662" s="220" t="s">
        <v>283</v>
      </c>
      <c r="N662" s="220" t="s">
        <v>283</v>
      </c>
      <c r="O662" s="221" t="s">
        <v>15</v>
      </c>
      <c r="P662" s="221" t="s">
        <v>15</v>
      </c>
      <c r="Q662" s="221" t="s">
        <v>15</v>
      </c>
      <c r="R662" s="221" t="s">
        <v>283</v>
      </c>
      <c r="S662" s="221" t="s">
        <v>283</v>
      </c>
      <c r="T662" s="221" t="s">
        <v>283</v>
      </c>
      <c r="U662" s="221" t="s">
        <v>283</v>
      </c>
      <c r="V662" s="221" t="s">
        <v>283</v>
      </c>
      <c r="W662" s="222" t="s">
        <v>283</v>
      </c>
      <c r="X662" s="222" t="s">
        <v>283</v>
      </c>
      <c r="Y662" s="223" t="s">
        <v>283</v>
      </c>
    </row>
    <row r="663" spans="1:25">
      <c r="A663" s="217">
        <v>12</v>
      </c>
      <c r="B663" s="218" t="str">
        <f>VLOOKUP(Tabel10[[#This Row],[Code]],Ruimtegroepen[[Code]:[Ruimte omschrijving]],2,FALSE)</f>
        <v>Kantine/Aula</v>
      </c>
      <c r="C663" s="219" t="s">
        <v>833</v>
      </c>
      <c r="D663" s="218" t="s">
        <v>27</v>
      </c>
      <c r="E663" s="219" t="s">
        <v>1313</v>
      </c>
      <c r="F663" s="219" t="s">
        <v>1389</v>
      </c>
      <c r="G663" s="224" t="s">
        <v>283</v>
      </c>
      <c r="H663" s="220" t="s">
        <v>283</v>
      </c>
      <c r="I663" s="220" t="s">
        <v>15</v>
      </c>
      <c r="J663" s="220" t="s">
        <v>283</v>
      </c>
      <c r="K663" s="220" t="s">
        <v>283</v>
      </c>
      <c r="L663" s="220" t="s">
        <v>283</v>
      </c>
      <c r="M663" s="220" t="s">
        <v>283</v>
      </c>
      <c r="N663" s="220" t="s">
        <v>283</v>
      </c>
      <c r="O663" s="221" t="s">
        <v>15</v>
      </c>
      <c r="P663" s="221" t="s">
        <v>15</v>
      </c>
      <c r="Q663" s="221" t="s">
        <v>15</v>
      </c>
      <c r="R663" s="221" t="s">
        <v>283</v>
      </c>
      <c r="S663" s="221" t="s">
        <v>283</v>
      </c>
      <c r="T663" s="221" t="s">
        <v>283</v>
      </c>
      <c r="U663" s="221" t="s">
        <v>283</v>
      </c>
      <c r="V663" s="221" t="s">
        <v>283</v>
      </c>
      <c r="W663" s="222" t="s">
        <v>283</v>
      </c>
      <c r="X663" s="222" t="s">
        <v>283</v>
      </c>
      <c r="Y663" s="223" t="s">
        <v>283</v>
      </c>
    </row>
    <row r="664" spans="1:25">
      <c r="A664" s="217">
        <v>12</v>
      </c>
      <c r="B664" s="218" t="str">
        <f>VLOOKUP(Tabel10[[#This Row],[Code]],Ruimtegroepen[[Code]:[Ruimte omschrijving]],2,FALSE)</f>
        <v>Kantine/Aula</v>
      </c>
      <c r="C664" s="219" t="s">
        <v>838</v>
      </c>
      <c r="D664" s="218" t="s">
        <v>28</v>
      </c>
      <c r="E664" s="219" t="s">
        <v>100</v>
      </c>
      <c r="F664" s="219" t="s">
        <v>839</v>
      </c>
      <c r="G664" s="224" t="s">
        <v>283</v>
      </c>
      <c r="H664" s="220" t="s">
        <v>283</v>
      </c>
      <c r="I664" s="220" t="s">
        <v>17</v>
      </c>
      <c r="J664" s="220" t="s">
        <v>283</v>
      </c>
      <c r="K664" s="220" t="s">
        <v>283</v>
      </c>
      <c r="L664" s="220" t="s">
        <v>283</v>
      </c>
      <c r="M664" s="220" t="s">
        <v>283</v>
      </c>
      <c r="N664" s="220" t="s">
        <v>283</v>
      </c>
      <c r="O664" s="221" t="s">
        <v>17</v>
      </c>
      <c r="P664" s="221" t="s">
        <v>17</v>
      </c>
      <c r="Q664" s="221" t="s">
        <v>15</v>
      </c>
      <c r="R664" s="221" t="s">
        <v>283</v>
      </c>
      <c r="S664" s="221" t="s">
        <v>283</v>
      </c>
      <c r="T664" s="221" t="s">
        <v>283</v>
      </c>
      <c r="U664" s="221" t="s">
        <v>283</v>
      </c>
      <c r="V664" s="221" t="s">
        <v>283</v>
      </c>
      <c r="W664" s="222" t="s">
        <v>283</v>
      </c>
      <c r="X664" s="222" t="s">
        <v>283</v>
      </c>
      <c r="Y664" s="223" t="s">
        <v>283</v>
      </c>
    </row>
    <row r="665" spans="1:25">
      <c r="A665" s="217">
        <v>12</v>
      </c>
      <c r="B665" s="218" t="str">
        <f>VLOOKUP(Tabel10[[#This Row],[Code]],Ruimtegroepen[[Code]:[Ruimte omschrijving]],2,FALSE)</f>
        <v>Kantine/Aula</v>
      </c>
      <c r="C665" s="219" t="s">
        <v>838</v>
      </c>
      <c r="D665" s="218" t="s">
        <v>28</v>
      </c>
      <c r="E665" s="219" t="s">
        <v>99</v>
      </c>
      <c r="F665" s="219" t="s">
        <v>840</v>
      </c>
      <c r="G665" s="224" t="s">
        <v>283</v>
      </c>
      <c r="H665" s="220" t="s">
        <v>17</v>
      </c>
      <c r="I665" s="220" t="s">
        <v>283</v>
      </c>
      <c r="J665" s="220" t="s">
        <v>283</v>
      </c>
      <c r="K665" s="220" t="s">
        <v>283</v>
      </c>
      <c r="L665" s="220" t="s">
        <v>283</v>
      </c>
      <c r="M665" s="220" t="s">
        <v>283</v>
      </c>
      <c r="N665" s="220" t="s">
        <v>283</v>
      </c>
      <c r="O665" s="221" t="s">
        <v>17</v>
      </c>
      <c r="P665" s="221" t="s">
        <v>17</v>
      </c>
      <c r="Q665" s="221" t="s">
        <v>15</v>
      </c>
      <c r="R665" s="221" t="s">
        <v>283</v>
      </c>
      <c r="S665" s="221" t="s">
        <v>283</v>
      </c>
      <c r="T665" s="221" t="s">
        <v>283</v>
      </c>
      <c r="U665" s="221" t="s">
        <v>283</v>
      </c>
      <c r="V665" s="221" t="s">
        <v>283</v>
      </c>
      <c r="W665" s="222" t="s">
        <v>283</v>
      </c>
      <c r="X665" s="222" t="s">
        <v>283</v>
      </c>
      <c r="Y665" s="223" t="s">
        <v>283</v>
      </c>
    </row>
    <row r="666" spans="1:25">
      <c r="A666" s="217">
        <v>12</v>
      </c>
      <c r="B666" s="218" t="str">
        <f>VLOOKUP(Tabel10[[#This Row],[Code]],Ruimtegroepen[[Code]:[Ruimte omschrijving]],2,FALSE)</f>
        <v>Kantine/Aula</v>
      </c>
      <c r="C666" s="219" t="s">
        <v>838</v>
      </c>
      <c r="D666" s="218" t="s">
        <v>28</v>
      </c>
      <c r="E666" s="219" t="s">
        <v>101</v>
      </c>
      <c r="F666" s="219" t="s">
        <v>841</v>
      </c>
      <c r="G666" s="224" t="s">
        <v>283</v>
      </c>
      <c r="H666" s="220" t="s">
        <v>283</v>
      </c>
      <c r="I666" s="220" t="s">
        <v>17</v>
      </c>
      <c r="J666" s="220" t="s">
        <v>283</v>
      </c>
      <c r="K666" s="220" t="s">
        <v>283</v>
      </c>
      <c r="L666" s="220" t="s">
        <v>283</v>
      </c>
      <c r="M666" s="220" t="s">
        <v>283</v>
      </c>
      <c r="N666" s="220" t="s">
        <v>283</v>
      </c>
      <c r="O666" s="221" t="s">
        <v>17</v>
      </c>
      <c r="P666" s="221" t="s">
        <v>17</v>
      </c>
      <c r="Q666" s="221" t="s">
        <v>15</v>
      </c>
      <c r="R666" s="221" t="s">
        <v>283</v>
      </c>
      <c r="S666" s="221" t="s">
        <v>283</v>
      </c>
      <c r="T666" s="221" t="s">
        <v>283</v>
      </c>
      <c r="U666" s="221" t="s">
        <v>283</v>
      </c>
      <c r="V666" s="221" t="s">
        <v>283</v>
      </c>
      <c r="W666" s="222" t="s">
        <v>283</v>
      </c>
      <c r="X666" s="222" t="s">
        <v>283</v>
      </c>
      <c r="Y666" s="223" t="s">
        <v>283</v>
      </c>
    </row>
    <row r="667" spans="1:25">
      <c r="A667" s="217">
        <v>12</v>
      </c>
      <c r="B667" s="218" t="str">
        <f>VLOOKUP(Tabel10[[#This Row],[Code]],Ruimtegroepen[[Code]:[Ruimte omschrijving]],2,FALSE)</f>
        <v>Kantine/Aula</v>
      </c>
      <c r="C667" s="219" t="s">
        <v>838</v>
      </c>
      <c r="D667" s="218" t="s">
        <v>28</v>
      </c>
      <c r="E667" s="219" t="s">
        <v>102</v>
      </c>
      <c r="F667" s="219" t="s">
        <v>842</v>
      </c>
      <c r="G667" s="224" t="s">
        <v>283</v>
      </c>
      <c r="H667" s="220" t="s">
        <v>283</v>
      </c>
      <c r="I667" s="220" t="s">
        <v>17</v>
      </c>
      <c r="J667" s="220" t="s">
        <v>283</v>
      </c>
      <c r="K667" s="220" t="s">
        <v>283</v>
      </c>
      <c r="L667" s="220" t="s">
        <v>283</v>
      </c>
      <c r="M667" s="220" t="s">
        <v>283</v>
      </c>
      <c r="N667" s="220" t="s">
        <v>283</v>
      </c>
      <c r="O667" s="221" t="s">
        <v>17</v>
      </c>
      <c r="P667" s="221" t="s">
        <v>17</v>
      </c>
      <c r="Q667" s="221" t="s">
        <v>15</v>
      </c>
      <c r="R667" s="221" t="s">
        <v>283</v>
      </c>
      <c r="S667" s="221" t="s">
        <v>283</v>
      </c>
      <c r="T667" s="221" t="s">
        <v>283</v>
      </c>
      <c r="U667" s="221" t="s">
        <v>283</v>
      </c>
      <c r="V667" s="221" t="s">
        <v>283</v>
      </c>
      <c r="W667" s="222" t="s">
        <v>283</v>
      </c>
      <c r="X667" s="222" t="s">
        <v>283</v>
      </c>
      <c r="Y667" s="223" t="s">
        <v>283</v>
      </c>
    </row>
    <row r="668" spans="1:25">
      <c r="A668" s="217">
        <v>12</v>
      </c>
      <c r="B668" s="218" t="str">
        <f>VLOOKUP(Tabel10[[#This Row],[Code]],Ruimtegroepen[[Code]:[Ruimte omschrijving]],2,FALSE)</f>
        <v>Kantine/Aula</v>
      </c>
      <c r="C668" s="219" t="s">
        <v>838</v>
      </c>
      <c r="D668" s="218" t="s">
        <v>28</v>
      </c>
      <c r="E668" s="219" t="s">
        <v>99</v>
      </c>
      <c r="F668" s="219" t="s">
        <v>840</v>
      </c>
      <c r="G668" s="224" t="s">
        <v>283</v>
      </c>
      <c r="H668" s="220" t="s">
        <v>17</v>
      </c>
      <c r="I668" s="220" t="s">
        <v>283</v>
      </c>
      <c r="J668" s="220" t="s">
        <v>283</v>
      </c>
      <c r="K668" s="220" t="s">
        <v>283</v>
      </c>
      <c r="L668" s="220" t="s">
        <v>283</v>
      </c>
      <c r="M668" s="220" t="s">
        <v>283</v>
      </c>
      <c r="N668" s="220" t="s">
        <v>283</v>
      </c>
      <c r="O668" s="221" t="s">
        <v>17</v>
      </c>
      <c r="P668" s="221" t="s">
        <v>17</v>
      </c>
      <c r="Q668" s="221" t="s">
        <v>15</v>
      </c>
      <c r="R668" s="221" t="s">
        <v>283</v>
      </c>
      <c r="S668" s="221" t="s">
        <v>283</v>
      </c>
      <c r="T668" s="221" t="s">
        <v>283</v>
      </c>
      <c r="U668" s="221" t="s">
        <v>283</v>
      </c>
      <c r="V668" s="221" t="s">
        <v>283</v>
      </c>
      <c r="W668" s="222" t="s">
        <v>283</v>
      </c>
      <c r="X668" s="222" t="s">
        <v>283</v>
      </c>
      <c r="Y668" s="223" t="s">
        <v>283</v>
      </c>
    </row>
    <row r="669" spans="1:25">
      <c r="A669" s="217">
        <v>12</v>
      </c>
      <c r="B669" s="218" t="str">
        <f>VLOOKUP(Tabel10[[#This Row],[Code]],Ruimtegroepen[[Code]:[Ruimte omschrijving]],2,FALSE)</f>
        <v>Kantine/Aula</v>
      </c>
      <c r="C669" s="219" t="s">
        <v>838</v>
      </c>
      <c r="D669" s="218" t="s">
        <v>28</v>
      </c>
      <c r="E669" s="219" t="s">
        <v>1313</v>
      </c>
      <c r="F669" s="219" t="s">
        <v>1422</v>
      </c>
      <c r="G669" s="224" t="s">
        <v>283</v>
      </c>
      <c r="H669" s="220" t="s">
        <v>283</v>
      </c>
      <c r="I669" s="220" t="s">
        <v>17</v>
      </c>
      <c r="J669" s="220" t="s">
        <v>283</v>
      </c>
      <c r="K669" s="220" t="s">
        <v>283</v>
      </c>
      <c r="L669" s="220" t="s">
        <v>283</v>
      </c>
      <c r="M669" s="220" t="s">
        <v>283</v>
      </c>
      <c r="N669" s="220" t="s">
        <v>283</v>
      </c>
      <c r="O669" s="221" t="s">
        <v>17</v>
      </c>
      <c r="P669" s="221" t="s">
        <v>17</v>
      </c>
      <c r="Q669" s="221" t="s">
        <v>15</v>
      </c>
      <c r="R669" s="221" t="s">
        <v>283</v>
      </c>
      <c r="S669" s="221" t="s">
        <v>283</v>
      </c>
      <c r="T669" s="221" t="s">
        <v>283</v>
      </c>
      <c r="U669" s="221" t="s">
        <v>283</v>
      </c>
      <c r="V669" s="221" t="s">
        <v>283</v>
      </c>
      <c r="W669" s="222" t="s">
        <v>283</v>
      </c>
      <c r="X669" s="222" t="s">
        <v>283</v>
      </c>
      <c r="Y669" s="223" t="s">
        <v>283</v>
      </c>
    </row>
    <row r="670" spans="1:25">
      <c r="A670" s="217">
        <v>13</v>
      </c>
      <c r="B670" s="218" t="str">
        <f>VLOOKUP(Tabel10[[#This Row],[Code]],Ruimtegroepen[[Code]:[Ruimte omschrijving]],2,FALSE)</f>
        <v>Personeelskamer</v>
      </c>
      <c r="C670" s="219" t="s">
        <v>843</v>
      </c>
      <c r="D670" s="218" t="s">
        <v>29</v>
      </c>
      <c r="E670" s="219" t="s">
        <v>100</v>
      </c>
      <c r="F670" s="219" t="s">
        <v>844</v>
      </c>
      <c r="G670" s="224" t="s">
        <v>283</v>
      </c>
      <c r="H670" s="220" t="s">
        <v>283</v>
      </c>
      <c r="I670" s="220" t="s">
        <v>20</v>
      </c>
      <c r="J670" s="220" t="s">
        <v>15</v>
      </c>
      <c r="K670" s="220" t="s">
        <v>283</v>
      </c>
      <c r="L670" s="220" t="s">
        <v>283</v>
      </c>
      <c r="M670" s="220" t="s">
        <v>283</v>
      </c>
      <c r="N670" s="220" t="s">
        <v>2</v>
      </c>
      <c r="O670" s="221" t="s">
        <v>2</v>
      </c>
      <c r="P670" s="221" t="s">
        <v>2</v>
      </c>
      <c r="Q670" s="221" t="s">
        <v>15</v>
      </c>
      <c r="R670" s="221" t="s">
        <v>15</v>
      </c>
      <c r="S670" s="221" t="s">
        <v>16</v>
      </c>
      <c r="T670" s="221" t="s">
        <v>330</v>
      </c>
      <c r="U670" s="221" t="s">
        <v>250</v>
      </c>
      <c r="V670" s="221" t="s">
        <v>2</v>
      </c>
      <c r="W670" s="222" t="s">
        <v>283</v>
      </c>
      <c r="X670" s="222" t="s">
        <v>283</v>
      </c>
      <c r="Y670" s="223" t="s">
        <v>283</v>
      </c>
    </row>
    <row r="671" spans="1:25">
      <c r="A671" s="217">
        <v>13</v>
      </c>
      <c r="B671" s="218" t="str">
        <f>VLOOKUP(Tabel10[[#This Row],[Code]],Ruimtegroepen[[Code]:[Ruimte omschrijving]],2,FALSE)</f>
        <v>Personeelskamer</v>
      </c>
      <c r="C671" s="219" t="s">
        <v>843</v>
      </c>
      <c r="D671" s="218" t="s">
        <v>29</v>
      </c>
      <c r="E671" s="219" t="s">
        <v>99</v>
      </c>
      <c r="F671" s="219" t="s">
        <v>845</v>
      </c>
      <c r="G671" s="220" t="s">
        <v>20</v>
      </c>
      <c r="H671" s="220" t="s">
        <v>15</v>
      </c>
      <c r="I671" s="220" t="s">
        <v>283</v>
      </c>
      <c r="J671" s="220" t="s">
        <v>283</v>
      </c>
      <c r="K671" s="220" t="s">
        <v>283</v>
      </c>
      <c r="L671" s="220" t="s">
        <v>283</v>
      </c>
      <c r="M671" s="220" t="s">
        <v>283</v>
      </c>
      <c r="N671" s="220" t="s">
        <v>2</v>
      </c>
      <c r="O671" s="221" t="s">
        <v>2</v>
      </c>
      <c r="P671" s="221" t="s">
        <v>2</v>
      </c>
      <c r="Q671" s="221" t="s">
        <v>15</v>
      </c>
      <c r="R671" s="221" t="s">
        <v>15</v>
      </c>
      <c r="S671" s="221" t="s">
        <v>16</v>
      </c>
      <c r="T671" s="221" t="s">
        <v>330</v>
      </c>
      <c r="U671" s="221" t="s">
        <v>250</v>
      </c>
      <c r="V671" s="221" t="s">
        <v>2</v>
      </c>
      <c r="W671" s="222" t="s">
        <v>283</v>
      </c>
      <c r="X671" s="222" t="s">
        <v>283</v>
      </c>
      <c r="Y671" s="223" t="s">
        <v>283</v>
      </c>
    </row>
    <row r="672" spans="1:25">
      <c r="A672" s="217">
        <v>13</v>
      </c>
      <c r="B672" s="218" t="str">
        <f>VLOOKUP(Tabel10[[#This Row],[Code]],Ruimtegroepen[[Code]:[Ruimte omschrijving]],2,FALSE)</f>
        <v>Personeelskamer</v>
      </c>
      <c r="C672" s="219" t="s">
        <v>843</v>
      </c>
      <c r="D672" s="218" t="s">
        <v>29</v>
      </c>
      <c r="E672" s="219" t="s">
        <v>101</v>
      </c>
      <c r="F672" s="219" t="s">
        <v>846</v>
      </c>
      <c r="G672" s="224" t="s">
        <v>283</v>
      </c>
      <c r="H672" s="220" t="s">
        <v>283</v>
      </c>
      <c r="I672" s="220" t="s">
        <v>20</v>
      </c>
      <c r="J672" s="220" t="s">
        <v>15</v>
      </c>
      <c r="K672" s="220" t="s">
        <v>250</v>
      </c>
      <c r="L672" s="220" t="s">
        <v>283</v>
      </c>
      <c r="M672" s="220" t="s">
        <v>283</v>
      </c>
      <c r="N672" s="220" t="s">
        <v>2</v>
      </c>
      <c r="O672" s="221" t="s">
        <v>2</v>
      </c>
      <c r="P672" s="221" t="s">
        <v>2</v>
      </c>
      <c r="Q672" s="221" t="s">
        <v>15</v>
      </c>
      <c r="R672" s="221" t="s">
        <v>15</v>
      </c>
      <c r="S672" s="221" t="s">
        <v>16</v>
      </c>
      <c r="T672" s="221" t="s">
        <v>330</v>
      </c>
      <c r="U672" s="221" t="s">
        <v>250</v>
      </c>
      <c r="V672" s="221" t="s">
        <v>2</v>
      </c>
      <c r="W672" s="222" t="s">
        <v>283</v>
      </c>
      <c r="X672" s="222" t="s">
        <v>283</v>
      </c>
      <c r="Y672" s="223" t="s">
        <v>283</v>
      </c>
    </row>
    <row r="673" spans="1:25">
      <c r="A673" s="217">
        <v>13</v>
      </c>
      <c r="B673" s="218" t="str">
        <f>VLOOKUP(Tabel10[[#This Row],[Code]],Ruimtegroepen[[Code]:[Ruimte omschrijving]],2,FALSE)</f>
        <v>Personeelskamer</v>
      </c>
      <c r="C673" s="219" t="s">
        <v>843</v>
      </c>
      <c r="D673" s="218" t="s">
        <v>29</v>
      </c>
      <c r="E673" s="219" t="s">
        <v>102</v>
      </c>
      <c r="F673" s="219" t="s">
        <v>847</v>
      </c>
      <c r="G673" s="224" t="s">
        <v>283</v>
      </c>
      <c r="H673" s="220" t="s">
        <v>283</v>
      </c>
      <c r="I673" s="220" t="s">
        <v>20</v>
      </c>
      <c r="J673" s="220" t="s">
        <v>15</v>
      </c>
      <c r="K673" s="220" t="s">
        <v>250</v>
      </c>
      <c r="L673" s="220" t="s">
        <v>283</v>
      </c>
      <c r="M673" s="220" t="s">
        <v>283</v>
      </c>
      <c r="N673" s="220" t="s">
        <v>2</v>
      </c>
      <c r="O673" s="221" t="s">
        <v>2</v>
      </c>
      <c r="P673" s="221" t="s">
        <v>2</v>
      </c>
      <c r="Q673" s="221" t="s">
        <v>15</v>
      </c>
      <c r="R673" s="221" t="s">
        <v>15</v>
      </c>
      <c r="S673" s="221" t="s">
        <v>16</v>
      </c>
      <c r="T673" s="221" t="s">
        <v>330</v>
      </c>
      <c r="U673" s="221" t="s">
        <v>250</v>
      </c>
      <c r="V673" s="221" t="s">
        <v>2</v>
      </c>
      <c r="W673" s="222" t="s">
        <v>283</v>
      </c>
      <c r="X673" s="222" t="s">
        <v>283</v>
      </c>
      <c r="Y673" s="223" t="s">
        <v>283</v>
      </c>
    </row>
    <row r="674" spans="1:25">
      <c r="A674" s="217">
        <v>13</v>
      </c>
      <c r="B674" s="218" t="str">
        <f>VLOOKUP(Tabel10[[#This Row],[Code]],Ruimtegroepen[[Code]:[Ruimte omschrijving]],2,FALSE)</f>
        <v>Personeelskamer</v>
      </c>
      <c r="C674" s="219" t="s">
        <v>843</v>
      </c>
      <c r="D674" s="218" t="s">
        <v>29</v>
      </c>
      <c r="E674" s="219" t="s">
        <v>99</v>
      </c>
      <c r="F674" s="219" t="s">
        <v>845</v>
      </c>
      <c r="G674" s="220" t="s">
        <v>20</v>
      </c>
      <c r="H674" s="220" t="s">
        <v>15</v>
      </c>
      <c r="I674" s="220" t="s">
        <v>283</v>
      </c>
      <c r="J674" s="220" t="s">
        <v>283</v>
      </c>
      <c r="K674" s="220" t="s">
        <v>283</v>
      </c>
      <c r="L674" s="220" t="s">
        <v>283</v>
      </c>
      <c r="M674" s="220" t="s">
        <v>283</v>
      </c>
      <c r="N674" s="220" t="s">
        <v>2</v>
      </c>
      <c r="O674" s="221" t="s">
        <v>2</v>
      </c>
      <c r="P674" s="221" t="s">
        <v>2</v>
      </c>
      <c r="Q674" s="221" t="s">
        <v>15</v>
      </c>
      <c r="R674" s="221" t="s">
        <v>15</v>
      </c>
      <c r="S674" s="221" t="s">
        <v>16</v>
      </c>
      <c r="T674" s="221" t="s">
        <v>330</v>
      </c>
      <c r="U674" s="221" t="s">
        <v>250</v>
      </c>
      <c r="V674" s="221" t="s">
        <v>2</v>
      </c>
      <c r="W674" s="222" t="s">
        <v>283</v>
      </c>
      <c r="X674" s="222" t="s">
        <v>283</v>
      </c>
      <c r="Y674" s="223" t="s">
        <v>283</v>
      </c>
    </row>
    <row r="675" spans="1:25">
      <c r="A675" s="217">
        <v>13</v>
      </c>
      <c r="B675" s="218" t="str">
        <f>VLOOKUP(Tabel10[[#This Row],[Code]],Ruimtegroepen[[Code]:[Ruimte omschrijving]],2,FALSE)</f>
        <v>Personeelskamer</v>
      </c>
      <c r="C675" s="219" t="s">
        <v>843</v>
      </c>
      <c r="D675" s="218" t="s">
        <v>29</v>
      </c>
      <c r="E675" s="219" t="s">
        <v>1313</v>
      </c>
      <c r="F675" s="219" t="s">
        <v>1490</v>
      </c>
      <c r="G675" s="224" t="s">
        <v>283</v>
      </c>
      <c r="H675" s="220" t="s">
        <v>283</v>
      </c>
      <c r="I675" s="220" t="s">
        <v>20</v>
      </c>
      <c r="J675" s="220" t="s">
        <v>15</v>
      </c>
      <c r="K675" s="220" t="s">
        <v>250</v>
      </c>
      <c r="L675" s="220" t="s">
        <v>283</v>
      </c>
      <c r="M675" s="220" t="s">
        <v>283</v>
      </c>
      <c r="N675" s="220" t="s">
        <v>2</v>
      </c>
      <c r="O675" s="221" t="s">
        <v>2</v>
      </c>
      <c r="P675" s="221" t="s">
        <v>2</v>
      </c>
      <c r="Q675" s="221" t="s">
        <v>15</v>
      </c>
      <c r="R675" s="221" t="s">
        <v>15</v>
      </c>
      <c r="S675" s="221" t="s">
        <v>16</v>
      </c>
      <c r="T675" s="221" t="s">
        <v>330</v>
      </c>
      <c r="U675" s="221" t="s">
        <v>250</v>
      </c>
      <c r="V675" s="221" t="s">
        <v>2</v>
      </c>
      <c r="W675" s="222" t="s">
        <v>283</v>
      </c>
      <c r="X675" s="222" t="s">
        <v>283</v>
      </c>
      <c r="Y675" s="223" t="s">
        <v>283</v>
      </c>
    </row>
    <row r="676" spans="1:25">
      <c r="A676" s="217">
        <v>13</v>
      </c>
      <c r="B676" s="218" t="str">
        <f>VLOOKUP(Tabel10[[#This Row],[Code]],Ruimtegroepen[[Code]:[Ruimte omschrijving]],2,FALSE)</f>
        <v>Personeelskamer</v>
      </c>
      <c r="C676" s="219" t="s">
        <v>848</v>
      </c>
      <c r="D676" s="218" t="s">
        <v>1</v>
      </c>
      <c r="E676" s="219" t="s">
        <v>100</v>
      </c>
      <c r="F676" s="219" t="s">
        <v>849</v>
      </c>
      <c r="G676" s="224" t="s">
        <v>283</v>
      </c>
      <c r="H676" s="220" t="s">
        <v>283</v>
      </c>
      <c r="I676" s="220" t="s">
        <v>20</v>
      </c>
      <c r="J676" s="220" t="s">
        <v>15</v>
      </c>
      <c r="K676" s="220" t="s">
        <v>283</v>
      </c>
      <c r="L676" s="220" t="s">
        <v>283</v>
      </c>
      <c r="M676" s="220" t="s">
        <v>283</v>
      </c>
      <c r="N676" s="220" t="s">
        <v>283</v>
      </c>
      <c r="O676" s="221" t="s">
        <v>2</v>
      </c>
      <c r="P676" s="221" t="s">
        <v>2</v>
      </c>
      <c r="Q676" s="221" t="s">
        <v>15</v>
      </c>
      <c r="R676" s="221" t="s">
        <v>15</v>
      </c>
      <c r="S676" s="221" t="s">
        <v>16</v>
      </c>
      <c r="T676" s="221" t="s">
        <v>330</v>
      </c>
      <c r="U676" s="221" t="s">
        <v>250</v>
      </c>
      <c r="V676" s="221" t="s">
        <v>283</v>
      </c>
      <c r="W676" s="222" t="s">
        <v>283</v>
      </c>
      <c r="X676" s="222" t="s">
        <v>283</v>
      </c>
      <c r="Y676" s="223" t="s">
        <v>283</v>
      </c>
    </row>
    <row r="677" spans="1:25">
      <c r="A677" s="217">
        <v>13</v>
      </c>
      <c r="B677" s="218" t="str">
        <f>VLOOKUP(Tabel10[[#This Row],[Code]],Ruimtegroepen[[Code]:[Ruimte omschrijving]],2,FALSE)</f>
        <v>Personeelskamer</v>
      </c>
      <c r="C677" s="219" t="s">
        <v>848</v>
      </c>
      <c r="D677" s="218" t="s">
        <v>1</v>
      </c>
      <c r="E677" s="219" t="s">
        <v>99</v>
      </c>
      <c r="F677" s="219" t="s">
        <v>850</v>
      </c>
      <c r="G677" s="220" t="s">
        <v>20</v>
      </c>
      <c r="H677" s="220" t="s">
        <v>15</v>
      </c>
      <c r="I677" s="220" t="s">
        <v>283</v>
      </c>
      <c r="J677" s="220" t="s">
        <v>283</v>
      </c>
      <c r="K677" s="220" t="s">
        <v>283</v>
      </c>
      <c r="L677" s="220" t="s">
        <v>283</v>
      </c>
      <c r="M677" s="220" t="s">
        <v>283</v>
      </c>
      <c r="N677" s="220" t="s">
        <v>283</v>
      </c>
      <c r="O677" s="221" t="s">
        <v>2</v>
      </c>
      <c r="P677" s="221" t="s">
        <v>2</v>
      </c>
      <c r="Q677" s="221" t="s">
        <v>15</v>
      </c>
      <c r="R677" s="221" t="s">
        <v>15</v>
      </c>
      <c r="S677" s="221" t="s">
        <v>16</v>
      </c>
      <c r="T677" s="221" t="s">
        <v>330</v>
      </c>
      <c r="U677" s="221" t="s">
        <v>250</v>
      </c>
      <c r="V677" s="221" t="s">
        <v>283</v>
      </c>
      <c r="W677" s="222" t="s">
        <v>283</v>
      </c>
      <c r="X677" s="222" t="s">
        <v>283</v>
      </c>
      <c r="Y677" s="223" t="s">
        <v>283</v>
      </c>
    </row>
    <row r="678" spans="1:25">
      <c r="A678" s="217">
        <v>13</v>
      </c>
      <c r="B678" s="218" t="str">
        <f>VLOOKUP(Tabel10[[#This Row],[Code]],Ruimtegroepen[[Code]:[Ruimte omschrijving]],2,FALSE)</f>
        <v>Personeelskamer</v>
      </c>
      <c r="C678" s="219" t="s">
        <v>848</v>
      </c>
      <c r="D678" s="218" t="s">
        <v>1</v>
      </c>
      <c r="E678" s="219" t="s">
        <v>101</v>
      </c>
      <c r="F678" s="219" t="s">
        <v>851</v>
      </c>
      <c r="G678" s="224" t="s">
        <v>283</v>
      </c>
      <c r="H678" s="220" t="s">
        <v>283</v>
      </c>
      <c r="I678" s="220" t="s">
        <v>20</v>
      </c>
      <c r="J678" s="220" t="s">
        <v>15</v>
      </c>
      <c r="K678" s="220" t="s">
        <v>250</v>
      </c>
      <c r="L678" s="220" t="s">
        <v>283</v>
      </c>
      <c r="M678" s="220" t="s">
        <v>283</v>
      </c>
      <c r="N678" s="220" t="s">
        <v>283</v>
      </c>
      <c r="O678" s="221" t="s">
        <v>2</v>
      </c>
      <c r="P678" s="221" t="s">
        <v>2</v>
      </c>
      <c r="Q678" s="221" t="s">
        <v>15</v>
      </c>
      <c r="R678" s="221" t="s">
        <v>15</v>
      </c>
      <c r="S678" s="221" t="s">
        <v>16</v>
      </c>
      <c r="T678" s="221" t="s">
        <v>330</v>
      </c>
      <c r="U678" s="221" t="s">
        <v>250</v>
      </c>
      <c r="V678" s="221" t="s">
        <v>283</v>
      </c>
      <c r="W678" s="222" t="s">
        <v>283</v>
      </c>
      <c r="X678" s="222" t="s">
        <v>283</v>
      </c>
      <c r="Y678" s="223" t="s">
        <v>283</v>
      </c>
    </row>
    <row r="679" spans="1:25">
      <c r="A679" s="217">
        <v>13</v>
      </c>
      <c r="B679" s="218" t="str">
        <f>VLOOKUP(Tabel10[[#This Row],[Code]],Ruimtegroepen[[Code]:[Ruimte omschrijving]],2,FALSE)</f>
        <v>Personeelskamer</v>
      </c>
      <c r="C679" s="219" t="s">
        <v>848</v>
      </c>
      <c r="D679" s="218" t="s">
        <v>1</v>
      </c>
      <c r="E679" s="219" t="s">
        <v>102</v>
      </c>
      <c r="F679" s="219" t="s">
        <v>852</v>
      </c>
      <c r="G679" s="224" t="s">
        <v>283</v>
      </c>
      <c r="H679" s="220" t="s">
        <v>283</v>
      </c>
      <c r="I679" s="220" t="s">
        <v>20</v>
      </c>
      <c r="J679" s="220" t="s">
        <v>15</v>
      </c>
      <c r="K679" s="220" t="s">
        <v>250</v>
      </c>
      <c r="L679" s="220" t="s">
        <v>283</v>
      </c>
      <c r="M679" s="220" t="s">
        <v>283</v>
      </c>
      <c r="N679" s="220" t="s">
        <v>283</v>
      </c>
      <c r="O679" s="221" t="s">
        <v>2</v>
      </c>
      <c r="P679" s="221" t="s">
        <v>2</v>
      </c>
      <c r="Q679" s="221" t="s">
        <v>15</v>
      </c>
      <c r="R679" s="221" t="s">
        <v>15</v>
      </c>
      <c r="S679" s="221" t="s">
        <v>16</v>
      </c>
      <c r="T679" s="221" t="s">
        <v>330</v>
      </c>
      <c r="U679" s="221" t="s">
        <v>250</v>
      </c>
      <c r="V679" s="221" t="s">
        <v>283</v>
      </c>
      <c r="W679" s="222" t="s">
        <v>283</v>
      </c>
      <c r="X679" s="222" t="s">
        <v>283</v>
      </c>
      <c r="Y679" s="223" t="s">
        <v>283</v>
      </c>
    </row>
    <row r="680" spans="1:25">
      <c r="A680" s="217">
        <v>13</v>
      </c>
      <c r="B680" s="218" t="str">
        <f>VLOOKUP(Tabel10[[#This Row],[Code]],Ruimtegroepen[[Code]:[Ruimte omschrijving]],2,FALSE)</f>
        <v>Personeelskamer</v>
      </c>
      <c r="C680" s="219" t="s">
        <v>848</v>
      </c>
      <c r="D680" s="218" t="s">
        <v>1</v>
      </c>
      <c r="E680" s="219" t="s">
        <v>99</v>
      </c>
      <c r="F680" s="219" t="s">
        <v>850</v>
      </c>
      <c r="G680" s="220" t="s">
        <v>20</v>
      </c>
      <c r="H680" s="220" t="s">
        <v>15</v>
      </c>
      <c r="I680" s="220" t="s">
        <v>283</v>
      </c>
      <c r="J680" s="220" t="s">
        <v>283</v>
      </c>
      <c r="K680" s="220" t="s">
        <v>283</v>
      </c>
      <c r="L680" s="220" t="s">
        <v>283</v>
      </c>
      <c r="M680" s="220" t="s">
        <v>283</v>
      </c>
      <c r="N680" s="220" t="s">
        <v>283</v>
      </c>
      <c r="O680" s="221" t="s">
        <v>2</v>
      </c>
      <c r="P680" s="221" t="s">
        <v>2</v>
      </c>
      <c r="Q680" s="221" t="s">
        <v>15</v>
      </c>
      <c r="R680" s="221" t="s">
        <v>15</v>
      </c>
      <c r="S680" s="221" t="s">
        <v>16</v>
      </c>
      <c r="T680" s="221" t="s">
        <v>330</v>
      </c>
      <c r="U680" s="221" t="s">
        <v>250</v>
      </c>
      <c r="V680" s="221" t="s">
        <v>283</v>
      </c>
      <c r="W680" s="222" t="s">
        <v>283</v>
      </c>
      <c r="X680" s="222" t="s">
        <v>283</v>
      </c>
      <c r="Y680" s="223" t="s">
        <v>283</v>
      </c>
    </row>
    <row r="681" spans="1:25">
      <c r="A681" s="217">
        <v>13</v>
      </c>
      <c r="B681" s="218" t="str">
        <f>VLOOKUP(Tabel10[[#This Row],[Code]],Ruimtegroepen[[Code]:[Ruimte omschrijving]],2,FALSE)</f>
        <v>Personeelskamer</v>
      </c>
      <c r="C681" s="219" t="s">
        <v>848</v>
      </c>
      <c r="D681" s="218" t="s">
        <v>1</v>
      </c>
      <c r="E681" s="219" t="s">
        <v>1313</v>
      </c>
      <c r="F681" s="219" t="s">
        <v>1474</v>
      </c>
      <c r="G681" s="224" t="s">
        <v>283</v>
      </c>
      <c r="H681" s="220" t="s">
        <v>283</v>
      </c>
      <c r="I681" s="220" t="s">
        <v>20</v>
      </c>
      <c r="J681" s="220" t="s">
        <v>15</v>
      </c>
      <c r="K681" s="220" t="s">
        <v>250</v>
      </c>
      <c r="L681" s="220" t="s">
        <v>283</v>
      </c>
      <c r="M681" s="220" t="s">
        <v>283</v>
      </c>
      <c r="N681" s="220" t="s">
        <v>283</v>
      </c>
      <c r="O681" s="221" t="s">
        <v>2</v>
      </c>
      <c r="P681" s="221" t="s">
        <v>2</v>
      </c>
      <c r="Q681" s="221" t="s">
        <v>15</v>
      </c>
      <c r="R681" s="221" t="s">
        <v>15</v>
      </c>
      <c r="S681" s="221" t="s">
        <v>16</v>
      </c>
      <c r="T681" s="221" t="s">
        <v>330</v>
      </c>
      <c r="U681" s="221" t="s">
        <v>250</v>
      </c>
      <c r="V681" s="221" t="s">
        <v>283</v>
      </c>
      <c r="W681" s="222" t="s">
        <v>283</v>
      </c>
      <c r="X681" s="222" t="s">
        <v>283</v>
      </c>
      <c r="Y681" s="223" t="s">
        <v>283</v>
      </c>
    </row>
    <row r="682" spans="1:25">
      <c r="A682" s="217">
        <v>13</v>
      </c>
      <c r="B682" s="218" t="str">
        <f>VLOOKUP(Tabel10[[#This Row],[Code]],Ruimtegroepen[[Code]:[Ruimte omschrijving]],2,FALSE)</f>
        <v>Personeelskamer</v>
      </c>
      <c r="C682" s="219" t="s">
        <v>853</v>
      </c>
      <c r="D682" s="218" t="s">
        <v>21</v>
      </c>
      <c r="E682" s="219" t="s">
        <v>100</v>
      </c>
      <c r="F682" s="219" t="s">
        <v>854</v>
      </c>
      <c r="G682" s="224" t="s">
        <v>283</v>
      </c>
      <c r="H682" s="220" t="s">
        <v>283</v>
      </c>
      <c r="I682" s="220" t="s">
        <v>18</v>
      </c>
      <c r="J682" s="220" t="s">
        <v>15</v>
      </c>
      <c r="K682" s="220" t="s">
        <v>283</v>
      </c>
      <c r="L682" s="220" t="s">
        <v>283</v>
      </c>
      <c r="M682" s="220" t="s">
        <v>283</v>
      </c>
      <c r="N682" s="220" t="s">
        <v>283</v>
      </c>
      <c r="O682" s="221" t="s">
        <v>20</v>
      </c>
      <c r="P682" s="221" t="s">
        <v>20</v>
      </c>
      <c r="Q682" s="221" t="s">
        <v>15</v>
      </c>
      <c r="R682" s="221" t="s">
        <v>15</v>
      </c>
      <c r="S682" s="221" t="s">
        <v>16</v>
      </c>
      <c r="T682" s="221" t="s">
        <v>330</v>
      </c>
      <c r="U682" s="221" t="s">
        <v>250</v>
      </c>
      <c r="V682" s="221" t="s">
        <v>283</v>
      </c>
      <c r="W682" s="222" t="s">
        <v>283</v>
      </c>
      <c r="X682" s="222" t="s">
        <v>283</v>
      </c>
      <c r="Y682" s="223" t="s">
        <v>283</v>
      </c>
    </row>
    <row r="683" spans="1:25">
      <c r="A683" s="217">
        <v>13</v>
      </c>
      <c r="B683" s="218" t="str">
        <f>VLOOKUP(Tabel10[[#This Row],[Code]],Ruimtegroepen[[Code]:[Ruimte omschrijving]],2,FALSE)</f>
        <v>Personeelskamer</v>
      </c>
      <c r="C683" s="219" t="s">
        <v>853</v>
      </c>
      <c r="D683" s="218" t="s">
        <v>21</v>
      </c>
      <c r="E683" s="219" t="s">
        <v>99</v>
      </c>
      <c r="F683" s="219" t="s">
        <v>855</v>
      </c>
      <c r="G683" s="220" t="s">
        <v>18</v>
      </c>
      <c r="H683" s="220" t="s">
        <v>15</v>
      </c>
      <c r="I683" s="220" t="s">
        <v>283</v>
      </c>
      <c r="J683" s="220" t="s">
        <v>283</v>
      </c>
      <c r="K683" s="220" t="s">
        <v>283</v>
      </c>
      <c r="L683" s="220" t="s">
        <v>283</v>
      </c>
      <c r="M683" s="220" t="s">
        <v>283</v>
      </c>
      <c r="N683" s="220" t="s">
        <v>283</v>
      </c>
      <c r="O683" s="221" t="s">
        <v>20</v>
      </c>
      <c r="P683" s="221" t="s">
        <v>20</v>
      </c>
      <c r="Q683" s="221" t="s">
        <v>15</v>
      </c>
      <c r="R683" s="221" t="s">
        <v>15</v>
      </c>
      <c r="S683" s="221" t="s">
        <v>16</v>
      </c>
      <c r="T683" s="221" t="s">
        <v>330</v>
      </c>
      <c r="U683" s="221" t="s">
        <v>250</v>
      </c>
      <c r="V683" s="221" t="s">
        <v>283</v>
      </c>
      <c r="W683" s="222" t="s">
        <v>283</v>
      </c>
      <c r="X683" s="222" t="s">
        <v>283</v>
      </c>
      <c r="Y683" s="223" t="s">
        <v>283</v>
      </c>
    </row>
    <row r="684" spans="1:25">
      <c r="A684" s="217">
        <v>13</v>
      </c>
      <c r="B684" s="218" t="str">
        <f>VLOOKUP(Tabel10[[#This Row],[Code]],Ruimtegroepen[[Code]:[Ruimte omschrijving]],2,FALSE)</f>
        <v>Personeelskamer</v>
      </c>
      <c r="C684" s="219" t="s">
        <v>853</v>
      </c>
      <c r="D684" s="218" t="s">
        <v>21</v>
      </c>
      <c r="E684" s="219" t="s">
        <v>101</v>
      </c>
      <c r="F684" s="219" t="s">
        <v>856</v>
      </c>
      <c r="G684" s="224" t="s">
        <v>283</v>
      </c>
      <c r="H684" s="220" t="s">
        <v>283</v>
      </c>
      <c r="I684" s="220" t="s">
        <v>18</v>
      </c>
      <c r="J684" s="220" t="s">
        <v>15</v>
      </c>
      <c r="K684" s="220" t="s">
        <v>250</v>
      </c>
      <c r="L684" s="220" t="s">
        <v>283</v>
      </c>
      <c r="M684" s="220" t="s">
        <v>283</v>
      </c>
      <c r="N684" s="220" t="s">
        <v>283</v>
      </c>
      <c r="O684" s="221" t="s">
        <v>20</v>
      </c>
      <c r="P684" s="221" t="s">
        <v>20</v>
      </c>
      <c r="Q684" s="221" t="s">
        <v>15</v>
      </c>
      <c r="R684" s="221" t="s">
        <v>15</v>
      </c>
      <c r="S684" s="221" t="s">
        <v>16</v>
      </c>
      <c r="T684" s="221" t="s">
        <v>330</v>
      </c>
      <c r="U684" s="221" t="s">
        <v>250</v>
      </c>
      <c r="V684" s="221" t="s">
        <v>283</v>
      </c>
      <c r="W684" s="222" t="s">
        <v>283</v>
      </c>
      <c r="X684" s="222" t="s">
        <v>283</v>
      </c>
      <c r="Y684" s="223" t="s">
        <v>283</v>
      </c>
    </row>
    <row r="685" spans="1:25">
      <c r="A685" s="217">
        <v>13</v>
      </c>
      <c r="B685" s="218" t="str">
        <f>VLOOKUP(Tabel10[[#This Row],[Code]],Ruimtegroepen[[Code]:[Ruimte omschrijving]],2,FALSE)</f>
        <v>Personeelskamer</v>
      </c>
      <c r="C685" s="219" t="s">
        <v>853</v>
      </c>
      <c r="D685" s="218" t="s">
        <v>21</v>
      </c>
      <c r="E685" s="219" t="s">
        <v>102</v>
      </c>
      <c r="F685" s="219" t="s">
        <v>857</v>
      </c>
      <c r="G685" s="224" t="s">
        <v>283</v>
      </c>
      <c r="H685" s="220" t="s">
        <v>283</v>
      </c>
      <c r="I685" s="220" t="s">
        <v>18</v>
      </c>
      <c r="J685" s="220" t="s">
        <v>15</v>
      </c>
      <c r="K685" s="220" t="s">
        <v>250</v>
      </c>
      <c r="L685" s="220" t="s">
        <v>283</v>
      </c>
      <c r="M685" s="220" t="s">
        <v>283</v>
      </c>
      <c r="N685" s="220" t="s">
        <v>283</v>
      </c>
      <c r="O685" s="221" t="s">
        <v>20</v>
      </c>
      <c r="P685" s="221" t="s">
        <v>20</v>
      </c>
      <c r="Q685" s="221" t="s">
        <v>15</v>
      </c>
      <c r="R685" s="221" t="s">
        <v>15</v>
      </c>
      <c r="S685" s="221" t="s">
        <v>16</v>
      </c>
      <c r="T685" s="221" t="s">
        <v>330</v>
      </c>
      <c r="U685" s="221" t="s">
        <v>250</v>
      </c>
      <c r="V685" s="221" t="s">
        <v>283</v>
      </c>
      <c r="W685" s="222" t="s">
        <v>283</v>
      </c>
      <c r="X685" s="222" t="s">
        <v>283</v>
      </c>
      <c r="Y685" s="223" t="s">
        <v>283</v>
      </c>
    </row>
    <row r="686" spans="1:25">
      <c r="A686" s="217">
        <v>13</v>
      </c>
      <c r="B686" s="218" t="str">
        <f>VLOOKUP(Tabel10[[#This Row],[Code]],Ruimtegroepen[[Code]:[Ruimte omschrijving]],2,FALSE)</f>
        <v>Personeelskamer</v>
      </c>
      <c r="C686" s="219" t="s">
        <v>853</v>
      </c>
      <c r="D686" s="218" t="s">
        <v>21</v>
      </c>
      <c r="E686" s="219" t="s">
        <v>99</v>
      </c>
      <c r="F686" s="219" t="s">
        <v>855</v>
      </c>
      <c r="G686" s="220" t="s">
        <v>18</v>
      </c>
      <c r="H686" s="220" t="s">
        <v>15</v>
      </c>
      <c r="I686" s="220" t="s">
        <v>283</v>
      </c>
      <c r="J686" s="220" t="s">
        <v>283</v>
      </c>
      <c r="K686" s="220" t="s">
        <v>283</v>
      </c>
      <c r="L686" s="220" t="s">
        <v>283</v>
      </c>
      <c r="M686" s="220" t="s">
        <v>283</v>
      </c>
      <c r="N686" s="220" t="s">
        <v>283</v>
      </c>
      <c r="O686" s="221" t="s">
        <v>20</v>
      </c>
      <c r="P686" s="221" t="s">
        <v>20</v>
      </c>
      <c r="Q686" s="221" t="s">
        <v>15</v>
      </c>
      <c r="R686" s="221" t="s">
        <v>15</v>
      </c>
      <c r="S686" s="221" t="s">
        <v>16</v>
      </c>
      <c r="T686" s="221" t="s">
        <v>330</v>
      </c>
      <c r="U686" s="221" t="s">
        <v>250</v>
      </c>
      <c r="V686" s="221" t="s">
        <v>283</v>
      </c>
      <c r="W686" s="222" t="s">
        <v>283</v>
      </c>
      <c r="X686" s="222" t="s">
        <v>283</v>
      </c>
      <c r="Y686" s="223" t="s">
        <v>283</v>
      </c>
    </row>
    <row r="687" spans="1:25">
      <c r="A687" s="217">
        <v>13</v>
      </c>
      <c r="B687" s="218" t="str">
        <f>VLOOKUP(Tabel10[[#This Row],[Code]],Ruimtegroepen[[Code]:[Ruimte omschrijving]],2,FALSE)</f>
        <v>Personeelskamer</v>
      </c>
      <c r="C687" s="219" t="s">
        <v>853</v>
      </c>
      <c r="D687" s="218" t="s">
        <v>21</v>
      </c>
      <c r="E687" s="219" t="s">
        <v>1313</v>
      </c>
      <c r="F687" s="219" t="s">
        <v>1457</v>
      </c>
      <c r="G687" s="224" t="s">
        <v>283</v>
      </c>
      <c r="H687" s="220" t="s">
        <v>283</v>
      </c>
      <c r="I687" s="220" t="s">
        <v>18</v>
      </c>
      <c r="J687" s="220" t="s">
        <v>15</v>
      </c>
      <c r="K687" s="220" t="s">
        <v>250</v>
      </c>
      <c r="L687" s="220" t="s">
        <v>283</v>
      </c>
      <c r="M687" s="220" t="s">
        <v>283</v>
      </c>
      <c r="N687" s="220" t="s">
        <v>283</v>
      </c>
      <c r="O687" s="221" t="s">
        <v>20</v>
      </c>
      <c r="P687" s="221" t="s">
        <v>20</v>
      </c>
      <c r="Q687" s="221" t="s">
        <v>15</v>
      </c>
      <c r="R687" s="221" t="s">
        <v>15</v>
      </c>
      <c r="S687" s="221" t="s">
        <v>16</v>
      </c>
      <c r="T687" s="221" t="s">
        <v>330</v>
      </c>
      <c r="U687" s="221" t="s">
        <v>250</v>
      </c>
      <c r="V687" s="221" t="s">
        <v>283</v>
      </c>
      <c r="W687" s="222" t="s">
        <v>283</v>
      </c>
      <c r="X687" s="222" t="s">
        <v>283</v>
      </c>
      <c r="Y687" s="223" t="s">
        <v>283</v>
      </c>
    </row>
    <row r="688" spans="1:25">
      <c r="A688" s="217">
        <v>13</v>
      </c>
      <c r="B688" s="218" t="str">
        <f>VLOOKUP(Tabel10[[#This Row],[Code]],Ruimtegroepen[[Code]:[Ruimte omschrijving]],2,FALSE)</f>
        <v>Personeelskamer</v>
      </c>
      <c r="C688" s="219" t="s">
        <v>858</v>
      </c>
      <c r="D688" s="218" t="s">
        <v>12</v>
      </c>
      <c r="E688" s="219" t="s">
        <v>100</v>
      </c>
      <c r="F688" s="219" t="s">
        <v>859</v>
      </c>
      <c r="G688" s="224" t="s">
        <v>283</v>
      </c>
      <c r="H688" s="220" t="s">
        <v>283</v>
      </c>
      <c r="I688" s="220" t="s">
        <v>17</v>
      </c>
      <c r="J688" s="220" t="s">
        <v>15</v>
      </c>
      <c r="K688" s="220" t="s">
        <v>283</v>
      </c>
      <c r="L688" s="220" t="s">
        <v>283</v>
      </c>
      <c r="M688" s="220" t="s">
        <v>283</v>
      </c>
      <c r="N688" s="220" t="s">
        <v>283</v>
      </c>
      <c r="O688" s="221" t="s">
        <v>18</v>
      </c>
      <c r="P688" s="221" t="s">
        <v>18</v>
      </c>
      <c r="Q688" s="221" t="s">
        <v>15</v>
      </c>
      <c r="R688" s="221" t="s">
        <v>15</v>
      </c>
      <c r="S688" s="221" t="s">
        <v>16</v>
      </c>
      <c r="T688" s="221" t="s">
        <v>330</v>
      </c>
      <c r="U688" s="221" t="s">
        <v>250</v>
      </c>
      <c r="V688" s="221" t="s">
        <v>283</v>
      </c>
      <c r="W688" s="222" t="s">
        <v>283</v>
      </c>
      <c r="X688" s="222" t="s">
        <v>283</v>
      </c>
      <c r="Y688" s="223" t="s">
        <v>283</v>
      </c>
    </row>
    <row r="689" spans="1:25">
      <c r="A689" s="217">
        <v>13</v>
      </c>
      <c r="B689" s="218" t="str">
        <f>VLOOKUP(Tabel10[[#This Row],[Code]],Ruimtegroepen[[Code]:[Ruimte omschrijving]],2,FALSE)</f>
        <v>Personeelskamer</v>
      </c>
      <c r="C689" s="219" t="s">
        <v>858</v>
      </c>
      <c r="D689" s="218" t="s">
        <v>12</v>
      </c>
      <c r="E689" s="219" t="s">
        <v>99</v>
      </c>
      <c r="F689" s="219" t="s">
        <v>860</v>
      </c>
      <c r="G689" s="220" t="s">
        <v>17</v>
      </c>
      <c r="H689" s="220" t="s">
        <v>15</v>
      </c>
      <c r="I689" s="220" t="s">
        <v>283</v>
      </c>
      <c r="J689" s="220" t="s">
        <v>283</v>
      </c>
      <c r="K689" s="220" t="s">
        <v>283</v>
      </c>
      <c r="L689" s="220" t="s">
        <v>283</v>
      </c>
      <c r="M689" s="220" t="s">
        <v>283</v>
      </c>
      <c r="N689" s="220" t="s">
        <v>283</v>
      </c>
      <c r="O689" s="221" t="s">
        <v>18</v>
      </c>
      <c r="P689" s="221" t="s">
        <v>18</v>
      </c>
      <c r="Q689" s="221" t="s">
        <v>15</v>
      </c>
      <c r="R689" s="221" t="s">
        <v>15</v>
      </c>
      <c r="S689" s="221" t="s">
        <v>16</v>
      </c>
      <c r="T689" s="221" t="s">
        <v>330</v>
      </c>
      <c r="U689" s="221" t="s">
        <v>250</v>
      </c>
      <c r="V689" s="221" t="s">
        <v>283</v>
      </c>
      <c r="W689" s="222" t="s">
        <v>283</v>
      </c>
      <c r="X689" s="222" t="s">
        <v>283</v>
      </c>
      <c r="Y689" s="223" t="s">
        <v>283</v>
      </c>
    </row>
    <row r="690" spans="1:25">
      <c r="A690" s="217">
        <v>13</v>
      </c>
      <c r="B690" s="218" t="str">
        <f>VLOOKUP(Tabel10[[#This Row],[Code]],Ruimtegroepen[[Code]:[Ruimte omschrijving]],2,FALSE)</f>
        <v>Personeelskamer</v>
      </c>
      <c r="C690" s="219" t="s">
        <v>858</v>
      </c>
      <c r="D690" s="218" t="s">
        <v>12</v>
      </c>
      <c r="E690" s="219" t="s">
        <v>101</v>
      </c>
      <c r="F690" s="219" t="s">
        <v>861</v>
      </c>
      <c r="G690" s="224" t="s">
        <v>283</v>
      </c>
      <c r="H690" s="220" t="s">
        <v>283</v>
      </c>
      <c r="I690" s="220" t="s">
        <v>17</v>
      </c>
      <c r="J690" s="220" t="s">
        <v>15</v>
      </c>
      <c r="K690" s="220" t="s">
        <v>250</v>
      </c>
      <c r="L690" s="220" t="s">
        <v>283</v>
      </c>
      <c r="M690" s="220" t="s">
        <v>283</v>
      </c>
      <c r="N690" s="220" t="s">
        <v>283</v>
      </c>
      <c r="O690" s="221" t="s">
        <v>18</v>
      </c>
      <c r="P690" s="221" t="s">
        <v>18</v>
      </c>
      <c r="Q690" s="221" t="s">
        <v>15</v>
      </c>
      <c r="R690" s="221" t="s">
        <v>15</v>
      </c>
      <c r="S690" s="221" t="s">
        <v>16</v>
      </c>
      <c r="T690" s="221" t="s">
        <v>330</v>
      </c>
      <c r="U690" s="221" t="s">
        <v>250</v>
      </c>
      <c r="V690" s="221" t="s">
        <v>283</v>
      </c>
      <c r="W690" s="222" t="s">
        <v>283</v>
      </c>
      <c r="X690" s="222" t="s">
        <v>283</v>
      </c>
      <c r="Y690" s="223" t="s">
        <v>283</v>
      </c>
    </row>
    <row r="691" spans="1:25">
      <c r="A691" s="217">
        <v>13</v>
      </c>
      <c r="B691" s="218" t="str">
        <f>VLOOKUP(Tabel10[[#This Row],[Code]],Ruimtegroepen[[Code]:[Ruimte omschrijving]],2,FALSE)</f>
        <v>Personeelskamer</v>
      </c>
      <c r="C691" s="219" t="s">
        <v>858</v>
      </c>
      <c r="D691" s="218" t="s">
        <v>12</v>
      </c>
      <c r="E691" s="219" t="s">
        <v>102</v>
      </c>
      <c r="F691" s="219" t="s">
        <v>862</v>
      </c>
      <c r="G691" s="224" t="s">
        <v>283</v>
      </c>
      <c r="H691" s="220" t="s">
        <v>283</v>
      </c>
      <c r="I691" s="220" t="s">
        <v>17</v>
      </c>
      <c r="J691" s="220" t="s">
        <v>15</v>
      </c>
      <c r="K691" s="220" t="s">
        <v>250</v>
      </c>
      <c r="L691" s="220" t="s">
        <v>283</v>
      </c>
      <c r="M691" s="220" t="s">
        <v>283</v>
      </c>
      <c r="N691" s="220" t="s">
        <v>283</v>
      </c>
      <c r="O691" s="221" t="s">
        <v>18</v>
      </c>
      <c r="P691" s="221" t="s">
        <v>18</v>
      </c>
      <c r="Q691" s="221" t="s">
        <v>15</v>
      </c>
      <c r="R691" s="221" t="s">
        <v>15</v>
      </c>
      <c r="S691" s="221" t="s">
        <v>16</v>
      </c>
      <c r="T691" s="221" t="s">
        <v>330</v>
      </c>
      <c r="U691" s="221" t="s">
        <v>250</v>
      </c>
      <c r="V691" s="221" t="s">
        <v>283</v>
      </c>
      <c r="W691" s="222" t="s">
        <v>283</v>
      </c>
      <c r="X691" s="222" t="s">
        <v>283</v>
      </c>
      <c r="Y691" s="223" t="s">
        <v>283</v>
      </c>
    </row>
    <row r="692" spans="1:25">
      <c r="A692" s="217">
        <v>13</v>
      </c>
      <c r="B692" s="218" t="str">
        <f>VLOOKUP(Tabel10[[#This Row],[Code]],Ruimtegroepen[[Code]:[Ruimte omschrijving]],2,FALSE)</f>
        <v>Personeelskamer</v>
      </c>
      <c r="C692" s="219" t="s">
        <v>858</v>
      </c>
      <c r="D692" s="218" t="s">
        <v>12</v>
      </c>
      <c r="E692" s="219" t="s">
        <v>99</v>
      </c>
      <c r="F692" s="219" t="s">
        <v>860</v>
      </c>
      <c r="G692" s="220" t="s">
        <v>17</v>
      </c>
      <c r="H692" s="220" t="s">
        <v>15</v>
      </c>
      <c r="I692" s="220" t="s">
        <v>283</v>
      </c>
      <c r="J692" s="220" t="s">
        <v>283</v>
      </c>
      <c r="K692" s="220" t="s">
        <v>283</v>
      </c>
      <c r="L692" s="220" t="s">
        <v>283</v>
      </c>
      <c r="M692" s="220" t="s">
        <v>283</v>
      </c>
      <c r="N692" s="220" t="s">
        <v>283</v>
      </c>
      <c r="O692" s="221" t="s">
        <v>18</v>
      </c>
      <c r="P692" s="221" t="s">
        <v>18</v>
      </c>
      <c r="Q692" s="221" t="s">
        <v>15</v>
      </c>
      <c r="R692" s="221" t="s">
        <v>15</v>
      </c>
      <c r="S692" s="221" t="s">
        <v>16</v>
      </c>
      <c r="T692" s="221" t="s">
        <v>330</v>
      </c>
      <c r="U692" s="221" t="s">
        <v>250</v>
      </c>
      <c r="V692" s="221" t="s">
        <v>283</v>
      </c>
      <c r="W692" s="222" t="s">
        <v>283</v>
      </c>
      <c r="X692" s="222" t="s">
        <v>283</v>
      </c>
      <c r="Y692" s="223" t="s">
        <v>283</v>
      </c>
    </row>
    <row r="693" spans="1:25">
      <c r="A693" s="217">
        <v>13</v>
      </c>
      <c r="B693" s="218" t="str">
        <f>VLOOKUP(Tabel10[[#This Row],[Code]],Ruimtegroepen[[Code]:[Ruimte omschrijving]],2,FALSE)</f>
        <v>Personeelskamer</v>
      </c>
      <c r="C693" s="219" t="s">
        <v>858</v>
      </c>
      <c r="D693" s="218" t="s">
        <v>12</v>
      </c>
      <c r="E693" s="219" t="s">
        <v>1313</v>
      </c>
      <c r="F693" s="219" t="s">
        <v>1439</v>
      </c>
      <c r="G693" s="224" t="s">
        <v>283</v>
      </c>
      <c r="H693" s="220" t="s">
        <v>283</v>
      </c>
      <c r="I693" s="220" t="s">
        <v>17</v>
      </c>
      <c r="J693" s="220" t="s">
        <v>15</v>
      </c>
      <c r="K693" s="220" t="s">
        <v>250</v>
      </c>
      <c r="L693" s="220" t="s">
        <v>283</v>
      </c>
      <c r="M693" s="220" t="s">
        <v>283</v>
      </c>
      <c r="N693" s="220" t="s">
        <v>283</v>
      </c>
      <c r="O693" s="221" t="s">
        <v>18</v>
      </c>
      <c r="P693" s="221" t="s">
        <v>18</v>
      </c>
      <c r="Q693" s="221" t="s">
        <v>15</v>
      </c>
      <c r="R693" s="221" t="s">
        <v>15</v>
      </c>
      <c r="S693" s="221" t="s">
        <v>16</v>
      </c>
      <c r="T693" s="221" t="s">
        <v>330</v>
      </c>
      <c r="U693" s="221" t="s">
        <v>250</v>
      </c>
      <c r="V693" s="221" t="s">
        <v>283</v>
      </c>
      <c r="W693" s="222" t="s">
        <v>283</v>
      </c>
      <c r="X693" s="222" t="s">
        <v>283</v>
      </c>
      <c r="Y693" s="223" t="s">
        <v>283</v>
      </c>
    </row>
    <row r="694" spans="1:25">
      <c r="A694" s="217">
        <v>13</v>
      </c>
      <c r="B694" s="218" t="str">
        <f>VLOOKUP(Tabel10[[#This Row],[Code]],Ruimtegroepen[[Code]:[Ruimte omschrijving]],2,FALSE)</f>
        <v>Personeelskamer</v>
      </c>
      <c r="C694" s="219" t="s">
        <v>863</v>
      </c>
      <c r="D694" s="218" t="s">
        <v>14</v>
      </c>
      <c r="E694" s="219" t="s">
        <v>100</v>
      </c>
      <c r="F694" s="219" t="s">
        <v>864</v>
      </c>
      <c r="G694" s="224" t="s">
        <v>283</v>
      </c>
      <c r="H694" s="220" t="s">
        <v>283</v>
      </c>
      <c r="I694" s="220" t="s">
        <v>15</v>
      </c>
      <c r="J694" s="220" t="s">
        <v>15</v>
      </c>
      <c r="K694" s="220" t="s">
        <v>283</v>
      </c>
      <c r="L694" s="220" t="s">
        <v>283</v>
      </c>
      <c r="M694" s="220" t="s">
        <v>283</v>
      </c>
      <c r="N694" s="220" t="s">
        <v>283</v>
      </c>
      <c r="O694" s="221" t="s">
        <v>17</v>
      </c>
      <c r="P694" s="221" t="s">
        <v>17</v>
      </c>
      <c r="Q694" s="221" t="s">
        <v>15</v>
      </c>
      <c r="R694" s="221" t="s">
        <v>15</v>
      </c>
      <c r="S694" s="221" t="s">
        <v>16</v>
      </c>
      <c r="T694" s="221" t="s">
        <v>330</v>
      </c>
      <c r="U694" s="221" t="s">
        <v>250</v>
      </c>
      <c r="V694" s="221" t="s">
        <v>283</v>
      </c>
      <c r="W694" s="222" t="s">
        <v>283</v>
      </c>
      <c r="X694" s="222" t="s">
        <v>283</v>
      </c>
      <c r="Y694" s="223" t="s">
        <v>283</v>
      </c>
    </row>
    <row r="695" spans="1:25">
      <c r="A695" s="217">
        <v>13</v>
      </c>
      <c r="B695" s="218" t="str">
        <f>VLOOKUP(Tabel10[[#This Row],[Code]],Ruimtegroepen[[Code]:[Ruimte omschrijving]],2,FALSE)</f>
        <v>Personeelskamer</v>
      </c>
      <c r="C695" s="219" t="s">
        <v>863</v>
      </c>
      <c r="D695" s="218" t="s">
        <v>14</v>
      </c>
      <c r="E695" s="219" t="s">
        <v>99</v>
      </c>
      <c r="F695" s="219" t="s">
        <v>865</v>
      </c>
      <c r="G695" s="220" t="s">
        <v>15</v>
      </c>
      <c r="H695" s="220" t="s">
        <v>15</v>
      </c>
      <c r="I695" s="220" t="s">
        <v>283</v>
      </c>
      <c r="J695" s="220" t="s">
        <v>283</v>
      </c>
      <c r="K695" s="220" t="s">
        <v>283</v>
      </c>
      <c r="L695" s="220" t="s">
        <v>283</v>
      </c>
      <c r="M695" s="220" t="s">
        <v>283</v>
      </c>
      <c r="N695" s="220" t="s">
        <v>283</v>
      </c>
      <c r="O695" s="221" t="s">
        <v>17</v>
      </c>
      <c r="P695" s="221" t="s">
        <v>17</v>
      </c>
      <c r="Q695" s="221" t="s">
        <v>15</v>
      </c>
      <c r="R695" s="221" t="s">
        <v>15</v>
      </c>
      <c r="S695" s="221" t="s">
        <v>16</v>
      </c>
      <c r="T695" s="221" t="s">
        <v>330</v>
      </c>
      <c r="U695" s="221" t="s">
        <v>250</v>
      </c>
      <c r="V695" s="221" t="s">
        <v>283</v>
      </c>
      <c r="W695" s="222" t="s">
        <v>283</v>
      </c>
      <c r="X695" s="222" t="s">
        <v>283</v>
      </c>
      <c r="Y695" s="223" t="s">
        <v>283</v>
      </c>
    </row>
    <row r="696" spans="1:25">
      <c r="A696" s="217">
        <v>13</v>
      </c>
      <c r="B696" s="218" t="str">
        <f>VLOOKUP(Tabel10[[#This Row],[Code]],Ruimtegroepen[[Code]:[Ruimte omschrijving]],2,FALSE)</f>
        <v>Personeelskamer</v>
      </c>
      <c r="C696" s="219" t="s">
        <v>863</v>
      </c>
      <c r="D696" s="218" t="s">
        <v>14</v>
      </c>
      <c r="E696" s="219" t="s">
        <v>101</v>
      </c>
      <c r="F696" s="219" t="s">
        <v>866</v>
      </c>
      <c r="G696" s="224" t="s">
        <v>283</v>
      </c>
      <c r="H696" s="220" t="s">
        <v>283</v>
      </c>
      <c r="I696" s="220" t="s">
        <v>15</v>
      </c>
      <c r="J696" s="220" t="s">
        <v>15</v>
      </c>
      <c r="K696" s="220" t="s">
        <v>250</v>
      </c>
      <c r="L696" s="220" t="s">
        <v>283</v>
      </c>
      <c r="M696" s="220" t="s">
        <v>283</v>
      </c>
      <c r="N696" s="220" t="s">
        <v>283</v>
      </c>
      <c r="O696" s="221" t="s">
        <v>17</v>
      </c>
      <c r="P696" s="221" t="s">
        <v>17</v>
      </c>
      <c r="Q696" s="221" t="s">
        <v>15</v>
      </c>
      <c r="R696" s="221" t="s">
        <v>15</v>
      </c>
      <c r="S696" s="221" t="s">
        <v>16</v>
      </c>
      <c r="T696" s="221" t="s">
        <v>330</v>
      </c>
      <c r="U696" s="221" t="s">
        <v>250</v>
      </c>
      <c r="V696" s="221" t="s">
        <v>283</v>
      </c>
      <c r="W696" s="222" t="s">
        <v>283</v>
      </c>
      <c r="X696" s="222" t="s">
        <v>283</v>
      </c>
      <c r="Y696" s="223" t="s">
        <v>283</v>
      </c>
    </row>
    <row r="697" spans="1:25">
      <c r="A697" s="217">
        <v>13</v>
      </c>
      <c r="B697" s="218" t="str">
        <f>VLOOKUP(Tabel10[[#This Row],[Code]],Ruimtegroepen[[Code]:[Ruimte omschrijving]],2,FALSE)</f>
        <v>Personeelskamer</v>
      </c>
      <c r="C697" s="219" t="s">
        <v>863</v>
      </c>
      <c r="D697" s="218" t="s">
        <v>14</v>
      </c>
      <c r="E697" s="219" t="s">
        <v>102</v>
      </c>
      <c r="F697" s="219" t="s">
        <v>867</v>
      </c>
      <c r="G697" s="224" t="s">
        <v>283</v>
      </c>
      <c r="H697" s="220" t="s">
        <v>283</v>
      </c>
      <c r="I697" s="220" t="s">
        <v>15</v>
      </c>
      <c r="J697" s="220" t="s">
        <v>15</v>
      </c>
      <c r="K697" s="220" t="s">
        <v>250</v>
      </c>
      <c r="L697" s="220" t="s">
        <v>283</v>
      </c>
      <c r="M697" s="220" t="s">
        <v>283</v>
      </c>
      <c r="N697" s="220" t="s">
        <v>283</v>
      </c>
      <c r="O697" s="221" t="s">
        <v>17</v>
      </c>
      <c r="P697" s="221" t="s">
        <v>17</v>
      </c>
      <c r="Q697" s="221" t="s">
        <v>15</v>
      </c>
      <c r="R697" s="221" t="s">
        <v>15</v>
      </c>
      <c r="S697" s="221" t="s">
        <v>16</v>
      </c>
      <c r="T697" s="221" t="s">
        <v>330</v>
      </c>
      <c r="U697" s="221" t="s">
        <v>250</v>
      </c>
      <c r="V697" s="221" t="s">
        <v>283</v>
      </c>
      <c r="W697" s="222" t="s">
        <v>283</v>
      </c>
      <c r="X697" s="222" t="s">
        <v>283</v>
      </c>
      <c r="Y697" s="223" t="s">
        <v>283</v>
      </c>
    </row>
    <row r="698" spans="1:25">
      <c r="A698" s="217">
        <v>13</v>
      </c>
      <c r="B698" s="218" t="str">
        <f>VLOOKUP(Tabel10[[#This Row],[Code]],Ruimtegroepen[[Code]:[Ruimte omschrijving]],2,FALSE)</f>
        <v>Personeelskamer</v>
      </c>
      <c r="C698" s="219" t="s">
        <v>863</v>
      </c>
      <c r="D698" s="218" t="s">
        <v>14</v>
      </c>
      <c r="E698" s="219" t="s">
        <v>99</v>
      </c>
      <c r="F698" s="219" t="s">
        <v>865</v>
      </c>
      <c r="G698" s="220" t="s">
        <v>15</v>
      </c>
      <c r="H698" s="220" t="s">
        <v>15</v>
      </c>
      <c r="I698" s="220" t="s">
        <v>283</v>
      </c>
      <c r="J698" s="220" t="s">
        <v>283</v>
      </c>
      <c r="K698" s="220" t="s">
        <v>283</v>
      </c>
      <c r="L698" s="220" t="s">
        <v>283</v>
      </c>
      <c r="M698" s="220" t="s">
        <v>283</v>
      </c>
      <c r="N698" s="220" t="s">
        <v>283</v>
      </c>
      <c r="O698" s="221" t="s">
        <v>17</v>
      </c>
      <c r="P698" s="221" t="s">
        <v>17</v>
      </c>
      <c r="Q698" s="221" t="s">
        <v>15</v>
      </c>
      <c r="R698" s="221" t="s">
        <v>15</v>
      </c>
      <c r="S698" s="221" t="s">
        <v>16</v>
      </c>
      <c r="T698" s="221" t="s">
        <v>330</v>
      </c>
      <c r="U698" s="221" t="s">
        <v>250</v>
      </c>
      <c r="V698" s="221" t="s">
        <v>283</v>
      </c>
      <c r="W698" s="222" t="s">
        <v>283</v>
      </c>
      <c r="X698" s="222" t="s">
        <v>283</v>
      </c>
      <c r="Y698" s="223" t="s">
        <v>283</v>
      </c>
    </row>
    <row r="699" spans="1:25">
      <c r="A699" s="217">
        <v>13</v>
      </c>
      <c r="B699" s="218" t="str">
        <f>VLOOKUP(Tabel10[[#This Row],[Code]],Ruimtegroepen[[Code]:[Ruimte omschrijving]],2,FALSE)</f>
        <v>Personeelskamer</v>
      </c>
      <c r="C699" s="219" t="s">
        <v>863</v>
      </c>
      <c r="D699" s="218" t="s">
        <v>14</v>
      </c>
      <c r="E699" s="219" t="s">
        <v>1313</v>
      </c>
      <c r="F699" s="219" t="s">
        <v>1406</v>
      </c>
      <c r="G699" s="224" t="s">
        <v>283</v>
      </c>
      <c r="H699" s="220" t="s">
        <v>283</v>
      </c>
      <c r="I699" s="220" t="s">
        <v>15</v>
      </c>
      <c r="J699" s="220" t="s">
        <v>15</v>
      </c>
      <c r="K699" s="220" t="s">
        <v>250</v>
      </c>
      <c r="L699" s="220" t="s">
        <v>283</v>
      </c>
      <c r="M699" s="220" t="s">
        <v>283</v>
      </c>
      <c r="N699" s="220" t="s">
        <v>283</v>
      </c>
      <c r="O699" s="221" t="s">
        <v>17</v>
      </c>
      <c r="P699" s="221" t="s">
        <v>17</v>
      </c>
      <c r="Q699" s="221" t="s">
        <v>15</v>
      </c>
      <c r="R699" s="221" t="s">
        <v>15</v>
      </c>
      <c r="S699" s="221" t="s">
        <v>16</v>
      </c>
      <c r="T699" s="221" t="s">
        <v>330</v>
      </c>
      <c r="U699" s="221" t="s">
        <v>250</v>
      </c>
      <c r="V699" s="221" t="s">
        <v>283</v>
      </c>
      <c r="W699" s="222" t="s">
        <v>283</v>
      </c>
      <c r="X699" s="222" t="s">
        <v>283</v>
      </c>
      <c r="Y699" s="223" t="s">
        <v>283</v>
      </c>
    </row>
    <row r="700" spans="1:25">
      <c r="A700" s="217">
        <v>13</v>
      </c>
      <c r="B700" s="218" t="str">
        <f>VLOOKUP(Tabel10[[#This Row],[Code]],Ruimtegroepen[[Code]:[Ruimte omschrijving]],2,FALSE)</f>
        <v>Personeelskamer</v>
      </c>
      <c r="C700" s="219" t="s">
        <v>868</v>
      </c>
      <c r="D700" s="218" t="s">
        <v>13</v>
      </c>
      <c r="E700" s="219" t="s">
        <v>100</v>
      </c>
      <c r="F700" s="219" t="s">
        <v>869</v>
      </c>
      <c r="G700" s="224" t="s">
        <v>283</v>
      </c>
      <c r="H700" s="220" t="s">
        <v>283</v>
      </c>
      <c r="I700" s="220" t="s">
        <v>283</v>
      </c>
      <c r="J700" s="220" t="s">
        <v>15</v>
      </c>
      <c r="K700" s="220" t="s">
        <v>283</v>
      </c>
      <c r="L700" s="220" t="s">
        <v>283</v>
      </c>
      <c r="M700" s="220" t="s">
        <v>283</v>
      </c>
      <c r="N700" s="220" t="s">
        <v>283</v>
      </c>
      <c r="O700" s="221" t="s">
        <v>15</v>
      </c>
      <c r="P700" s="221" t="s">
        <v>15</v>
      </c>
      <c r="Q700" s="221" t="s">
        <v>15</v>
      </c>
      <c r="R700" s="221" t="s">
        <v>15</v>
      </c>
      <c r="S700" s="221" t="s">
        <v>16</v>
      </c>
      <c r="T700" s="221" t="s">
        <v>330</v>
      </c>
      <c r="U700" s="221" t="s">
        <v>250</v>
      </c>
      <c r="V700" s="221" t="s">
        <v>283</v>
      </c>
      <c r="W700" s="222" t="s">
        <v>283</v>
      </c>
      <c r="X700" s="222" t="s">
        <v>283</v>
      </c>
      <c r="Y700" s="223" t="s">
        <v>283</v>
      </c>
    </row>
    <row r="701" spans="1:25">
      <c r="A701" s="217">
        <v>13</v>
      </c>
      <c r="B701" s="218" t="str">
        <f>VLOOKUP(Tabel10[[#This Row],[Code]],Ruimtegroepen[[Code]:[Ruimte omschrijving]],2,FALSE)</f>
        <v>Personeelskamer</v>
      </c>
      <c r="C701" s="219" t="s">
        <v>868</v>
      </c>
      <c r="D701" s="218" t="s">
        <v>13</v>
      </c>
      <c r="E701" s="219" t="s">
        <v>99</v>
      </c>
      <c r="F701" s="219" t="s">
        <v>870</v>
      </c>
      <c r="G701" s="224" t="s">
        <v>283</v>
      </c>
      <c r="H701" s="220" t="s">
        <v>15</v>
      </c>
      <c r="I701" s="220" t="s">
        <v>283</v>
      </c>
      <c r="J701" s="220" t="s">
        <v>283</v>
      </c>
      <c r="K701" s="220" t="s">
        <v>283</v>
      </c>
      <c r="L701" s="220" t="s">
        <v>283</v>
      </c>
      <c r="M701" s="220" t="s">
        <v>283</v>
      </c>
      <c r="N701" s="220" t="s">
        <v>283</v>
      </c>
      <c r="O701" s="221" t="s">
        <v>15</v>
      </c>
      <c r="P701" s="221" t="s">
        <v>15</v>
      </c>
      <c r="Q701" s="221" t="s">
        <v>15</v>
      </c>
      <c r="R701" s="221" t="s">
        <v>15</v>
      </c>
      <c r="S701" s="221" t="s">
        <v>16</v>
      </c>
      <c r="T701" s="221" t="s">
        <v>330</v>
      </c>
      <c r="U701" s="221" t="s">
        <v>250</v>
      </c>
      <c r="V701" s="221" t="s">
        <v>283</v>
      </c>
      <c r="W701" s="222" t="s">
        <v>283</v>
      </c>
      <c r="X701" s="222" t="s">
        <v>283</v>
      </c>
      <c r="Y701" s="223" t="s">
        <v>283</v>
      </c>
    </row>
    <row r="702" spans="1:25">
      <c r="A702" s="217">
        <v>13</v>
      </c>
      <c r="B702" s="218" t="str">
        <f>VLOOKUP(Tabel10[[#This Row],[Code]],Ruimtegroepen[[Code]:[Ruimte omschrijving]],2,FALSE)</f>
        <v>Personeelskamer</v>
      </c>
      <c r="C702" s="219" t="s">
        <v>868</v>
      </c>
      <c r="D702" s="218" t="s">
        <v>13</v>
      </c>
      <c r="E702" s="219" t="s">
        <v>101</v>
      </c>
      <c r="F702" s="219" t="s">
        <v>871</v>
      </c>
      <c r="G702" s="224" t="s">
        <v>283</v>
      </c>
      <c r="H702" s="220" t="s">
        <v>283</v>
      </c>
      <c r="I702" s="220" t="s">
        <v>283</v>
      </c>
      <c r="J702" s="220" t="s">
        <v>15</v>
      </c>
      <c r="K702" s="220" t="s">
        <v>250</v>
      </c>
      <c r="L702" s="220" t="s">
        <v>283</v>
      </c>
      <c r="M702" s="220" t="s">
        <v>283</v>
      </c>
      <c r="N702" s="220" t="s">
        <v>283</v>
      </c>
      <c r="O702" s="221" t="s">
        <v>15</v>
      </c>
      <c r="P702" s="221" t="s">
        <v>15</v>
      </c>
      <c r="Q702" s="221" t="s">
        <v>15</v>
      </c>
      <c r="R702" s="221" t="s">
        <v>15</v>
      </c>
      <c r="S702" s="221" t="s">
        <v>16</v>
      </c>
      <c r="T702" s="221" t="s">
        <v>330</v>
      </c>
      <c r="U702" s="221" t="s">
        <v>250</v>
      </c>
      <c r="V702" s="221" t="s">
        <v>283</v>
      </c>
      <c r="W702" s="222" t="s">
        <v>283</v>
      </c>
      <c r="X702" s="222" t="s">
        <v>283</v>
      </c>
      <c r="Y702" s="223" t="s">
        <v>283</v>
      </c>
    </row>
    <row r="703" spans="1:25">
      <c r="A703" s="217">
        <v>13</v>
      </c>
      <c r="B703" s="218" t="str">
        <f>VLOOKUP(Tabel10[[#This Row],[Code]],Ruimtegroepen[[Code]:[Ruimte omschrijving]],2,FALSE)</f>
        <v>Personeelskamer</v>
      </c>
      <c r="C703" s="219" t="s">
        <v>868</v>
      </c>
      <c r="D703" s="218" t="s">
        <v>13</v>
      </c>
      <c r="E703" s="219" t="s">
        <v>102</v>
      </c>
      <c r="F703" s="219" t="s">
        <v>872</v>
      </c>
      <c r="G703" s="224" t="s">
        <v>283</v>
      </c>
      <c r="H703" s="220" t="s">
        <v>283</v>
      </c>
      <c r="I703" s="220" t="s">
        <v>283</v>
      </c>
      <c r="J703" s="220" t="s">
        <v>15</v>
      </c>
      <c r="K703" s="220" t="s">
        <v>250</v>
      </c>
      <c r="L703" s="220" t="s">
        <v>283</v>
      </c>
      <c r="M703" s="220" t="s">
        <v>283</v>
      </c>
      <c r="N703" s="220" t="s">
        <v>283</v>
      </c>
      <c r="O703" s="221" t="s">
        <v>15</v>
      </c>
      <c r="P703" s="221" t="s">
        <v>15</v>
      </c>
      <c r="Q703" s="221" t="s">
        <v>15</v>
      </c>
      <c r="R703" s="221" t="s">
        <v>15</v>
      </c>
      <c r="S703" s="221" t="s">
        <v>16</v>
      </c>
      <c r="T703" s="221" t="s">
        <v>330</v>
      </c>
      <c r="U703" s="221" t="s">
        <v>250</v>
      </c>
      <c r="V703" s="221" t="s">
        <v>283</v>
      </c>
      <c r="W703" s="222" t="s">
        <v>283</v>
      </c>
      <c r="X703" s="222" t="s">
        <v>283</v>
      </c>
      <c r="Y703" s="223" t="s">
        <v>283</v>
      </c>
    </row>
    <row r="704" spans="1:25">
      <c r="A704" s="217">
        <v>13</v>
      </c>
      <c r="B704" s="218" t="str">
        <f>VLOOKUP(Tabel10[[#This Row],[Code]],Ruimtegroepen[[Code]:[Ruimte omschrijving]],2,FALSE)</f>
        <v>Personeelskamer</v>
      </c>
      <c r="C704" s="219" t="s">
        <v>868</v>
      </c>
      <c r="D704" s="218" t="s">
        <v>13</v>
      </c>
      <c r="E704" s="219" t="s">
        <v>99</v>
      </c>
      <c r="F704" s="219" t="s">
        <v>870</v>
      </c>
      <c r="G704" s="224" t="s">
        <v>283</v>
      </c>
      <c r="H704" s="220" t="s">
        <v>15</v>
      </c>
      <c r="I704" s="220" t="s">
        <v>283</v>
      </c>
      <c r="J704" s="220" t="s">
        <v>283</v>
      </c>
      <c r="K704" s="220" t="s">
        <v>283</v>
      </c>
      <c r="L704" s="220" t="s">
        <v>283</v>
      </c>
      <c r="M704" s="220" t="s">
        <v>283</v>
      </c>
      <c r="N704" s="220" t="s">
        <v>283</v>
      </c>
      <c r="O704" s="221" t="s">
        <v>15</v>
      </c>
      <c r="P704" s="221" t="s">
        <v>15</v>
      </c>
      <c r="Q704" s="221" t="s">
        <v>15</v>
      </c>
      <c r="R704" s="221" t="s">
        <v>15</v>
      </c>
      <c r="S704" s="221" t="s">
        <v>16</v>
      </c>
      <c r="T704" s="221" t="s">
        <v>330</v>
      </c>
      <c r="U704" s="221" t="s">
        <v>250</v>
      </c>
      <c r="V704" s="221" t="s">
        <v>283</v>
      </c>
      <c r="W704" s="222" t="s">
        <v>283</v>
      </c>
      <c r="X704" s="222" t="s">
        <v>283</v>
      </c>
      <c r="Y704" s="223" t="s">
        <v>283</v>
      </c>
    </row>
    <row r="705" spans="1:25">
      <c r="A705" s="217">
        <v>13</v>
      </c>
      <c r="B705" s="218" t="str">
        <f>VLOOKUP(Tabel10[[#This Row],[Code]],Ruimtegroepen[[Code]:[Ruimte omschrijving]],2,FALSE)</f>
        <v>Personeelskamer</v>
      </c>
      <c r="C705" s="219" t="s">
        <v>868</v>
      </c>
      <c r="D705" s="218" t="s">
        <v>13</v>
      </c>
      <c r="E705" s="219" t="s">
        <v>1313</v>
      </c>
      <c r="F705" s="219" t="s">
        <v>1373</v>
      </c>
      <c r="G705" s="224" t="s">
        <v>283</v>
      </c>
      <c r="H705" s="220" t="s">
        <v>283</v>
      </c>
      <c r="I705" s="220" t="s">
        <v>283</v>
      </c>
      <c r="J705" s="220" t="s">
        <v>15</v>
      </c>
      <c r="K705" s="220" t="s">
        <v>250</v>
      </c>
      <c r="L705" s="220" t="s">
        <v>283</v>
      </c>
      <c r="M705" s="220" t="s">
        <v>283</v>
      </c>
      <c r="N705" s="220" t="s">
        <v>283</v>
      </c>
      <c r="O705" s="221" t="s">
        <v>15</v>
      </c>
      <c r="P705" s="221" t="s">
        <v>15</v>
      </c>
      <c r="Q705" s="221" t="s">
        <v>15</v>
      </c>
      <c r="R705" s="221" t="s">
        <v>15</v>
      </c>
      <c r="S705" s="221" t="s">
        <v>16</v>
      </c>
      <c r="T705" s="221" t="s">
        <v>330</v>
      </c>
      <c r="U705" s="221" t="s">
        <v>250</v>
      </c>
      <c r="V705" s="221" t="s">
        <v>283</v>
      </c>
      <c r="W705" s="222" t="s">
        <v>283</v>
      </c>
      <c r="X705" s="222" t="s">
        <v>283</v>
      </c>
      <c r="Y705" s="223" t="s">
        <v>283</v>
      </c>
    </row>
    <row r="706" spans="1:25">
      <c r="A706" s="217">
        <v>13</v>
      </c>
      <c r="B706" s="218" t="str">
        <f>VLOOKUP(Tabel10[[#This Row],[Code]],Ruimtegroepen[[Code]:[Ruimte omschrijving]],2,FALSE)</f>
        <v>Personeelskamer</v>
      </c>
      <c r="C706" s="219" t="s">
        <v>873</v>
      </c>
      <c r="D706" s="218" t="s">
        <v>0</v>
      </c>
      <c r="E706" s="219" t="s">
        <v>100</v>
      </c>
      <c r="F706" s="219" t="s">
        <v>874</v>
      </c>
      <c r="G706" s="224" t="s">
        <v>283</v>
      </c>
      <c r="H706" s="220" t="s">
        <v>283</v>
      </c>
      <c r="I706" s="220" t="s">
        <v>16</v>
      </c>
      <c r="J706" s="220" t="s">
        <v>283</v>
      </c>
      <c r="K706" s="220" t="s">
        <v>283</v>
      </c>
      <c r="L706" s="220" t="s">
        <v>283</v>
      </c>
      <c r="M706" s="220" t="s">
        <v>283</v>
      </c>
      <c r="N706" s="220" t="s">
        <v>283</v>
      </c>
      <c r="O706" s="221" t="s">
        <v>16</v>
      </c>
      <c r="P706" s="221" t="s">
        <v>16</v>
      </c>
      <c r="Q706" s="221" t="s">
        <v>16</v>
      </c>
      <c r="R706" s="221" t="s">
        <v>16</v>
      </c>
      <c r="S706" s="221" t="s">
        <v>16</v>
      </c>
      <c r="T706" s="221" t="s">
        <v>330</v>
      </c>
      <c r="U706" s="221" t="s">
        <v>250</v>
      </c>
      <c r="V706" s="221" t="s">
        <v>283</v>
      </c>
      <c r="W706" s="222" t="s">
        <v>283</v>
      </c>
      <c r="X706" s="222" t="s">
        <v>283</v>
      </c>
      <c r="Y706" s="223" t="s">
        <v>283</v>
      </c>
    </row>
    <row r="707" spans="1:25">
      <c r="A707" s="217">
        <v>13</v>
      </c>
      <c r="B707" s="218" t="str">
        <f>VLOOKUP(Tabel10[[#This Row],[Code]],Ruimtegroepen[[Code]:[Ruimte omschrijving]],2,FALSE)</f>
        <v>Personeelskamer</v>
      </c>
      <c r="C707" s="219" t="s">
        <v>873</v>
      </c>
      <c r="D707" s="218" t="s">
        <v>0</v>
      </c>
      <c r="E707" s="219" t="s">
        <v>99</v>
      </c>
      <c r="F707" s="219" t="s">
        <v>875</v>
      </c>
      <c r="G707" s="224" t="s">
        <v>283</v>
      </c>
      <c r="H707" s="220" t="s">
        <v>16</v>
      </c>
      <c r="I707" s="220" t="s">
        <v>283</v>
      </c>
      <c r="J707" s="220" t="s">
        <v>283</v>
      </c>
      <c r="K707" s="220" t="s">
        <v>283</v>
      </c>
      <c r="L707" s="220" t="s">
        <v>283</v>
      </c>
      <c r="M707" s="220" t="s">
        <v>283</v>
      </c>
      <c r="N707" s="220" t="s">
        <v>283</v>
      </c>
      <c r="O707" s="221" t="s">
        <v>16</v>
      </c>
      <c r="P707" s="221" t="s">
        <v>16</v>
      </c>
      <c r="Q707" s="221" t="s">
        <v>16</v>
      </c>
      <c r="R707" s="221" t="s">
        <v>16</v>
      </c>
      <c r="S707" s="221" t="s">
        <v>16</v>
      </c>
      <c r="T707" s="221" t="s">
        <v>330</v>
      </c>
      <c r="U707" s="221" t="s">
        <v>250</v>
      </c>
      <c r="V707" s="221" t="s">
        <v>283</v>
      </c>
      <c r="W707" s="222" t="s">
        <v>283</v>
      </c>
      <c r="X707" s="222" t="s">
        <v>283</v>
      </c>
      <c r="Y707" s="223" t="s">
        <v>283</v>
      </c>
    </row>
    <row r="708" spans="1:25">
      <c r="A708" s="217">
        <v>13</v>
      </c>
      <c r="B708" s="218" t="str">
        <f>VLOOKUP(Tabel10[[#This Row],[Code]],Ruimtegroepen[[Code]:[Ruimte omschrijving]],2,FALSE)</f>
        <v>Personeelskamer</v>
      </c>
      <c r="C708" s="219" t="s">
        <v>873</v>
      </c>
      <c r="D708" s="218" t="s">
        <v>0</v>
      </c>
      <c r="E708" s="219" t="s">
        <v>101</v>
      </c>
      <c r="F708" s="219" t="s">
        <v>876</v>
      </c>
      <c r="G708" s="224" t="s">
        <v>283</v>
      </c>
      <c r="H708" s="220" t="s">
        <v>283</v>
      </c>
      <c r="I708" s="220" t="s">
        <v>283</v>
      </c>
      <c r="J708" s="220" t="s">
        <v>16</v>
      </c>
      <c r="K708" s="220" t="s">
        <v>250</v>
      </c>
      <c r="L708" s="220" t="s">
        <v>283</v>
      </c>
      <c r="M708" s="220" t="s">
        <v>283</v>
      </c>
      <c r="N708" s="220" t="s">
        <v>283</v>
      </c>
      <c r="O708" s="221" t="s">
        <v>16</v>
      </c>
      <c r="P708" s="221" t="s">
        <v>16</v>
      </c>
      <c r="Q708" s="221" t="s">
        <v>16</v>
      </c>
      <c r="R708" s="221" t="s">
        <v>16</v>
      </c>
      <c r="S708" s="221" t="s">
        <v>16</v>
      </c>
      <c r="T708" s="221" t="s">
        <v>330</v>
      </c>
      <c r="U708" s="221" t="s">
        <v>250</v>
      </c>
      <c r="V708" s="221" t="s">
        <v>283</v>
      </c>
      <c r="W708" s="222" t="s">
        <v>283</v>
      </c>
      <c r="X708" s="222" t="s">
        <v>283</v>
      </c>
      <c r="Y708" s="223" t="s">
        <v>283</v>
      </c>
    </row>
    <row r="709" spans="1:25">
      <c r="A709" s="217">
        <v>13</v>
      </c>
      <c r="B709" s="218" t="str">
        <f>VLOOKUP(Tabel10[[#This Row],[Code]],Ruimtegroepen[[Code]:[Ruimte omschrijving]],2,FALSE)</f>
        <v>Personeelskamer</v>
      </c>
      <c r="C709" s="219" t="s">
        <v>873</v>
      </c>
      <c r="D709" s="218" t="s">
        <v>0</v>
      </c>
      <c r="E709" s="219" t="s">
        <v>102</v>
      </c>
      <c r="F709" s="219" t="s">
        <v>877</v>
      </c>
      <c r="G709" s="224" t="s">
        <v>283</v>
      </c>
      <c r="H709" s="220" t="s">
        <v>283</v>
      </c>
      <c r="I709" s="220" t="s">
        <v>16</v>
      </c>
      <c r="J709" s="220" t="s">
        <v>283</v>
      </c>
      <c r="K709" s="220" t="s">
        <v>250</v>
      </c>
      <c r="L709" s="220" t="s">
        <v>283</v>
      </c>
      <c r="M709" s="220" t="s">
        <v>283</v>
      </c>
      <c r="N709" s="220" t="s">
        <v>283</v>
      </c>
      <c r="O709" s="221" t="s">
        <v>16</v>
      </c>
      <c r="P709" s="221" t="s">
        <v>16</v>
      </c>
      <c r="Q709" s="221" t="s">
        <v>16</v>
      </c>
      <c r="R709" s="221" t="s">
        <v>16</v>
      </c>
      <c r="S709" s="221" t="s">
        <v>16</v>
      </c>
      <c r="T709" s="221" t="s">
        <v>330</v>
      </c>
      <c r="U709" s="221" t="s">
        <v>250</v>
      </c>
      <c r="V709" s="221" t="s">
        <v>283</v>
      </c>
      <c r="W709" s="222" t="s">
        <v>283</v>
      </c>
      <c r="X709" s="222" t="s">
        <v>283</v>
      </c>
      <c r="Y709" s="223" t="s">
        <v>283</v>
      </c>
    </row>
    <row r="710" spans="1:25">
      <c r="A710" s="217">
        <v>13</v>
      </c>
      <c r="B710" s="218" t="str">
        <f>VLOOKUP(Tabel10[[#This Row],[Code]],Ruimtegroepen[[Code]:[Ruimte omschrijving]],2,FALSE)</f>
        <v>Personeelskamer</v>
      </c>
      <c r="C710" s="219" t="s">
        <v>873</v>
      </c>
      <c r="D710" s="218" t="s">
        <v>0</v>
      </c>
      <c r="E710" s="219" t="s">
        <v>99</v>
      </c>
      <c r="F710" s="219" t="s">
        <v>875</v>
      </c>
      <c r="G710" s="224" t="s">
        <v>283</v>
      </c>
      <c r="H710" s="220" t="s">
        <v>16</v>
      </c>
      <c r="I710" s="220" t="s">
        <v>283</v>
      </c>
      <c r="J710" s="220" t="s">
        <v>283</v>
      </c>
      <c r="K710" s="220" t="s">
        <v>283</v>
      </c>
      <c r="L710" s="220" t="s">
        <v>283</v>
      </c>
      <c r="M710" s="220" t="s">
        <v>283</v>
      </c>
      <c r="N710" s="220" t="s">
        <v>283</v>
      </c>
      <c r="O710" s="221" t="s">
        <v>16</v>
      </c>
      <c r="P710" s="221" t="s">
        <v>16</v>
      </c>
      <c r="Q710" s="221" t="s">
        <v>16</v>
      </c>
      <c r="R710" s="221" t="s">
        <v>16</v>
      </c>
      <c r="S710" s="221" t="s">
        <v>16</v>
      </c>
      <c r="T710" s="221" t="s">
        <v>330</v>
      </c>
      <c r="U710" s="221" t="s">
        <v>250</v>
      </c>
      <c r="V710" s="221" t="s">
        <v>283</v>
      </c>
      <c r="W710" s="222" t="s">
        <v>283</v>
      </c>
      <c r="X710" s="222" t="s">
        <v>283</v>
      </c>
      <c r="Y710" s="223" t="s">
        <v>283</v>
      </c>
    </row>
    <row r="711" spans="1:25">
      <c r="A711" s="217">
        <v>13</v>
      </c>
      <c r="B711" s="218" t="str">
        <f>VLOOKUP(Tabel10[[#This Row],[Code]],Ruimtegroepen[[Code]:[Ruimte omschrijving]],2,FALSE)</f>
        <v>Personeelskamer</v>
      </c>
      <c r="C711" s="219" t="s">
        <v>873</v>
      </c>
      <c r="D711" s="218" t="s">
        <v>0</v>
      </c>
      <c r="E711" s="219" t="s">
        <v>1313</v>
      </c>
      <c r="F711" s="219" t="s">
        <v>1357</v>
      </c>
      <c r="G711" s="224" t="s">
        <v>283</v>
      </c>
      <c r="H711" s="220" t="s">
        <v>283</v>
      </c>
      <c r="I711" s="220" t="s">
        <v>16</v>
      </c>
      <c r="J711" s="220" t="s">
        <v>283</v>
      </c>
      <c r="K711" s="220" t="s">
        <v>250</v>
      </c>
      <c r="L711" s="220" t="s">
        <v>283</v>
      </c>
      <c r="M711" s="220" t="s">
        <v>283</v>
      </c>
      <c r="N711" s="220" t="s">
        <v>283</v>
      </c>
      <c r="O711" s="221" t="s">
        <v>16</v>
      </c>
      <c r="P711" s="221" t="s">
        <v>16</v>
      </c>
      <c r="Q711" s="221" t="s">
        <v>16</v>
      </c>
      <c r="R711" s="221" t="s">
        <v>16</v>
      </c>
      <c r="S711" s="221" t="s">
        <v>16</v>
      </c>
      <c r="T711" s="221" t="s">
        <v>330</v>
      </c>
      <c r="U711" s="221" t="s">
        <v>250</v>
      </c>
      <c r="V711" s="221" t="s">
        <v>283</v>
      </c>
      <c r="W711" s="222" t="s">
        <v>283</v>
      </c>
      <c r="X711" s="222" t="s">
        <v>283</v>
      </c>
      <c r="Y711" s="223" t="s">
        <v>283</v>
      </c>
    </row>
    <row r="712" spans="1:25">
      <c r="A712" s="217">
        <v>13</v>
      </c>
      <c r="B712" s="218" t="str">
        <f>VLOOKUP(Tabel10[[#This Row],[Code]],Ruimtegroepen[[Code]:[Ruimte omschrijving]],2,FALSE)</f>
        <v>Personeelskamer</v>
      </c>
      <c r="C712" s="219" t="s">
        <v>878</v>
      </c>
      <c r="D712" s="218" t="s">
        <v>27</v>
      </c>
      <c r="E712" s="219" t="s">
        <v>100</v>
      </c>
      <c r="F712" s="219" t="s">
        <v>879</v>
      </c>
      <c r="G712" s="224" t="s">
        <v>283</v>
      </c>
      <c r="H712" s="220" t="s">
        <v>283</v>
      </c>
      <c r="I712" s="220" t="s">
        <v>15</v>
      </c>
      <c r="J712" s="220" t="s">
        <v>283</v>
      </c>
      <c r="K712" s="220" t="s">
        <v>283</v>
      </c>
      <c r="L712" s="220" t="s">
        <v>283</v>
      </c>
      <c r="M712" s="220" t="s">
        <v>283</v>
      </c>
      <c r="N712" s="220" t="s">
        <v>283</v>
      </c>
      <c r="O712" s="221" t="s">
        <v>15</v>
      </c>
      <c r="P712" s="221" t="s">
        <v>15</v>
      </c>
      <c r="Q712" s="221" t="s">
        <v>15</v>
      </c>
      <c r="R712" s="221" t="s">
        <v>283</v>
      </c>
      <c r="S712" s="221" t="s">
        <v>283</v>
      </c>
      <c r="T712" s="221" t="s">
        <v>283</v>
      </c>
      <c r="U712" s="221" t="s">
        <v>283</v>
      </c>
      <c r="V712" s="221" t="s">
        <v>283</v>
      </c>
      <c r="W712" s="222" t="s">
        <v>283</v>
      </c>
      <c r="X712" s="222" t="s">
        <v>283</v>
      </c>
      <c r="Y712" s="223" t="s">
        <v>283</v>
      </c>
    </row>
    <row r="713" spans="1:25">
      <c r="A713" s="217">
        <v>13</v>
      </c>
      <c r="B713" s="218" t="str">
        <f>VLOOKUP(Tabel10[[#This Row],[Code]],Ruimtegroepen[[Code]:[Ruimte omschrijving]],2,FALSE)</f>
        <v>Personeelskamer</v>
      </c>
      <c r="C713" s="219" t="s">
        <v>878</v>
      </c>
      <c r="D713" s="218" t="s">
        <v>27</v>
      </c>
      <c r="E713" s="219" t="s">
        <v>99</v>
      </c>
      <c r="F713" s="219" t="s">
        <v>880</v>
      </c>
      <c r="G713" s="224" t="s">
        <v>283</v>
      </c>
      <c r="H713" s="220" t="s">
        <v>15</v>
      </c>
      <c r="I713" s="220" t="s">
        <v>283</v>
      </c>
      <c r="J713" s="220" t="s">
        <v>283</v>
      </c>
      <c r="K713" s="220" t="s">
        <v>283</v>
      </c>
      <c r="L713" s="220" t="s">
        <v>283</v>
      </c>
      <c r="M713" s="220" t="s">
        <v>283</v>
      </c>
      <c r="N713" s="220" t="s">
        <v>283</v>
      </c>
      <c r="O713" s="221" t="s">
        <v>15</v>
      </c>
      <c r="P713" s="221" t="s">
        <v>15</v>
      </c>
      <c r="Q713" s="221" t="s">
        <v>15</v>
      </c>
      <c r="R713" s="221" t="s">
        <v>283</v>
      </c>
      <c r="S713" s="221" t="s">
        <v>283</v>
      </c>
      <c r="T713" s="221" t="s">
        <v>283</v>
      </c>
      <c r="U713" s="221" t="s">
        <v>283</v>
      </c>
      <c r="V713" s="221" t="s">
        <v>283</v>
      </c>
      <c r="W713" s="222" t="s">
        <v>283</v>
      </c>
      <c r="X713" s="222" t="s">
        <v>283</v>
      </c>
      <c r="Y713" s="223" t="s">
        <v>283</v>
      </c>
    </row>
    <row r="714" spans="1:25">
      <c r="A714" s="217">
        <v>13</v>
      </c>
      <c r="B714" s="218" t="str">
        <f>VLOOKUP(Tabel10[[#This Row],[Code]],Ruimtegroepen[[Code]:[Ruimte omschrijving]],2,FALSE)</f>
        <v>Personeelskamer</v>
      </c>
      <c r="C714" s="219" t="s">
        <v>878</v>
      </c>
      <c r="D714" s="218" t="s">
        <v>27</v>
      </c>
      <c r="E714" s="219" t="s">
        <v>101</v>
      </c>
      <c r="F714" s="219" t="s">
        <v>881</v>
      </c>
      <c r="G714" s="224" t="s">
        <v>283</v>
      </c>
      <c r="H714" s="220" t="s">
        <v>283</v>
      </c>
      <c r="I714" s="220" t="s">
        <v>15</v>
      </c>
      <c r="J714" s="220" t="s">
        <v>283</v>
      </c>
      <c r="K714" s="220" t="s">
        <v>283</v>
      </c>
      <c r="L714" s="220" t="s">
        <v>283</v>
      </c>
      <c r="M714" s="220" t="s">
        <v>283</v>
      </c>
      <c r="N714" s="220" t="s">
        <v>283</v>
      </c>
      <c r="O714" s="221" t="s">
        <v>15</v>
      </c>
      <c r="P714" s="221" t="s">
        <v>15</v>
      </c>
      <c r="Q714" s="221" t="s">
        <v>15</v>
      </c>
      <c r="R714" s="221" t="s">
        <v>283</v>
      </c>
      <c r="S714" s="221" t="s">
        <v>283</v>
      </c>
      <c r="T714" s="221" t="s">
        <v>283</v>
      </c>
      <c r="U714" s="221" t="s">
        <v>283</v>
      </c>
      <c r="V714" s="221" t="s">
        <v>283</v>
      </c>
      <c r="W714" s="222" t="s">
        <v>283</v>
      </c>
      <c r="X714" s="222" t="s">
        <v>283</v>
      </c>
      <c r="Y714" s="223" t="s">
        <v>283</v>
      </c>
    </row>
    <row r="715" spans="1:25">
      <c r="A715" s="217">
        <v>13</v>
      </c>
      <c r="B715" s="218" t="str">
        <f>VLOOKUP(Tabel10[[#This Row],[Code]],Ruimtegroepen[[Code]:[Ruimte omschrijving]],2,FALSE)</f>
        <v>Personeelskamer</v>
      </c>
      <c r="C715" s="219" t="s">
        <v>878</v>
      </c>
      <c r="D715" s="218" t="s">
        <v>27</v>
      </c>
      <c r="E715" s="219" t="s">
        <v>102</v>
      </c>
      <c r="F715" s="219" t="s">
        <v>882</v>
      </c>
      <c r="G715" s="224" t="s">
        <v>283</v>
      </c>
      <c r="H715" s="220" t="s">
        <v>283</v>
      </c>
      <c r="I715" s="220" t="s">
        <v>15</v>
      </c>
      <c r="J715" s="220" t="s">
        <v>283</v>
      </c>
      <c r="K715" s="220" t="s">
        <v>283</v>
      </c>
      <c r="L715" s="220" t="s">
        <v>283</v>
      </c>
      <c r="M715" s="220" t="s">
        <v>283</v>
      </c>
      <c r="N715" s="220" t="s">
        <v>283</v>
      </c>
      <c r="O715" s="221" t="s">
        <v>15</v>
      </c>
      <c r="P715" s="221" t="s">
        <v>15</v>
      </c>
      <c r="Q715" s="221" t="s">
        <v>15</v>
      </c>
      <c r="R715" s="221" t="s">
        <v>283</v>
      </c>
      <c r="S715" s="221" t="s">
        <v>283</v>
      </c>
      <c r="T715" s="221" t="s">
        <v>283</v>
      </c>
      <c r="U715" s="221" t="s">
        <v>283</v>
      </c>
      <c r="V715" s="221" t="s">
        <v>283</v>
      </c>
      <c r="W715" s="222" t="s">
        <v>283</v>
      </c>
      <c r="X715" s="222" t="s">
        <v>283</v>
      </c>
      <c r="Y715" s="223" t="s">
        <v>283</v>
      </c>
    </row>
    <row r="716" spans="1:25">
      <c r="A716" s="217">
        <v>13</v>
      </c>
      <c r="B716" s="218" t="str">
        <f>VLOOKUP(Tabel10[[#This Row],[Code]],Ruimtegroepen[[Code]:[Ruimte omschrijving]],2,FALSE)</f>
        <v>Personeelskamer</v>
      </c>
      <c r="C716" s="219" t="s">
        <v>878</v>
      </c>
      <c r="D716" s="218" t="s">
        <v>27</v>
      </c>
      <c r="E716" s="219" t="s">
        <v>99</v>
      </c>
      <c r="F716" s="219" t="s">
        <v>880</v>
      </c>
      <c r="G716" s="224" t="s">
        <v>283</v>
      </c>
      <c r="H716" s="220" t="s">
        <v>15</v>
      </c>
      <c r="I716" s="220" t="s">
        <v>283</v>
      </c>
      <c r="J716" s="220" t="s">
        <v>283</v>
      </c>
      <c r="K716" s="220" t="s">
        <v>283</v>
      </c>
      <c r="L716" s="220" t="s">
        <v>283</v>
      </c>
      <c r="M716" s="220" t="s">
        <v>283</v>
      </c>
      <c r="N716" s="220" t="s">
        <v>283</v>
      </c>
      <c r="O716" s="221" t="s">
        <v>15</v>
      </c>
      <c r="P716" s="221" t="s">
        <v>15</v>
      </c>
      <c r="Q716" s="221" t="s">
        <v>15</v>
      </c>
      <c r="R716" s="221" t="s">
        <v>283</v>
      </c>
      <c r="S716" s="221" t="s">
        <v>283</v>
      </c>
      <c r="T716" s="221" t="s">
        <v>283</v>
      </c>
      <c r="U716" s="221" t="s">
        <v>283</v>
      </c>
      <c r="V716" s="221" t="s">
        <v>283</v>
      </c>
      <c r="W716" s="222" t="s">
        <v>283</v>
      </c>
      <c r="X716" s="222" t="s">
        <v>283</v>
      </c>
      <c r="Y716" s="223" t="s">
        <v>283</v>
      </c>
    </row>
    <row r="717" spans="1:25">
      <c r="A717" s="217">
        <v>13</v>
      </c>
      <c r="B717" s="218" t="str">
        <f>VLOOKUP(Tabel10[[#This Row],[Code]],Ruimtegroepen[[Code]:[Ruimte omschrijving]],2,FALSE)</f>
        <v>Personeelskamer</v>
      </c>
      <c r="C717" s="219" t="s">
        <v>878</v>
      </c>
      <c r="D717" s="218" t="s">
        <v>27</v>
      </c>
      <c r="E717" s="219" t="s">
        <v>1313</v>
      </c>
      <c r="F717" s="219" t="s">
        <v>1390</v>
      </c>
      <c r="G717" s="224" t="s">
        <v>283</v>
      </c>
      <c r="H717" s="220" t="s">
        <v>283</v>
      </c>
      <c r="I717" s="220" t="s">
        <v>15</v>
      </c>
      <c r="J717" s="220" t="s">
        <v>283</v>
      </c>
      <c r="K717" s="220" t="s">
        <v>283</v>
      </c>
      <c r="L717" s="220" t="s">
        <v>283</v>
      </c>
      <c r="M717" s="220" t="s">
        <v>283</v>
      </c>
      <c r="N717" s="220" t="s">
        <v>283</v>
      </c>
      <c r="O717" s="221" t="s">
        <v>15</v>
      </c>
      <c r="P717" s="221" t="s">
        <v>15</v>
      </c>
      <c r="Q717" s="221" t="s">
        <v>15</v>
      </c>
      <c r="R717" s="221" t="s">
        <v>283</v>
      </c>
      <c r="S717" s="221" t="s">
        <v>283</v>
      </c>
      <c r="T717" s="221" t="s">
        <v>283</v>
      </c>
      <c r="U717" s="221" t="s">
        <v>283</v>
      </c>
      <c r="V717" s="221" t="s">
        <v>283</v>
      </c>
      <c r="W717" s="222" t="s">
        <v>283</v>
      </c>
      <c r="X717" s="222" t="s">
        <v>283</v>
      </c>
      <c r="Y717" s="223" t="s">
        <v>283</v>
      </c>
    </row>
    <row r="718" spans="1:25">
      <c r="A718" s="217">
        <v>13</v>
      </c>
      <c r="B718" s="218" t="str">
        <f>VLOOKUP(Tabel10[[#This Row],[Code]],Ruimtegroepen[[Code]:[Ruimte omschrijving]],2,FALSE)</f>
        <v>Personeelskamer</v>
      </c>
      <c r="C718" s="219" t="s">
        <v>883</v>
      </c>
      <c r="D718" s="218" t="s">
        <v>28</v>
      </c>
      <c r="E718" s="219" t="s">
        <v>100</v>
      </c>
      <c r="F718" s="219" t="s">
        <v>884</v>
      </c>
      <c r="G718" s="224" t="s">
        <v>283</v>
      </c>
      <c r="H718" s="220" t="s">
        <v>283</v>
      </c>
      <c r="I718" s="220" t="s">
        <v>17</v>
      </c>
      <c r="J718" s="220" t="s">
        <v>283</v>
      </c>
      <c r="K718" s="220" t="s">
        <v>283</v>
      </c>
      <c r="L718" s="220" t="s">
        <v>283</v>
      </c>
      <c r="M718" s="220" t="s">
        <v>283</v>
      </c>
      <c r="N718" s="220" t="s">
        <v>283</v>
      </c>
      <c r="O718" s="221" t="s">
        <v>17</v>
      </c>
      <c r="P718" s="221" t="s">
        <v>17</v>
      </c>
      <c r="Q718" s="221" t="s">
        <v>15</v>
      </c>
      <c r="R718" s="221" t="s">
        <v>283</v>
      </c>
      <c r="S718" s="221" t="s">
        <v>283</v>
      </c>
      <c r="T718" s="221" t="s">
        <v>283</v>
      </c>
      <c r="U718" s="221" t="s">
        <v>283</v>
      </c>
      <c r="V718" s="221" t="s">
        <v>283</v>
      </c>
      <c r="W718" s="222" t="s">
        <v>283</v>
      </c>
      <c r="X718" s="222" t="s">
        <v>283</v>
      </c>
      <c r="Y718" s="223" t="s">
        <v>283</v>
      </c>
    </row>
    <row r="719" spans="1:25">
      <c r="A719" s="217">
        <v>13</v>
      </c>
      <c r="B719" s="218" t="str">
        <f>VLOOKUP(Tabel10[[#This Row],[Code]],Ruimtegroepen[[Code]:[Ruimte omschrijving]],2,FALSE)</f>
        <v>Personeelskamer</v>
      </c>
      <c r="C719" s="219" t="s">
        <v>883</v>
      </c>
      <c r="D719" s="218" t="s">
        <v>28</v>
      </c>
      <c r="E719" s="219" t="s">
        <v>99</v>
      </c>
      <c r="F719" s="219" t="s">
        <v>885</v>
      </c>
      <c r="G719" s="224" t="s">
        <v>283</v>
      </c>
      <c r="H719" s="220" t="s">
        <v>17</v>
      </c>
      <c r="I719" s="220" t="s">
        <v>283</v>
      </c>
      <c r="J719" s="220" t="s">
        <v>283</v>
      </c>
      <c r="K719" s="220" t="s">
        <v>283</v>
      </c>
      <c r="L719" s="220" t="s">
        <v>283</v>
      </c>
      <c r="M719" s="220" t="s">
        <v>283</v>
      </c>
      <c r="N719" s="220" t="s">
        <v>283</v>
      </c>
      <c r="O719" s="221" t="s">
        <v>17</v>
      </c>
      <c r="P719" s="221" t="s">
        <v>17</v>
      </c>
      <c r="Q719" s="221" t="s">
        <v>15</v>
      </c>
      <c r="R719" s="221" t="s">
        <v>283</v>
      </c>
      <c r="S719" s="221" t="s">
        <v>283</v>
      </c>
      <c r="T719" s="221" t="s">
        <v>283</v>
      </c>
      <c r="U719" s="221" t="s">
        <v>283</v>
      </c>
      <c r="V719" s="221" t="s">
        <v>283</v>
      </c>
      <c r="W719" s="222" t="s">
        <v>283</v>
      </c>
      <c r="X719" s="222" t="s">
        <v>283</v>
      </c>
      <c r="Y719" s="223" t="s">
        <v>283</v>
      </c>
    </row>
    <row r="720" spans="1:25">
      <c r="A720" s="217">
        <v>13</v>
      </c>
      <c r="B720" s="218" t="str">
        <f>VLOOKUP(Tabel10[[#This Row],[Code]],Ruimtegroepen[[Code]:[Ruimte omschrijving]],2,FALSE)</f>
        <v>Personeelskamer</v>
      </c>
      <c r="C720" s="219" t="s">
        <v>883</v>
      </c>
      <c r="D720" s="218" t="s">
        <v>28</v>
      </c>
      <c r="E720" s="219" t="s">
        <v>101</v>
      </c>
      <c r="F720" s="219" t="s">
        <v>886</v>
      </c>
      <c r="G720" s="224" t="s">
        <v>283</v>
      </c>
      <c r="H720" s="220" t="s">
        <v>283</v>
      </c>
      <c r="I720" s="220" t="s">
        <v>17</v>
      </c>
      <c r="J720" s="220" t="s">
        <v>283</v>
      </c>
      <c r="K720" s="220" t="s">
        <v>283</v>
      </c>
      <c r="L720" s="220" t="s">
        <v>283</v>
      </c>
      <c r="M720" s="220" t="s">
        <v>283</v>
      </c>
      <c r="N720" s="220" t="s">
        <v>283</v>
      </c>
      <c r="O720" s="221" t="s">
        <v>17</v>
      </c>
      <c r="P720" s="221" t="s">
        <v>17</v>
      </c>
      <c r="Q720" s="221" t="s">
        <v>15</v>
      </c>
      <c r="R720" s="221" t="s">
        <v>283</v>
      </c>
      <c r="S720" s="221" t="s">
        <v>283</v>
      </c>
      <c r="T720" s="221" t="s">
        <v>283</v>
      </c>
      <c r="U720" s="221" t="s">
        <v>283</v>
      </c>
      <c r="V720" s="221" t="s">
        <v>283</v>
      </c>
      <c r="W720" s="222" t="s">
        <v>283</v>
      </c>
      <c r="X720" s="222" t="s">
        <v>283</v>
      </c>
      <c r="Y720" s="223" t="s">
        <v>283</v>
      </c>
    </row>
    <row r="721" spans="1:25">
      <c r="A721" s="217">
        <v>13</v>
      </c>
      <c r="B721" s="218" t="str">
        <f>VLOOKUP(Tabel10[[#This Row],[Code]],Ruimtegroepen[[Code]:[Ruimte omschrijving]],2,FALSE)</f>
        <v>Personeelskamer</v>
      </c>
      <c r="C721" s="219" t="s">
        <v>883</v>
      </c>
      <c r="D721" s="218" t="s">
        <v>28</v>
      </c>
      <c r="E721" s="219" t="s">
        <v>102</v>
      </c>
      <c r="F721" s="219" t="s">
        <v>887</v>
      </c>
      <c r="G721" s="224" t="s">
        <v>283</v>
      </c>
      <c r="H721" s="220" t="s">
        <v>283</v>
      </c>
      <c r="I721" s="220" t="s">
        <v>17</v>
      </c>
      <c r="J721" s="220" t="s">
        <v>283</v>
      </c>
      <c r="K721" s="220" t="s">
        <v>283</v>
      </c>
      <c r="L721" s="220" t="s">
        <v>283</v>
      </c>
      <c r="M721" s="220" t="s">
        <v>283</v>
      </c>
      <c r="N721" s="220" t="s">
        <v>283</v>
      </c>
      <c r="O721" s="221" t="s">
        <v>17</v>
      </c>
      <c r="P721" s="221" t="s">
        <v>17</v>
      </c>
      <c r="Q721" s="221" t="s">
        <v>15</v>
      </c>
      <c r="R721" s="221" t="s">
        <v>283</v>
      </c>
      <c r="S721" s="221" t="s">
        <v>283</v>
      </c>
      <c r="T721" s="221" t="s">
        <v>283</v>
      </c>
      <c r="U721" s="221" t="s">
        <v>283</v>
      </c>
      <c r="V721" s="221" t="s">
        <v>283</v>
      </c>
      <c r="W721" s="222" t="s">
        <v>283</v>
      </c>
      <c r="X721" s="222" t="s">
        <v>283</v>
      </c>
      <c r="Y721" s="223" t="s">
        <v>283</v>
      </c>
    </row>
    <row r="722" spans="1:25">
      <c r="A722" s="217">
        <v>13</v>
      </c>
      <c r="B722" s="218" t="str">
        <f>VLOOKUP(Tabel10[[#This Row],[Code]],Ruimtegroepen[[Code]:[Ruimte omschrijving]],2,FALSE)</f>
        <v>Personeelskamer</v>
      </c>
      <c r="C722" s="219" t="s">
        <v>883</v>
      </c>
      <c r="D722" s="218" t="s">
        <v>28</v>
      </c>
      <c r="E722" s="219" t="s">
        <v>99</v>
      </c>
      <c r="F722" s="219" t="s">
        <v>885</v>
      </c>
      <c r="G722" s="224" t="s">
        <v>283</v>
      </c>
      <c r="H722" s="220" t="s">
        <v>17</v>
      </c>
      <c r="I722" s="220" t="s">
        <v>283</v>
      </c>
      <c r="J722" s="220" t="s">
        <v>283</v>
      </c>
      <c r="K722" s="220" t="s">
        <v>283</v>
      </c>
      <c r="L722" s="220" t="s">
        <v>283</v>
      </c>
      <c r="M722" s="220" t="s">
        <v>283</v>
      </c>
      <c r="N722" s="220" t="s">
        <v>283</v>
      </c>
      <c r="O722" s="221" t="s">
        <v>17</v>
      </c>
      <c r="P722" s="221" t="s">
        <v>17</v>
      </c>
      <c r="Q722" s="221" t="s">
        <v>15</v>
      </c>
      <c r="R722" s="221" t="s">
        <v>283</v>
      </c>
      <c r="S722" s="221" t="s">
        <v>283</v>
      </c>
      <c r="T722" s="221" t="s">
        <v>283</v>
      </c>
      <c r="U722" s="221" t="s">
        <v>283</v>
      </c>
      <c r="V722" s="221" t="s">
        <v>283</v>
      </c>
      <c r="W722" s="222" t="s">
        <v>283</v>
      </c>
      <c r="X722" s="222" t="s">
        <v>283</v>
      </c>
      <c r="Y722" s="223" t="s">
        <v>283</v>
      </c>
    </row>
    <row r="723" spans="1:25">
      <c r="A723" s="217">
        <v>13</v>
      </c>
      <c r="B723" s="218" t="str">
        <f>VLOOKUP(Tabel10[[#This Row],[Code]],Ruimtegroepen[[Code]:[Ruimte omschrijving]],2,FALSE)</f>
        <v>Personeelskamer</v>
      </c>
      <c r="C723" s="219" t="s">
        <v>883</v>
      </c>
      <c r="D723" s="218" t="s">
        <v>28</v>
      </c>
      <c r="E723" s="219" t="s">
        <v>1313</v>
      </c>
      <c r="F723" s="219" t="s">
        <v>1423</v>
      </c>
      <c r="G723" s="224" t="s">
        <v>283</v>
      </c>
      <c r="H723" s="220" t="s">
        <v>283</v>
      </c>
      <c r="I723" s="220" t="s">
        <v>17</v>
      </c>
      <c r="J723" s="220" t="s">
        <v>283</v>
      </c>
      <c r="K723" s="220" t="s">
        <v>283</v>
      </c>
      <c r="L723" s="220" t="s">
        <v>283</v>
      </c>
      <c r="M723" s="220" t="s">
        <v>283</v>
      </c>
      <c r="N723" s="220" t="s">
        <v>283</v>
      </c>
      <c r="O723" s="221" t="s">
        <v>17</v>
      </c>
      <c r="P723" s="221" t="s">
        <v>17</v>
      </c>
      <c r="Q723" s="221" t="s">
        <v>15</v>
      </c>
      <c r="R723" s="221" t="s">
        <v>283</v>
      </c>
      <c r="S723" s="221" t="s">
        <v>283</v>
      </c>
      <c r="T723" s="221" t="s">
        <v>283</v>
      </c>
      <c r="U723" s="221" t="s">
        <v>283</v>
      </c>
      <c r="V723" s="221" t="s">
        <v>283</v>
      </c>
      <c r="W723" s="222" t="s">
        <v>283</v>
      </c>
      <c r="X723" s="222" t="s">
        <v>283</v>
      </c>
      <c r="Y723" s="223" t="s">
        <v>283</v>
      </c>
    </row>
    <row r="724" spans="1:25">
      <c r="A724" s="217">
        <v>14</v>
      </c>
      <c r="B724" s="218" t="str">
        <f>VLOOKUP(Tabel10[[#This Row],[Code]],Ruimtegroepen[[Code]:[Ruimte omschrijving]],2,FALSE)</f>
        <v>Praktijklokalen</v>
      </c>
      <c r="C724" s="219" t="s">
        <v>888</v>
      </c>
      <c r="D724" s="218" t="s">
        <v>29</v>
      </c>
      <c r="E724" s="219" t="s">
        <v>100</v>
      </c>
      <c r="F724" s="219" t="s">
        <v>889</v>
      </c>
      <c r="G724" s="224" t="s">
        <v>283</v>
      </c>
      <c r="H724" s="220" t="s">
        <v>283</v>
      </c>
      <c r="I724" s="220" t="s">
        <v>20</v>
      </c>
      <c r="J724" s="220" t="s">
        <v>15</v>
      </c>
      <c r="K724" s="220" t="s">
        <v>283</v>
      </c>
      <c r="L724" s="220" t="s">
        <v>283</v>
      </c>
      <c r="M724" s="220" t="s">
        <v>283</v>
      </c>
      <c r="N724" s="220" t="s">
        <v>2</v>
      </c>
      <c r="O724" s="221" t="s">
        <v>2</v>
      </c>
      <c r="P724" s="221" t="s">
        <v>2</v>
      </c>
      <c r="Q724" s="221" t="s">
        <v>15</v>
      </c>
      <c r="R724" s="221" t="s">
        <v>15</v>
      </c>
      <c r="S724" s="221" t="s">
        <v>16</v>
      </c>
      <c r="T724" s="221" t="s">
        <v>330</v>
      </c>
      <c r="U724" s="221" t="s">
        <v>250</v>
      </c>
      <c r="V724" s="221" t="s">
        <v>2</v>
      </c>
      <c r="W724" s="222" t="s">
        <v>283</v>
      </c>
      <c r="X724" s="222" t="s">
        <v>283</v>
      </c>
      <c r="Y724" s="223" t="s">
        <v>283</v>
      </c>
    </row>
    <row r="725" spans="1:25">
      <c r="A725" s="217">
        <v>14</v>
      </c>
      <c r="B725" s="218" t="str">
        <f>VLOOKUP(Tabel10[[#This Row],[Code]],Ruimtegroepen[[Code]:[Ruimte omschrijving]],2,FALSE)</f>
        <v>Praktijklokalen</v>
      </c>
      <c r="C725" s="219" t="s">
        <v>888</v>
      </c>
      <c r="D725" s="218" t="s">
        <v>29</v>
      </c>
      <c r="E725" s="219" t="s">
        <v>99</v>
      </c>
      <c r="F725" s="219" t="s">
        <v>890</v>
      </c>
      <c r="G725" s="220" t="s">
        <v>18</v>
      </c>
      <c r="H725" s="220" t="s">
        <v>17</v>
      </c>
      <c r="I725" s="220" t="s">
        <v>283</v>
      </c>
      <c r="J725" s="220" t="s">
        <v>283</v>
      </c>
      <c r="K725" s="220" t="s">
        <v>283</v>
      </c>
      <c r="L725" s="220" t="s">
        <v>283</v>
      </c>
      <c r="M725" s="220" t="s">
        <v>283</v>
      </c>
      <c r="N725" s="220" t="s">
        <v>2</v>
      </c>
      <c r="O725" s="221" t="s">
        <v>2</v>
      </c>
      <c r="P725" s="221" t="s">
        <v>2</v>
      </c>
      <c r="Q725" s="221" t="s">
        <v>15</v>
      </c>
      <c r="R725" s="221" t="s">
        <v>15</v>
      </c>
      <c r="S725" s="221" t="s">
        <v>16</v>
      </c>
      <c r="T725" s="221" t="s">
        <v>330</v>
      </c>
      <c r="U725" s="221" t="s">
        <v>250</v>
      </c>
      <c r="V725" s="221" t="s">
        <v>2</v>
      </c>
      <c r="W725" s="222" t="s">
        <v>283</v>
      </c>
      <c r="X725" s="222" t="s">
        <v>283</v>
      </c>
      <c r="Y725" s="223" t="s">
        <v>283</v>
      </c>
    </row>
    <row r="726" spans="1:25">
      <c r="A726" s="217">
        <v>14</v>
      </c>
      <c r="B726" s="218" t="str">
        <f>VLOOKUP(Tabel10[[#This Row],[Code]],Ruimtegroepen[[Code]:[Ruimte omschrijving]],2,FALSE)</f>
        <v>Praktijklokalen</v>
      </c>
      <c r="C726" s="219" t="s">
        <v>888</v>
      </c>
      <c r="D726" s="218" t="s">
        <v>29</v>
      </c>
      <c r="E726" s="219" t="s">
        <v>101</v>
      </c>
      <c r="F726" s="219" t="s">
        <v>891</v>
      </c>
      <c r="G726" s="224" t="s">
        <v>283</v>
      </c>
      <c r="H726" s="220" t="s">
        <v>283</v>
      </c>
      <c r="I726" s="220" t="s">
        <v>20</v>
      </c>
      <c r="J726" s="220" t="s">
        <v>15</v>
      </c>
      <c r="K726" s="220" t="s">
        <v>16</v>
      </c>
      <c r="L726" s="220" t="s">
        <v>283</v>
      </c>
      <c r="M726" s="220" t="s">
        <v>283</v>
      </c>
      <c r="N726" s="220" t="s">
        <v>2</v>
      </c>
      <c r="O726" s="221" t="s">
        <v>2</v>
      </c>
      <c r="P726" s="221" t="s">
        <v>2</v>
      </c>
      <c r="Q726" s="221" t="s">
        <v>15</v>
      </c>
      <c r="R726" s="221" t="s">
        <v>15</v>
      </c>
      <c r="S726" s="221" t="s">
        <v>16</v>
      </c>
      <c r="T726" s="221" t="s">
        <v>330</v>
      </c>
      <c r="U726" s="221" t="s">
        <v>250</v>
      </c>
      <c r="V726" s="221" t="s">
        <v>2</v>
      </c>
      <c r="W726" s="222" t="s">
        <v>283</v>
      </c>
      <c r="X726" s="222" t="s">
        <v>283</v>
      </c>
      <c r="Y726" s="223" t="s">
        <v>283</v>
      </c>
    </row>
    <row r="727" spans="1:25">
      <c r="A727" s="217">
        <v>14</v>
      </c>
      <c r="B727" s="218" t="str">
        <f>VLOOKUP(Tabel10[[#This Row],[Code]],Ruimtegroepen[[Code]:[Ruimte omschrijving]],2,FALSE)</f>
        <v>Praktijklokalen</v>
      </c>
      <c r="C727" s="219" t="s">
        <v>888</v>
      </c>
      <c r="D727" s="218" t="s">
        <v>29</v>
      </c>
      <c r="E727" s="219" t="s">
        <v>102</v>
      </c>
      <c r="F727" s="219" t="s">
        <v>892</v>
      </c>
      <c r="G727" s="224" t="s">
        <v>283</v>
      </c>
      <c r="H727" s="220" t="s">
        <v>283</v>
      </c>
      <c r="I727" s="220" t="s">
        <v>20</v>
      </c>
      <c r="J727" s="220" t="s">
        <v>15</v>
      </c>
      <c r="K727" s="220" t="s">
        <v>16</v>
      </c>
      <c r="L727" s="220" t="s">
        <v>283</v>
      </c>
      <c r="M727" s="220" t="s">
        <v>283</v>
      </c>
      <c r="N727" s="220" t="s">
        <v>2</v>
      </c>
      <c r="O727" s="221" t="s">
        <v>2</v>
      </c>
      <c r="P727" s="221" t="s">
        <v>2</v>
      </c>
      <c r="Q727" s="221" t="s">
        <v>15</v>
      </c>
      <c r="R727" s="221" t="s">
        <v>15</v>
      </c>
      <c r="S727" s="221" t="s">
        <v>16</v>
      </c>
      <c r="T727" s="221" t="s">
        <v>330</v>
      </c>
      <c r="U727" s="221" t="s">
        <v>250</v>
      </c>
      <c r="V727" s="221" t="s">
        <v>2</v>
      </c>
      <c r="W727" s="222" t="s">
        <v>283</v>
      </c>
      <c r="X727" s="222" t="s">
        <v>283</v>
      </c>
      <c r="Y727" s="223" t="s">
        <v>283</v>
      </c>
    </row>
    <row r="728" spans="1:25">
      <c r="A728" s="217">
        <v>14</v>
      </c>
      <c r="B728" s="218" t="str">
        <f>VLOOKUP(Tabel10[[#This Row],[Code]],Ruimtegroepen[[Code]:[Ruimte omschrijving]],2,FALSE)</f>
        <v>Praktijklokalen</v>
      </c>
      <c r="C728" s="219" t="s">
        <v>888</v>
      </c>
      <c r="D728" s="218" t="s">
        <v>29</v>
      </c>
      <c r="E728" s="219" t="s">
        <v>99</v>
      </c>
      <c r="F728" s="219" t="s">
        <v>890</v>
      </c>
      <c r="G728" s="220" t="s">
        <v>18</v>
      </c>
      <c r="H728" s="220" t="s">
        <v>17</v>
      </c>
      <c r="I728" s="220" t="s">
        <v>283</v>
      </c>
      <c r="J728" s="220" t="s">
        <v>283</v>
      </c>
      <c r="K728" s="220" t="s">
        <v>283</v>
      </c>
      <c r="L728" s="220" t="s">
        <v>283</v>
      </c>
      <c r="M728" s="220" t="s">
        <v>283</v>
      </c>
      <c r="N728" s="220" t="s">
        <v>283</v>
      </c>
      <c r="O728" s="221" t="s">
        <v>283</v>
      </c>
      <c r="P728" s="221" t="s">
        <v>283</v>
      </c>
      <c r="Q728" s="221" t="s">
        <v>283</v>
      </c>
      <c r="R728" s="221" t="s">
        <v>283</v>
      </c>
      <c r="S728" s="221" t="s">
        <v>283</v>
      </c>
      <c r="T728" s="221" t="s">
        <v>283</v>
      </c>
      <c r="U728" s="221" t="s">
        <v>283</v>
      </c>
      <c r="V728" s="221" t="s">
        <v>283</v>
      </c>
      <c r="W728" s="222" t="s">
        <v>283</v>
      </c>
      <c r="X728" s="222" t="s">
        <v>283</v>
      </c>
      <c r="Y728" s="223" t="s">
        <v>283</v>
      </c>
    </row>
    <row r="729" spans="1:25">
      <c r="A729" s="217">
        <v>14</v>
      </c>
      <c r="B729" s="218" t="str">
        <f>VLOOKUP(Tabel10[[#This Row],[Code]],Ruimtegroepen[[Code]:[Ruimte omschrijving]],2,FALSE)</f>
        <v>Praktijklokalen</v>
      </c>
      <c r="C729" s="219" t="s">
        <v>888</v>
      </c>
      <c r="D729" s="218" t="s">
        <v>29</v>
      </c>
      <c r="E729" s="219" t="s">
        <v>1313</v>
      </c>
      <c r="F729" s="219" t="s">
        <v>1491</v>
      </c>
      <c r="G729" s="224" t="s">
        <v>283</v>
      </c>
      <c r="H729" s="220" t="s">
        <v>283</v>
      </c>
      <c r="I729" s="220" t="s">
        <v>20</v>
      </c>
      <c r="J729" s="220" t="s">
        <v>15</v>
      </c>
      <c r="K729" s="220" t="s">
        <v>16</v>
      </c>
      <c r="L729" s="220" t="s">
        <v>283</v>
      </c>
      <c r="M729" s="220" t="s">
        <v>283</v>
      </c>
      <c r="N729" s="220" t="s">
        <v>2</v>
      </c>
      <c r="O729" s="221" t="s">
        <v>2</v>
      </c>
      <c r="P729" s="221" t="s">
        <v>2</v>
      </c>
      <c r="Q729" s="221" t="s">
        <v>15</v>
      </c>
      <c r="R729" s="221" t="s">
        <v>15</v>
      </c>
      <c r="S729" s="221" t="s">
        <v>16</v>
      </c>
      <c r="T729" s="221" t="s">
        <v>330</v>
      </c>
      <c r="U729" s="221" t="s">
        <v>250</v>
      </c>
      <c r="V729" s="221" t="s">
        <v>2</v>
      </c>
      <c r="W729" s="222" t="s">
        <v>283</v>
      </c>
      <c r="X729" s="222" t="s">
        <v>283</v>
      </c>
      <c r="Y729" s="223" t="s">
        <v>283</v>
      </c>
    </row>
    <row r="730" spans="1:25">
      <c r="A730" s="217">
        <v>14</v>
      </c>
      <c r="B730" s="218" t="str">
        <f>VLOOKUP(Tabel10[[#This Row],[Code]],Ruimtegroepen[[Code]:[Ruimte omschrijving]],2,FALSE)</f>
        <v>Praktijklokalen</v>
      </c>
      <c r="C730" s="219" t="s">
        <v>893</v>
      </c>
      <c r="D730" s="218" t="s">
        <v>1</v>
      </c>
      <c r="E730" s="219" t="s">
        <v>100</v>
      </c>
      <c r="F730" s="219" t="s">
        <v>894</v>
      </c>
      <c r="G730" s="224" t="s">
        <v>283</v>
      </c>
      <c r="H730" s="220" t="s">
        <v>283</v>
      </c>
      <c r="I730" s="220" t="s">
        <v>20</v>
      </c>
      <c r="J730" s="220" t="s">
        <v>15</v>
      </c>
      <c r="K730" s="220" t="s">
        <v>283</v>
      </c>
      <c r="L730" s="220" t="s">
        <v>283</v>
      </c>
      <c r="M730" s="220" t="s">
        <v>283</v>
      </c>
      <c r="N730" s="220" t="s">
        <v>283</v>
      </c>
      <c r="O730" s="221" t="s">
        <v>2</v>
      </c>
      <c r="P730" s="221" t="s">
        <v>2</v>
      </c>
      <c r="Q730" s="221" t="s">
        <v>15</v>
      </c>
      <c r="R730" s="221" t="s">
        <v>15</v>
      </c>
      <c r="S730" s="221" t="s">
        <v>16</v>
      </c>
      <c r="T730" s="221" t="s">
        <v>330</v>
      </c>
      <c r="U730" s="221" t="s">
        <v>250</v>
      </c>
      <c r="V730" s="221" t="s">
        <v>283</v>
      </c>
      <c r="W730" s="222" t="s">
        <v>283</v>
      </c>
      <c r="X730" s="222" t="s">
        <v>283</v>
      </c>
      <c r="Y730" s="223" t="s">
        <v>283</v>
      </c>
    </row>
    <row r="731" spans="1:25">
      <c r="A731" s="217">
        <v>14</v>
      </c>
      <c r="B731" s="218" t="str">
        <f>VLOOKUP(Tabel10[[#This Row],[Code]],Ruimtegroepen[[Code]:[Ruimte omschrijving]],2,FALSE)</f>
        <v>Praktijklokalen</v>
      </c>
      <c r="C731" s="219" t="s">
        <v>893</v>
      </c>
      <c r="D731" s="218" t="s">
        <v>1</v>
      </c>
      <c r="E731" s="219" t="s">
        <v>99</v>
      </c>
      <c r="F731" s="219" t="s">
        <v>895</v>
      </c>
      <c r="G731" s="220" t="s">
        <v>18</v>
      </c>
      <c r="H731" s="220" t="s">
        <v>17</v>
      </c>
      <c r="I731" s="220" t="s">
        <v>283</v>
      </c>
      <c r="J731" s="220" t="s">
        <v>283</v>
      </c>
      <c r="K731" s="220" t="s">
        <v>283</v>
      </c>
      <c r="L731" s="220" t="s">
        <v>283</v>
      </c>
      <c r="M731" s="220" t="s">
        <v>283</v>
      </c>
      <c r="N731" s="220" t="s">
        <v>283</v>
      </c>
      <c r="O731" s="221" t="s">
        <v>2</v>
      </c>
      <c r="P731" s="221" t="s">
        <v>2</v>
      </c>
      <c r="Q731" s="221" t="s">
        <v>15</v>
      </c>
      <c r="R731" s="221" t="s">
        <v>15</v>
      </c>
      <c r="S731" s="221" t="s">
        <v>16</v>
      </c>
      <c r="T731" s="221" t="s">
        <v>330</v>
      </c>
      <c r="U731" s="221" t="s">
        <v>250</v>
      </c>
      <c r="V731" s="221" t="s">
        <v>283</v>
      </c>
      <c r="W731" s="222" t="s">
        <v>283</v>
      </c>
      <c r="X731" s="222" t="s">
        <v>283</v>
      </c>
      <c r="Y731" s="223" t="s">
        <v>283</v>
      </c>
    </row>
    <row r="732" spans="1:25">
      <c r="A732" s="217">
        <v>14</v>
      </c>
      <c r="B732" s="218" t="str">
        <f>VLOOKUP(Tabel10[[#This Row],[Code]],Ruimtegroepen[[Code]:[Ruimte omschrijving]],2,FALSE)</f>
        <v>Praktijklokalen</v>
      </c>
      <c r="C732" s="219" t="s">
        <v>893</v>
      </c>
      <c r="D732" s="218" t="s">
        <v>1</v>
      </c>
      <c r="E732" s="219" t="s">
        <v>101</v>
      </c>
      <c r="F732" s="219" t="s">
        <v>896</v>
      </c>
      <c r="G732" s="224" t="s">
        <v>283</v>
      </c>
      <c r="H732" s="220" t="s">
        <v>283</v>
      </c>
      <c r="I732" s="220" t="s">
        <v>20</v>
      </c>
      <c r="J732" s="220" t="s">
        <v>15</v>
      </c>
      <c r="K732" s="220" t="s">
        <v>16</v>
      </c>
      <c r="L732" s="220" t="s">
        <v>283</v>
      </c>
      <c r="M732" s="220" t="s">
        <v>283</v>
      </c>
      <c r="N732" s="220" t="s">
        <v>283</v>
      </c>
      <c r="O732" s="221" t="s">
        <v>2</v>
      </c>
      <c r="P732" s="221" t="s">
        <v>2</v>
      </c>
      <c r="Q732" s="221" t="s">
        <v>15</v>
      </c>
      <c r="R732" s="221" t="s">
        <v>15</v>
      </c>
      <c r="S732" s="221" t="s">
        <v>16</v>
      </c>
      <c r="T732" s="221" t="s">
        <v>330</v>
      </c>
      <c r="U732" s="221" t="s">
        <v>250</v>
      </c>
      <c r="V732" s="221" t="s">
        <v>283</v>
      </c>
      <c r="W732" s="222" t="s">
        <v>283</v>
      </c>
      <c r="X732" s="222" t="s">
        <v>283</v>
      </c>
      <c r="Y732" s="223" t="s">
        <v>283</v>
      </c>
    </row>
    <row r="733" spans="1:25">
      <c r="A733" s="217">
        <v>14</v>
      </c>
      <c r="B733" s="218" t="str">
        <f>VLOOKUP(Tabel10[[#This Row],[Code]],Ruimtegroepen[[Code]:[Ruimte omschrijving]],2,FALSE)</f>
        <v>Praktijklokalen</v>
      </c>
      <c r="C733" s="219" t="s">
        <v>893</v>
      </c>
      <c r="D733" s="218" t="s">
        <v>1</v>
      </c>
      <c r="E733" s="219" t="s">
        <v>102</v>
      </c>
      <c r="F733" s="219" t="s">
        <v>897</v>
      </c>
      <c r="G733" s="224" t="s">
        <v>283</v>
      </c>
      <c r="H733" s="220" t="s">
        <v>283</v>
      </c>
      <c r="I733" s="220" t="s">
        <v>20</v>
      </c>
      <c r="J733" s="220" t="s">
        <v>15</v>
      </c>
      <c r="K733" s="220" t="s">
        <v>16</v>
      </c>
      <c r="L733" s="220" t="s">
        <v>283</v>
      </c>
      <c r="M733" s="220" t="s">
        <v>283</v>
      </c>
      <c r="N733" s="220" t="s">
        <v>283</v>
      </c>
      <c r="O733" s="221" t="s">
        <v>2</v>
      </c>
      <c r="P733" s="221" t="s">
        <v>2</v>
      </c>
      <c r="Q733" s="221" t="s">
        <v>15</v>
      </c>
      <c r="R733" s="221" t="s">
        <v>15</v>
      </c>
      <c r="S733" s="221" t="s">
        <v>16</v>
      </c>
      <c r="T733" s="221" t="s">
        <v>330</v>
      </c>
      <c r="U733" s="221" t="s">
        <v>250</v>
      </c>
      <c r="V733" s="221" t="s">
        <v>283</v>
      </c>
      <c r="W733" s="222" t="s">
        <v>283</v>
      </c>
      <c r="X733" s="222" t="s">
        <v>283</v>
      </c>
      <c r="Y733" s="223" t="s">
        <v>283</v>
      </c>
    </row>
    <row r="734" spans="1:25">
      <c r="A734" s="217">
        <v>14</v>
      </c>
      <c r="B734" s="218" t="str">
        <f>VLOOKUP(Tabel10[[#This Row],[Code]],Ruimtegroepen[[Code]:[Ruimte omschrijving]],2,FALSE)</f>
        <v>Praktijklokalen</v>
      </c>
      <c r="C734" s="219" t="s">
        <v>893</v>
      </c>
      <c r="D734" s="218" t="s">
        <v>1</v>
      </c>
      <c r="E734" s="219" t="s">
        <v>99</v>
      </c>
      <c r="F734" s="219" t="s">
        <v>895</v>
      </c>
      <c r="G734" s="220" t="s">
        <v>18</v>
      </c>
      <c r="H734" s="220" t="s">
        <v>17</v>
      </c>
      <c r="I734" s="220" t="s">
        <v>283</v>
      </c>
      <c r="J734" s="220" t="s">
        <v>283</v>
      </c>
      <c r="K734" s="220" t="s">
        <v>283</v>
      </c>
      <c r="L734" s="220" t="s">
        <v>283</v>
      </c>
      <c r="M734" s="220" t="s">
        <v>283</v>
      </c>
      <c r="N734" s="220" t="s">
        <v>283</v>
      </c>
      <c r="O734" s="221" t="s">
        <v>2</v>
      </c>
      <c r="P734" s="221" t="s">
        <v>2</v>
      </c>
      <c r="Q734" s="221" t="s">
        <v>15</v>
      </c>
      <c r="R734" s="221" t="s">
        <v>15</v>
      </c>
      <c r="S734" s="221" t="s">
        <v>16</v>
      </c>
      <c r="T734" s="221" t="s">
        <v>330</v>
      </c>
      <c r="U734" s="221" t="s">
        <v>250</v>
      </c>
      <c r="V734" s="221" t="s">
        <v>283</v>
      </c>
      <c r="W734" s="222" t="s">
        <v>283</v>
      </c>
      <c r="X734" s="222" t="s">
        <v>283</v>
      </c>
      <c r="Y734" s="223" t="s">
        <v>283</v>
      </c>
    </row>
    <row r="735" spans="1:25">
      <c r="A735" s="217">
        <v>14</v>
      </c>
      <c r="B735" s="218" t="str">
        <f>VLOOKUP(Tabel10[[#This Row],[Code]],Ruimtegroepen[[Code]:[Ruimte omschrijving]],2,FALSE)</f>
        <v>Praktijklokalen</v>
      </c>
      <c r="C735" s="219" t="s">
        <v>893</v>
      </c>
      <c r="D735" s="218" t="s">
        <v>1</v>
      </c>
      <c r="E735" s="219" t="s">
        <v>1313</v>
      </c>
      <c r="F735" s="219" t="s">
        <v>1475</v>
      </c>
      <c r="G735" s="224" t="s">
        <v>283</v>
      </c>
      <c r="H735" s="220" t="s">
        <v>283</v>
      </c>
      <c r="I735" s="220" t="s">
        <v>20</v>
      </c>
      <c r="J735" s="220" t="s">
        <v>15</v>
      </c>
      <c r="K735" s="220" t="s">
        <v>16</v>
      </c>
      <c r="L735" s="220" t="s">
        <v>283</v>
      </c>
      <c r="M735" s="220" t="s">
        <v>283</v>
      </c>
      <c r="N735" s="220" t="s">
        <v>283</v>
      </c>
      <c r="O735" s="221" t="s">
        <v>2</v>
      </c>
      <c r="P735" s="221" t="s">
        <v>2</v>
      </c>
      <c r="Q735" s="221" t="s">
        <v>15</v>
      </c>
      <c r="R735" s="221" t="s">
        <v>15</v>
      </c>
      <c r="S735" s="221" t="s">
        <v>16</v>
      </c>
      <c r="T735" s="221" t="s">
        <v>330</v>
      </c>
      <c r="U735" s="221" t="s">
        <v>250</v>
      </c>
      <c r="V735" s="221" t="s">
        <v>283</v>
      </c>
      <c r="W735" s="222" t="s">
        <v>283</v>
      </c>
      <c r="X735" s="222" t="s">
        <v>283</v>
      </c>
      <c r="Y735" s="223" t="s">
        <v>283</v>
      </c>
    </row>
    <row r="736" spans="1:25">
      <c r="A736" s="217">
        <v>14</v>
      </c>
      <c r="B736" s="218" t="str">
        <f>VLOOKUP(Tabel10[[#This Row],[Code]],Ruimtegroepen[[Code]:[Ruimte omschrijving]],2,FALSE)</f>
        <v>Praktijklokalen</v>
      </c>
      <c r="C736" s="219" t="s">
        <v>898</v>
      </c>
      <c r="D736" s="218" t="s">
        <v>21</v>
      </c>
      <c r="E736" s="219" t="s">
        <v>100</v>
      </c>
      <c r="F736" s="219" t="s">
        <v>899</v>
      </c>
      <c r="G736" s="224" t="s">
        <v>283</v>
      </c>
      <c r="H736" s="220" t="s">
        <v>283</v>
      </c>
      <c r="I736" s="220" t="s">
        <v>18</v>
      </c>
      <c r="J736" s="220" t="s">
        <v>15</v>
      </c>
      <c r="K736" s="220" t="s">
        <v>283</v>
      </c>
      <c r="L736" s="220" t="s">
        <v>283</v>
      </c>
      <c r="M736" s="220" t="s">
        <v>283</v>
      </c>
      <c r="N736" s="220" t="s">
        <v>283</v>
      </c>
      <c r="O736" s="221" t="s">
        <v>20</v>
      </c>
      <c r="P736" s="221" t="s">
        <v>20</v>
      </c>
      <c r="Q736" s="221" t="s">
        <v>15</v>
      </c>
      <c r="R736" s="221" t="s">
        <v>15</v>
      </c>
      <c r="S736" s="221" t="s">
        <v>16</v>
      </c>
      <c r="T736" s="221" t="s">
        <v>330</v>
      </c>
      <c r="U736" s="221" t="s">
        <v>250</v>
      </c>
      <c r="V736" s="221" t="s">
        <v>283</v>
      </c>
      <c r="W736" s="222" t="s">
        <v>283</v>
      </c>
      <c r="X736" s="222" t="s">
        <v>283</v>
      </c>
      <c r="Y736" s="223" t="s">
        <v>283</v>
      </c>
    </row>
    <row r="737" spans="1:25">
      <c r="A737" s="217">
        <v>14</v>
      </c>
      <c r="B737" s="218" t="str">
        <f>VLOOKUP(Tabel10[[#This Row],[Code]],Ruimtegroepen[[Code]:[Ruimte omschrijving]],2,FALSE)</f>
        <v>Praktijklokalen</v>
      </c>
      <c r="C737" s="219" t="s">
        <v>898</v>
      </c>
      <c r="D737" s="218" t="s">
        <v>21</v>
      </c>
      <c r="E737" s="219" t="s">
        <v>99</v>
      </c>
      <c r="F737" s="219" t="s">
        <v>900</v>
      </c>
      <c r="G737" s="220" t="s">
        <v>17</v>
      </c>
      <c r="H737" s="220" t="s">
        <v>17</v>
      </c>
      <c r="I737" s="220" t="s">
        <v>283</v>
      </c>
      <c r="J737" s="220" t="s">
        <v>283</v>
      </c>
      <c r="K737" s="220" t="s">
        <v>283</v>
      </c>
      <c r="L737" s="220" t="s">
        <v>283</v>
      </c>
      <c r="M737" s="220" t="s">
        <v>283</v>
      </c>
      <c r="N737" s="220" t="s">
        <v>283</v>
      </c>
      <c r="O737" s="221" t="s">
        <v>20</v>
      </c>
      <c r="P737" s="221" t="s">
        <v>20</v>
      </c>
      <c r="Q737" s="221" t="s">
        <v>15</v>
      </c>
      <c r="R737" s="221" t="s">
        <v>15</v>
      </c>
      <c r="S737" s="221" t="s">
        <v>16</v>
      </c>
      <c r="T737" s="221" t="s">
        <v>330</v>
      </c>
      <c r="U737" s="221" t="s">
        <v>250</v>
      </c>
      <c r="V737" s="221" t="s">
        <v>283</v>
      </c>
      <c r="W737" s="222" t="s">
        <v>283</v>
      </c>
      <c r="X737" s="222" t="s">
        <v>283</v>
      </c>
      <c r="Y737" s="223" t="s">
        <v>283</v>
      </c>
    </row>
    <row r="738" spans="1:25">
      <c r="A738" s="217">
        <v>14</v>
      </c>
      <c r="B738" s="218" t="str">
        <f>VLOOKUP(Tabel10[[#This Row],[Code]],Ruimtegroepen[[Code]:[Ruimte omschrijving]],2,FALSE)</f>
        <v>Praktijklokalen</v>
      </c>
      <c r="C738" s="219" t="s">
        <v>898</v>
      </c>
      <c r="D738" s="218" t="s">
        <v>21</v>
      </c>
      <c r="E738" s="219" t="s">
        <v>101</v>
      </c>
      <c r="F738" s="219" t="s">
        <v>901</v>
      </c>
      <c r="G738" s="224" t="s">
        <v>283</v>
      </c>
      <c r="H738" s="220" t="s">
        <v>283</v>
      </c>
      <c r="I738" s="220" t="s">
        <v>18</v>
      </c>
      <c r="J738" s="220" t="s">
        <v>15</v>
      </c>
      <c r="K738" s="220" t="s">
        <v>16</v>
      </c>
      <c r="L738" s="220" t="s">
        <v>283</v>
      </c>
      <c r="M738" s="220" t="s">
        <v>283</v>
      </c>
      <c r="N738" s="220" t="s">
        <v>283</v>
      </c>
      <c r="O738" s="221" t="s">
        <v>20</v>
      </c>
      <c r="P738" s="221" t="s">
        <v>20</v>
      </c>
      <c r="Q738" s="221" t="s">
        <v>15</v>
      </c>
      <c r="R738" s="221" t="s">
        <v>15</v>
      </c>
      <c r="S738" s="221" t="s">
        <v>16</v>
      </c>
      <c r="T738" s="221" t="s">
        <v>330</v>
      </c>
      <c r="U738" s="221" t="s">
        <v>250</v>
      </c>
      <c r="V738" s="221" t="s">
        <v>283</v>
      </c>
      <c r="W738" s="222" t="s">
        <v>283</v>
      </c>
      <c r="X738" s="222" t="s">
        <v>283</v>
      </c>
      <c r="Y738" s="223" t="s">
        <v>283</v>
      </c>
    </row>
    <row r="739" spans="1:25">
      <c r="A739" s="217">
        <v>14</v>
      </c>
      <c r="B739" s="218" t="str">
        <f>VLOOKUP(Tabel10[[#This Row],[Code]],Ruimtegroepen[[Code]:[Ruimte omschrijving]],2,FALSE)</f>
        <v>Praktijklokalen</v>
      </c>
      <c r="C739" s="219" t="s">
        <v>898</v>
      </c>
      <c r="D739" s="218" t="s">
        <v>21</v>
      </c>
      <c r="E739" s="219" t="s">
        <v>102</v>
      </c>
      <c r="F739" s="219" t="s">
        <v>902</v>
      </c>
      <c r="G739" s="224" t="s">
        <v>283</v>
      </c>
      <c r="H739" s="220" t="s">
        <v>283</v>
      </c>
      <c r="I739" s="220" t="s">
        <v>18</v>
      </c>
      <c r="J739" s="220" t="s">
        <v>15</v>
      </c>
      <c r="K739" s="220" t="s">
        <v>16</v>
      </c>
      <c r="L739" s="220" t="s">
        <v>283</v>
      </c>
      <c r="M739" s="220" t="s">
        <v>283</v>
      </c>
      <c r="N739" s="220" t="s">
        <v>283</v>
      </c>
      <c r="O739" s="221" t="s">
        <v>20</v>
      </c>
      <c r="P739" s="221" t="s">
        <v>20</v>
      </c>
      <c r="Q739" s="221" t="s">
        <v>15</v>
      </c>
      <c r="R739" s="221" t="s">
        <v>15</v>
      </c>
      <c r="S739" s="221" t="s">
        <v>16</v>
      </c>
      <c r="T739" s="221" t="s">
        <v>330</v>
      </c>
      <c r="U739" s="221" t="s">
        <v>250</v>
      </c>
      <c r="V739" s="221" t="s">
        <v>283</v>
      </c>
      <c r="W739" s="222" t="s">
        <v>283</v>
      </c>
      <c r="X739" s="222" t="s">
        <v>283</v>
      </c>
      <c r="Y739" s="223" t="s">
        <v>283</v>
      </c>
    </row>
    <row r="740" spans="1:25">
      <c r="A740" s="217">
        <v>14</v>
      </c>
      <c r="B740" s="218" t="str">
        <f>VLOOKUP(Tabel10[[#This Row],[Code]],Ruimtegroepen[[Code]:[Ruimte omschrijving]],2,FALSE)</f>
        <v>Praktijklokalen</v>
      </c>
      <c r="C740" s="219" t="s">
        <v>898</v>
      </c>
      <c r="D740" s="218" t="s">
        <v>21</v>
      </c>
      <c r="E740" s="219" t="s">
        <v>99</v>
      </c>
      <c r="F740" s="219" t="s">
        <v>900</v>
      </c>
      <c r="G740" s="220" t="s">
        <v>17</v>
      </c>
      <c r="H740" s="220" t="s">
        <v>17</v>
      </c>
      <c r="I740" s="220" t="s">
        <v>283</v>
      </c>
      <c r="J740" s="220" t="s">
        <v>283</v>
      </c>
      <c r="K740" s="220" t="s">
        <v>283</v>
      </c>
      <c r="L740" s="220" t="s">
        <v>283</v>
      </c>
      <c r="M740" s="220" t="s">
        <v>283</v>
      </c>
      <c r="N740" s="220" t="s">
        <v>283</v>
      </c>
      <c r="O740" s="221" t="s">
        <v>283</v>
      </c>
      <c r="P740" s="221" t="s">
        <v>283</v>
      </c>
      <c r="Q740" s="221" t="s">
        <v>283</v>
      </c>
      <c r="R740" s="221" t="s">
        <v>283</v>
      </c>
      <c r="S740" s="221" t="s">
        <v>283</v>
      </c>
      <c r="T740" s="221" t="s">
        <v>283</v>
      </c>
      <c r="U740" s="221" t="s">
        <v>283</v>
      </c>
      <c r="V740" s="221" t="s">
        <v>283</v>
      </c>
      <c r="W740" s="222" t="s">
        <v>283</v>
      </c>
      <c r="X740" s="222" t="s">
        <v>283</v>
      </c>
      <c r="Y740" s="223" t="s">
        <v>283</v>
      </c>
    </row>
    <row r="741" spans="1:25">
      <c r="A741" s="217">
        <v>14</v>
      </c>
      <c r="B741" s="218" t="str">
        <f>VLOOKUP(Tabel10[[#This Row],[Code]],Ruimtegroepen[[Code]:[Ruimte omschrijving]],2,FALSE)</f>
        <v>Praktijklokalen</v>
      </c>
      <c r="C741" s="219" t="s">
        <v>898</v>
      </c>
      <c r="D741" s="218" t="s">
        <v>21</v>
      </c>
      <c r="E741" s="219" t="s">
        <v>1313</v>
      </c>
      <c r="F741" s="219" t="s">
        <v>1458</v>
      </c>
      <c r="G741" s="224" t="s">
        <v>283</v>
      </c>
      <c r="H741" s="220" t="s">
        <v>283</v>
      </c>
      <c r="I741" s="220" t="s">
        <v>18</v>
      </c>
      <c r="J741" s="220" t="s">
        <v>15</v>
      </c>
      <c r="K741" s="220" t="s">
        <v>16</v>
      </c>
      <c r="L741" s="220" t="s">
        <v>283</v>
      </c>
      <c r="M741" s="220" t="s">
        <v>283</v>
      </c>
      <c r="N741" s="220" t="s">
        <v>283</v>
      </c>
      <c r="O741" s="221" t="s">
        <v>20</v>
      </c>
      <c r="P741" s="221" t="s">
        <v>20</v>
      </c>
      <c r="Q741" s="221" t="s">
        <v>15</v>
      </c>
      <c r="R741" s="221" t="s">
        <v>15</v>
      </c>
      <c r="S741" s="221" t="s">
        <v>16</v>
      </c>
      <c r="T741" s="221" t="s">
        <v>330</v>
      </c>
      <c r="U741" s="221" t="s">
        <v>250</v>
      </c>
      <c r="V741" s="221" t="s">
        <v>283</v>
      </c>
      <c r="W741" s="222" t="s">
        <v>283</v>
      </c>
      <c r="X741" s="222" t="s">
        <v>283</v>
      </c>
      <c r="Y741" s="223" t="s">
        <v>283</v>
      </c>
    </row>
    <row r="742" spans="1:25">
      <c r="A742" s="217">
        <v>14</v>
      </c>
      <c r="B742" s="218" t="str">
        <f>VLOOKUP(Tabel10[[#This Row],[Code]],Ruimtegroepen[[Code]:[Ruimte omschrijving]],2,FALSE)</f>
        <v>Praktijklokalen</v>
      </c>
      <c r="C742" s="219" t="s">
        <v>903</v>
      </c>
      <c r="D742" s="218" t="s">
        <v>12</v>
      </c>
      <c r="E742" s="219" t="s">
        <v>100</v>
      </c>
      <c r="F742" s="219" t="s">
        <v>904</v>
      </c>
      <c r="G742" s="224" t="s">
        <v>283</v>
      </c>
      <c r="H742" s="220" t="s">
        <v>283</v>
      </c>
      <c r="I742" s="220" t="s">
        <v>17</v>
      </c>
      <c r="J742" s="220" t="s">
        <v>15</v>
      </c>
      <c r="K742" s="220" t="s">
        <v>283</v>
      </c>
      <c r="L742" s="220" t="s">
        <v>283</v>
      </c>
      <c r="M742" s="220" t="s">
        <v>283</v>
      </c>
      <c r="N742" s="220" t="s">
        <v>283</v>
      </c>
      <c r="O742" s="221" t="s">
        <v>18</v>
      </c>
      <c r="P742" s="221" t="s">
        <v>18</v>
      </c>
      <c r="Q742" s="221" t="s">
        <v>15</v>
      </c>
      <c r="R742" s="221" t="s">
        <v>15</v>
      </c>
      <c r="S742" s="221" t="s">
        <v>16</v>
      </c>
      <c r="T742" s="221" t="s">
        <v>330</v>
      </c>
      <c r="U742" s="221" t="s">
        <v>250</v>
      </c>
      <c r="V742" s="221" t="s">
        <v>283</v>
      </c>
      <c r="W742" s="222" t="s">
        <v>283</v>
      </c>
      <c r="X742" s="222" t="s">
        <v>283</v>
      </c>
      <c r="Y742" s="223" t="s">
        <v>283</v>
      </c>
    </row>
    <row r="743" spans="1:25">
      <c r="A743" s="217">
        <v>14</v>
      </c>
      <c r="B743" s="218" t="str">
        <f>VLOOKUP(Tabel10[[#This Row],[Code]],Ruimtegroepen[[Code]:[Ruimte omschrijving]],2,FALSE)</f>
        <v>Praktijklokalen</v>
      </c>
      <c r="C743" s="219" t="s">
        <v>903</v>
      </c>
      <c r="D743" s="218" t="s">
        <v>12</v>
      </c>
      <c r="E743" s="219" t="s">
        <v>99</v>
      </c>
      <c r="F743" s="219" t="s">
        <v>905</v>
      </c>
      <c r="G743" s="220" t="s">
        <v>17</v>
      </c>
      <c r="H743" s="220" t="s">
        <v>15</v>
      </c>
      <c r="I743" s="220" t="s">
        <v>283</v>
      </c>
      <c r="J743" s="220" t="s">
        <v>283</v>
      </c>
      <c r="K743" s="220" t="s">
        <v>283</v>
      </c>
      <c r="L743" s="220" t="s">
        <v>283</v>
      </c>
      <c r="M743" s="220" t="s">
        <v>283</v>
      </c>
      <c r="N743" s="220" t="s">
        <v>283</v>
      </c>
      <c r="O743" s="221" t="s">
        <v>18</v>
      </c>
      <c r="P743" s="221" t="s">
        <v>18</v>
      </c>
      <c r="Q743" s="221" t="s">
        <v>15</v>
      </c>
      <c r="R743" s="221" t="s">
        <v>15</v>
      </c>
      <c r="S743" s="221" t="s">
        <v>16</v>
      </c>
      <c r="T743" s="221" t="s">
        <v>330</v>
      </c>
      <c r="U743" s="221" t="s">
        <v>250</v>
      </c>
      <c r="V743" s="221" t="s">
        <v>283</v>
      </c>
      <c r="W743" s="222" t="s">
        <v>283</v>
      </c>
      <c r="X743" s="222" t="s">
        <v>283</v>
      </c>
      <c r="Y743" s="223" t="s">
        <v>283</v>
      </c>
    </row>
    <row r="744" spans="1:25">
      <c r="A744" s="217">
        <v>14</v>
      </c>
      <c r="B744" s="218" t="str">
        <f>VLOOKUP(Tabel10[[#This Row],[Code]],Ruimtegroepen[[Code]:[Ruimte omschrijving]],2,FALSE)</f>
        <v>Praktijklokalen</v>
      </c>
      <c r="C744" s="219" t="s">
        <v>903</v>
      </c>
      <c r="D744" s="218" t="s">
        <v>12</v>
      </c>
      <c r="E744" s="219" t="s">
        <v>101</v>
      </c>
      <c r="F744" s="219" t="s">
        <v>906</v>
      </c>
      <c r="G744" s="224" t="s">
        <v>283</v>
      </c>
      <c r="H744" s="220" t="s">
        <v>283</v>
      </c>
      <c r="I744" s="220" t="s">
        <v>17</v>
      </c>
      <c r="J744" s="220" t="s">
        <v>15</v>
      </c>
      <c r="K744" s="220" t="s">
        <v>16</v>
      </c>
      <c r="L744" s="220" t="s">
        <v>283</v>
      </c>
      <c r="M744" s="220" t="s">
        <v>283</v>
      </c>
      <c r="N744" s="220" t="s">
        <v>283</v>
      </c>
      <c r="O744" s="221" t="s">
        <v>18</v>
      </c>
      <c r="P744" s="221" t="s">
        <v>18</v>
      </c>
      <c r="Q744" s="221" t="s">
        <v>15</v>
      </c>
      <c r="R744" s="221" t="s">
        <v>15</v>
      </c>
      <c r="S744" s="221" t="s">
        <v>16</v>
      </c>
      <c r="T744" s="221" t="s">
        <v>330</v>
      </c>
      <c r="U744" s="221" t="s">
        <v>250</v>
      </c>
      <c r="V744" s="221" t="s">
        <v>283</v>
      </c>
      <c r="W744" s="222" t="s">
        <v>283</v>
      </c>
      <c r="X744" s="222" t="s">
        <v>283</v>
      </c>
      <c r="Y744" s="223" t="s">
        <v>283</v>
      </c>
    </row>
    <row r="745" spans="1:25">
      <c r="A745" s="217">
        <v>14</v>
      </c>
      <c r="B745" s="218" t="str">
        <f>VLOOKUP(Tabel10[[#This Row],[Code]],Ruimtegroepen[[Code]:[Ruimte omschrijving]],2,FALSE)</f>
        <v>Praktijklokalen</v>
      </c>
      <c r="C745" s="219" t="s">
        <v>903</v>
      </c>
      <c r="D745" s="218" t="s">
        <v>12</v>
      </c>
      <c r="E745" s="219" t="s">
        <v>102</v>
      </c>
      <c r="F745" s="219" t="s">
        <v>907</v>
      </c>
      <c r="G745" s="224" t="s">
        <v>283</v>
      </c>
      <c r="H745" s="220" t="s">
        <v>283</v>
      </c>
      <c r="I745" s="220" t="s">
        <v>17</v>
      </c>
      <c r="J745" s="220" t="s">
        <v>15</v>
      </c>
      <c r="K745" s="220" t="s">
        <v>16</v>
      </c>
      <c r="L745" s="220" t="s">
        <v>283</v>
      </c>
      <c r="M745" s="220" t="s">
        <v>283</v>
      </c>
      <c r="N745" s="220" t="s">
        <v>283</v>
      </c>
      <c r="O745" s="221" t="s">
        <v>18</v>
      </c>
      <c r="P745" s="221" t="s">
        <v>18</v>
      </c>
      <c r="Q745" s="221" t="s">
        <v>15</v>
      </c>
      <c r="R745" s="221" t="s">
        <v>15</v>
      </c>
      <c r="S745" s="221" t="s">
        <v>16</v>
      </c>
      <c r="T745" s="221" t="s">
        <v>330</v>
      </c>
      <c r="U745" s="221" t="s">
        <v>250</v>
      </c>
      <c r="V745" s="221" t="s">
        <v>283</v>
      </c>
      <c r="W745" s="222" t="s">
        <v>283</v>
      </c>
      <c r="X745" s="222" t="s">
        <v>283</v>
      </c>
      <c r="Y745" s="223" t="s">
        <v>283</v>
      </c>
    </row>
    <row r="746" spans="1:25">
      <c r="A746" s="217">
        <v>14</v>
      </c>
      <c r="B746" s="218" t="str">
        <f>VLOOKUP(Tabel10[[#This Row],[Code]],Ruimtegroepen[[Code]:[Ruimte omschrijving]],2,FALSE)</f>
        <v>Praktijklokalen</v>
      </c>
      <c r="C746" s="219" t="s">
        <v>903</v>
      </c>
      <c r="D746" s="218" t="s">
        <v>12</v>
      </c>
      <c r="E746" s="219" t="s">
        <v>99</v>
      </c>
      <c r="F746" s="219" t="s">
        <v>905</v>
      </c>
      <c r="G746" s="220" t="s">
        <v>17</v>
      </c>
      <c r="H746" s="220" t="s">
        <v>15</v>
      </c>
      <c r="I746" s="220" t="s">
        <v>283</v>
      </c>
      <c r="J746" s="220" t="s">
        <v>283</v>
      </c>
      <c r="K746" s="220" t="s">
        <v>283</v>
      </c>
      <c r="L746" s="220" t="s">
        <v>283</v>
      </c>
      <c r="M746" s="220" t="s">
        <v>283</v>
      </c>
      <c r="N746" s="220" t="s">
        <v>283</v>
      </c>
      <c r="O746" s="221" t="s">
        <v>283</v>
      </c>
      <c r="P746" s="221" t="s">
        <v>283</v>
      </c>
      <c r="Q746" s="221" t="s">
        <v>283</v>
      </c>
      <c r="R746" s="221" t="s">
        <v>283</v>
      </c>
      <c r="S746" s="221" t="s">
        <v>283</v>
      </c>
      <c r="T746" s="221" t="s">
        <v>283</v>
      </c>
      <c r="U746" s="221" t="s">
        <v>283</v>
      </c>
      <c r="V746" s="221" t="s">
        <v>283</v>
      </c>
      <c r="W746" s="222" t="s">
        <v>283</v>
      </c>
      <c r="X746" s="222" t="s">
        <v>283</v>
      </c>
      <c r="Y746" s="223" t="s">
        <v>283</v>
      </c>
    </row>
    <row r="747" spans="1:25">
      <c r="A747" s="217">
        <v>14</v>
      </c>
      <c r="B747" s="218" t="str">
        <f>VLOOKUP(Tabel10[[#This Row],[Code]],Ruimtegroepen[[Code]:[Ruimte omschrijving]],2,FALSE)</f>
        <v>Praktijklokalen</v>
      </c>
      <c r="C747" s="219" t="s">
        <v>903</v>
      </c>
      <c r="D747" s="218" t="s">
        <v>12</v>
      </c>
      <c r="E747" s="219" t="s">
        <v>1313</v>
      </c>
      <c r="F747" s="219" t="s">
        <v>1440</v>
      </c>
      <c r="G747" s="224" t="s">
        <v>283</v>
      </c>
      <c r="H747" s="220" t="s">
        <v>283</v>
      </c>
      <c r="I747" s="220" t="s">
        <v>17</v>
      </c>
      <c r="J747" s="220" t="s">
        <v>15</v>
      </c>
      <c r="K747" s="220" t="s">
        <v>16</v>
      </c>
      <c r="L747" s="220" t="s">
        <v>283</v>
      </c>
      <c r="M747" s="220" t="s">
        <v>283</v>
      </c>
      <c r="N747" s="220" t="s">
        <v>283</v>
      </c>
      <c r="O747" s="221" t="s">
        <v>18</v>
      </c>
      <c r="P747" s="221" t="s">
        <v>18</v>
      </c>
      <c r="Q747" s="221" t="s">
        <v>15</v>
      </c>
      <c r="R747" s="221" t="s">
        <v>15</v>
      </c>
      <c r="S747" s="221" t="s">
        <v>16</v>
      </c>
      <c r="T747" s="221" t="s">
        <v>330</v>
      </c>
      <c r="U747" s="221" t="s">
        <v>250</v>
      </c>
      <c r="V747" s="221" t="s">
        <v>283</v>
      </c>
      <c r="W747" s="222" t="s">
        <v>283</v>
      </c>
      <c r="X747" s="222" t="s">
        <v>283</v>
      </c>
      <c r="Y747" s="223" t="s">
        <v>283</v>
      </c>
    </row>
    <row r="748" spans="1:25">
      <c r="A748" s="217">
        <v>14</v>
      </c>
      <c r="B748" s="218" t="str">
        <f>VLOOKUP(Tabel10[[#This Row],[Code]],Ruimtegroepen[[Code]:[Ruimte omschrijving]],2,FALSE)</f>
        <v>Praktijklokalen</v>
      </c>
      <c r="C748" s="219" t="s">
        <v>908</v>
      </c>
      <c r="D748" s="218" t="s">
        <v>14</v>
      </c>
      <c r="E748" s="219" t="s">
        <v>100</v>
      </c>
      <c r="F748" s="219" t="s">
        <v>909</v>
      </c>
      <c r="G748" s="224" t="s">
        <v>283</v>
      </c>
      <c r="H748" s="220" t="s">
        <v>283</v>
      </c>
      <c r="I748" s="220" t="s">
        <v>283</v>
      </c>
      <c r="J748" s="220" t="s">
        <v>17</v>
      </c>
      <c r="K748" s="220" t="s">
        <v>283</v>
      </c>
      <c r="L748" s="220" t="s">
        <v>283</v>
      </c>
      <c r="M748" s="220" t="s">
        <v>283</v>
      </c>
      <c r="N748" s="220" t="s">
        <v>283</v>
      </c>
      <c r="O748" s="221" t="s">
        <v>17</v>
      </c>
      <c r="P748" s="221" t="s">
        <v>17</v>
      </c>
      <c r="Q748" s="221" t="s">
        <v>15</v>
      </c>
      <c r="R748" s="221" t="s">
        <v>15</v>
      </c>
      <c r="S748" s="221" t="s">
        <v>16</v>
      </c>
      <c r="T748" s="221" t="s">
        <v>330</v>
      </c>
      <c r="U748" s="221" t="s">
        <v>250</v>
      </c>
      <c r="V748" s="221" t="s">
        <v>283</v>
      </c>
      <c r="W748" s="222" t="s">
        <v>283</v>
      </c>
      <c r="X748" s="222" t="s">
        <v>283</v>
      </c>
      <c r="Y748" s="223" t="s">
        <v>283</v>
      </c>
    </row>
    <row r="749" spans="1:25">
      <c r="A749" s="217">
        <v>14</v>
      </c>
      <c r="B749" s="218" t="str">
        <f>VLOOKUP(Tabel10[[#This Row],[Code]],Ruimtegroepen[[Code]:[Ruimte omschrijving]],2,FALSE)</f>
        <v>Praktijklokalen</v>
      </c>
      <c r="C749" s="219" t="s">
        <v>908</v>
      </c>
      <c r="D749" s="218" t="s">
        <v>14</v>
      </c>
      <c r="E749" s="219" t="s">
        <v>99</v>
      </c>
      <c r="F749" s="219" t="s">
        <v>910</v>
      </c>
      <c r="G749" s="220" t="s">
        <v>15</v>
      </c>
      <c r="H749" s="220" t="s">
        <v>15</v>
      </c>
      <c r="I749" s="220" t="s">
        <v>283</v>
      </c>
      <c r="J749" s="220" t="s">
        <v>283</v>
      </c>
      <c r="K749" s="220" t="s">
        <v>283</v>
      </c>
      <c r="L749" s="220" t="s">
        <v>283</v>
      </c>
      <c r="M749" s="220" t="s">
        <v>283</v>
      </c>
      <c r="N749" s="220" t="s">
        <v>283</v>
      </c>
      <c r="O749" s="221" t="s">
        <v>17</v>
      </c>
      <c r="P749" s="221" t="s">
        <v>17</v>
      </c>
      <c r="Q749" s="221" t="s">
        <v>15</v>
      </c>
      <c r="R749" s="221" t="s">
        <v>15</v>
      </c>
      <c r="S749" s="221" t="s">
        <v>16</v>
      </c>
      <c r="T749" s="221" t="s">
        <v>330</v>
      </c>
      <c r="U749" s="221" t="s">
        <v>250</v>
      </c>
      <c r="V749" s="221" t="s">
        <v>283</v>
      </c>
      <c r="W749" s="222" t="s">
        <v>283</v>
      </c>
      <c r="X749" s="222" t="s">
        <v>283</v>
      </c>
      <c r="Y749" s="223" t="s">
        <v>283</v>
      </c>
    </row>
    <row r="750" spans="1:25">
      <c r="A750" s="217">
        <v>14</v>
      </c>
      <c r="B750" s="218" t="str">
        <f>VLOOKUP(Tabel10[[#This Row],[Code]],Ruimtegroepen[[Code]:[Ruimte omschrijving]],2,FALSE)</f>
        <v>Praktijklokalen</v>
      </c>
      <c r="C750" s="219" t="s">
        <v>908</v>
      </c>
      <c r="D750" s="218" t="s">
        <v>14</v>
      </c>
      <c r="E750" s="219" t="s">
        <v>101</v>
      </c>
      <c r="F750" s="219" t="s">
        <v>911</v>
      </c>
      <c r="G750" s="224" t="s">
        <v>283</v>
      </c>
      <c r="H750" s="220" t="s">
        <v>283</v>
      </c>
      <c r="I750" s="220" t="s">
        <v>283</v>
      </c>
      <c r="J750" s="220" t="s">
        <v>17</v>
      </c>
      <c r="K750" s="220" t="s">
        <v>16</v>
      </c>
      <c r="L750" s="220" t="s">
        <v>283</v>
      </c>
      <c r="M750" s="220" t="s">
        <v>283</v>
      </c>
      <c r="N750" s="220" t="s">
        <v>283</v>
      </c>
      <c r="O750" s="221" t="s">
        <v>17</v>
      </c>
      <c r="P750" s="221" t="s">
        <v>17</v>
      </c>
      <c r="Q750" s="221" t="s">
        <v>15</v>
      </c>
      <c r="R750" s="221" t="s">
        <v>15</v>
      </c>
      <c r="S750" s="221" t="s">
        <v>16</v>
      </c>
      <c r="T750" s="221" t="s">
        <v>330</v>
      </c>
      <c r="U750" s="221" t="s">
        <v>250</v>
      </c>
      <c r="V750" s="221" t="s">
        <v>283</v>
      </c>
      <c r="W750" s="222" t="s">
        <v>283</v>
      </c>
      <c r="X750" s="222" t="s">
        <v>283</v>
      </c>
      <c r="Y750" s="223" t="s">
        <v>283</v>
      </c>
    </row>
    <row r="751" spans="1:25">
      <c r="A751" s="217">
        <v>14</v>
      </c>
      <c r="B751" s="218" t="str">
        <f>VLOOKUP(Tabel10[[#This Row],[Code]],Ruimtegroepen[[Code]:[Ruimte omschrijving]],2,FALSE)</f>
        <v>Praktijklokalen</v>
      </c>
      <c r="C751" s="219" t="s">
        <v>908</v>
      </c>
      <c r="D751" s="218" t="s">
        <v>14</v>
      </c>
      <c r="E751" s="219" t="s">
        <v>102</v>
      </c>
      <c r="F751" s="219" t="s">
        <v>912</v>
      </c>
      <c r="G751" s="224" t="s">
        <v>283</v>
      </c>
      <c r="H751" s="220" t="s">
        <v>283</v>
      </c>
      <c r="I751" s="220" t="s">
        <v>283</v>
      </c>
      <c r="J751" s="220" t="s">
        <v>17</v>
      </c>
      <c r="K751" s="220" t="s">
        <v>16</v>
      </c>
      <c r="L751" s="220" t="s">
        <v>283</v>
      </c>
      <c r="M751" s="220" t="s">
        <v>283</v>
      </c>
      <c r="N751" s="220" t="s">
        <v>283</v>
      </c>
      <c r="O751" s="221" t="s">
        <v>17</v>
      </c>
      <c r="P751" s="221" t="s">
        <v>17</v>
      </c>
      <c r="Q751" s="221" t="s">
        <v>15</v>
      </c>
      <c r="R751" s="221" t="s">
        <v>15</v>
      </c>
      <c r="S751" s="221" t="s">
        <v>16</v>
      </c>
      <c r="T751" s="221" t="s">
        <v>330</v>
      </c>
      <c r="U751" s="221" t="s">
        <v>250</v>
      </c>
      <c r="V751" s="221" t="s">
        <v>283</v>
      </c>
      <c r="W751" s="222" t="s">
        <v>283</v>
      </c>
      <c r="X751" s="222" t="s">
        <v>283</v>
      </c>
      <c r="Y751" s="223" t="s">
        <v>283</v>
      </c>
    </row>
    <row r="752" spans="1:25">
      <c r="A752" s="217">
        <v>14</v>
      </c>
      <c r="B752" s="218" t="str">
        <f>VLOOKUP(Tabel10[[#This Row],[Code]],Ruimtegroepen[[Code]:[Ruimte omschrijving]],2,FALSE)</f>
        <v>Praktijklokalen</v>
      </c>
      <c r="C752" s="219" t="s">
        <v>908</v>
      </c>
      <c r="D752" s="218" t="s">
        <v>14</v>
      </c>
      <c r="E752" s="219" t="s">
        <v>99</v>
      </c>
      <c r="F752" s="219" t="s">
        <v>910</v>
      </c>
      <c r="G752" s="220" t="s">
        <v>15</v>
      </c>
      <c r="H752" s="220" t="s">
        <v>15</v>
      </c>
      <c r="I752" s="220" t="s">
        <v>283</v>
      </c>
      <c r="J752" s="220" t="s">
        <v>283</v>
      </c>
      <c r="K752" s="220" t="s">
        <v>283</v>
      </c>
      <c r="L752" s="220" t="s">
        <v>283</v>
      </c>
      <c r="M752" s="220" t="s">
        <v>283</v>
      </c>
      <c r="N752" s="220" t="s">
        <v>283</v>
      </c>
      <c r="O752" s="221" t="s">
        <v>283</v>
      </c>
      <c r="P752" s="221" t="s">
        <v>283</v>
      </c>
      <c r="Q752" s="221" t="s">
        <v>283</v>
      </c>
      <c r="R752" s="221" t="s">
        <v>283</v>
      </c>
      <c r="S752" s="221" t="s">
        <v>283</v>
      </c>
      <c r="T752" s="221" t="s">
        <v>283</v>
      </c>
      <c r="U752" s="221" t="s">
        <v>283</v>
      </c>
      <c r="V752" s="221" t="s">
        <v>283</v>
      </c>
      <c r="W752" s="222" t="s">
        <v>283</v>
      </c>
      <c r="X752" s="222" t="s">
        <v>283</v>
      </c>
      <c r="Y752" s="223" t="s">
        <v>283</v>
      </c>
    </row>
    <row r="753" spans="1:25">
      <c r="A753" s="217">
        <v>14</v>
      </c>
      <c r="B753" s="218" t="str">
        <f>VLOOKUP(Tabel10[[#This Row],[Code]],Ruimtegroepen[[Code]:[Ruimte omschrijving]],2,FALSE)</f>
        <v>Praktijklokalen</v>
      </c>
      <c r="C753" s="219" t="s">
        <v>908</v>
      </c>
      <c r="D753" s="218" t="s">
        <v>14</v>
      </c>
      <c r="E753" s="219" t="s">
        <v>1313</v>
      </c>
      <c r="F753" s="219" t="s">
        <v>1407</v>
      </c>
      <c r="G753" s="224" t="s">
        <v>283</v>
      </c>
      <c r="H753" s="220" t="s">
        <v>283</v>
      </c>
      <c r="I753" s="220" t="s">
        <v>283</v>
      </c>
      <c r="J753" s="220" t="s">
        <v>17</v>
      </c>
      <c r="K753" s="220" t="s">
        <v>16</v>
      </c>
      <c r="L753" s="220" t="s">
        <v>283</v>
      </c>
      <c r="M753" s="220" t="s">
        <v>283</v>
      </c>
      <c r="N753" s="220" t="s">
        <v>283</v>
      </c>
      <c r="O753" s="221" t="s">
        <v>17</v>
      </c>
      <c r="P753" s="221" t="s">
        <v>17</v>
      </c>
      <c r="Q753" s="221" t="s">
        <v>15</v>
      </c>
      <c r="R753" s="221" t="s">
        <v>15</v>
      </c>
      <c r="S753" s="221" t="s">
        <v>16</v>
      </c>
      <c r="T753" s="221" t="s">
        <v>330</v>
      </c>
      <c r="U753" s="221" t="s">
        <v>250</v>
      </c>
      <c r="V753" s="221" t="s">
        <v>283</v>
      </c>
      <c r="W753" s="222" t="s">
        <v>283</v>
      </c>
      <c r="X753" s="222" t="s">
        <v>283</v>
      </c>
      <c r="Y753" s="223" t="s">
        <v>283</v>
      </c>
    </row>
    <row r="754" spans="1:25">
      <c r="A754" s="217">
        <v>14</v>
      </c>
      <c r="B754" s="218" t="str">
        <f>VLOOKUP(Tabel10[[#This Row],[Code]],Ruimtegroepen[[Code]:[Ruimte omschrijving]],2,FALSE)</f>
        <v>Praktijklokalen</v>
      </c>
      <c r="C754" s="219" t="s">
        <v>913</v>
      </c>
      <c r="D754" s="218" t="s">
        <v>13</v>
      </c>
      <c r="E754" s="219" t="s">
        <v>100</v>
      </c>
      <c r="F754" s="219" t="s">
        <v>914</v>
      </c>
      <c r="G754" s="224" t="s">
        <v>283</v>
      </c>
      <c r="H754" s="220" t="s">
        <v>283</v>
      </c>
      <c r="I754" s="220" t="s">
        <v>283</v>
      </c>
      <c r="J754" s="220" t="s">
        <v>15</v>
      </c>
      <c r="K754" s="220" t="s">
        <v>283</v>
      </c>
      <c r="L754" s="220" t="s">
        <v>283</v>
      </c>
      <c r="M754" s="220" t="s">
        <v>283</v>
      </c>
      <c r="N754" s="220" t="s">
        <v>283</v>
      </c>
      <c r="O754" s="221" t="s">
        <v>15</v>
      </c>
      <c r="P754" s="221" t="s">
        <v>15</v>
      </c>
      <c r="Q754" s="221" t="s">
        <v>15</v>
      </c>
      <c r="R754" s="221" t="s">
        <v>15</v>
      </c>
      <c r="S754" s="221" t="s">
        <v>16</v>
      </c>
      <c r="T754" s="221" t="s">
        <v>330</v>
      </c>
      <c r="U754" s="221" t="s">
        <v>250</v>
      </c>
      <c r="V754" s="221" t="s">
        <v>283</v>
      </c>
      <c r="W754" s="222" t="s">
        <v>283</v>
      </c>
      <c r="X754" s="222" t="s">
        <v>283</v>
      </c>
      <c r="Y754" s="223" t="s">
        <v>283</v>
      </c>
    </row>
    <row r="755" spans="1:25">
      <c r="A755" s="217">
        <v>14</v>
      </c>
      <c r="B755" s="218" t="str">
        <f>VLOOKUP(Tabel10[[#This Row],[Code]],Ruimtegroepen[[Code]:[Ruimte omschrijving]],2,FALSE)</f>
        <v>Praktijklokalen</v>
      </c>
      <c r="C755" s="219" t="s">
        <v>913</v>
      </c>
      <c r="D755" s="218" t="s">
        <v>13</v>
      </c>
      <c r="E755" s="219" t="s">
        <v>99</v>
      </c>
      <c r="F755" s="219" t="s">
        <v>915</v>
      </c>
      <c r="G755" s="224" t="s">
        <v>283</v>
      </c>
      <c r="H755" s="220" t="s">
        <v>15</v>
      </c>
      <c r="I755" s="220" t="s">
        <v>283</v>
      </c>
      <c r="J755" s="220" t="s">
        <v>283</v>
      </c>
      <c r="K755" s="220" t="s">
        <v>283</v>
      </c>
      <c r="L755" s="220" t="s">
        <v>283</v>
      </c>
      <c r="M755" s="220" t="s">
        <v>283</v>
      </c>
      <c r="N755" s="220" t="s">
        <v>283</v>
      </c>
      <c r="O755" s="221" t="s">
        <v>15</v>
      </c>
      <c r="P755" s="221" t="s">
        <v>15</v>
      </c>
      <c r="Q755" s="221" t="s">
        <v>15</v>
      </c>
      <c r="R755" s="221" t="s">
        <v>15</v>
      </c>
      <c r="S755" s="221" t="s">
        <v>16</v>
      </c>
      <c r="T755" s="221" t="s">
        <v>330</v>
      </c>
      <c r="U755" s="221" t="s">
        <v>250</v>
      </c>
      <c r="V755" s="221" t="s">
        <v>283</v>
      </c>
      <c r="W755" s="222" t="s">
        <v>283</v>
      </c>
      <c r="X755" s="222" t="s">
        <v>283</v>
      </c>
      <c r="Y755" s="223" t="s">
        <v>283</v>
      </c>
    </row>
    <row r="756" spans="1:25">
      <c r="A756" s="217">
        <v>14</v>
      </c>
      <c r="B756" s="218" t="str">
        <f>VLOOKUP(Tabel10[[#This Row],[Code]],Ruimtegroepen[[Code]:[Ruimte omschrijving]],2,FALSE)</f>
        <v>Praktijklokalen</v>
      </c>
      <c r="C756" s="219" t="s">
        <v>913</v>
      </c>
      <c r="D756" s="218" t="s">
        <v>13</v>
      </c>
      <c r="E756" s="219" t="s">
        <v>101</v>
      </c>
      <c r="F756" s="219" t="s">
        <v>916</v>
      </c>
      <c r="G756" s="224" t="s">
        <v>283</v>
      </c>
      <c r="H756" s="220" t="s">
        <v>283</v>
      </c>
      <c r="I756" s="220" t="s">
        <v>283</v>
      </c>
      <c r="J756" s="220" t="s">
        <v>15</v>
      </c>
      <c r="K756" s="220" t="s">
        <v>16</v>
      </c>
      <c r="L756" s="220" t="s">
        <v>283</v>
      </c>
      <c r="M756" s="220" t="s">
        <v>283</v>
      </c>
      <c r="N756" s="220" t="s">
        <v>283</v>
      </c>
      <c r="O756" s="221" t="s">
        <v>15</v>
      </c>
      <c r="P756" s="221" t="s">
        <v>15</v>
      </c>
      <c r="Q756" s="221" t="s">
        <v>15</v>
      </c>
      <c r="R756" s="221" t="s">
        <v>15</v>
      </c>
      <c r="S756" s="221" t="s">
        <v>16</v>
      </c>
      <c r="T756" s="221" t="s">
        <v>330</v>
      </c>
      <c r="U756" s="221" t="s">
        <v>250</v>
      </c>
      <c r="V756" s="221" t="s">
        <v>283</v>
      </c>
      <c r="W756" s="222" t="s">
        <v>283</v>
      </c>
      <c r="X756" s="222" t="s">
        <v>283</v>
      </c>
      <c r="Y756" s="223" t="s">
        <v>283</v>
      </c>
    </row>
    <row r="757" spans="1:25">
      <c r="A757" s="217">
        <v>14</v>
      </c>
      <c r="B757" s="218" t="str">
        <f>VLOOKUP(Tabel10[[#This Row],[Code]],Ruimtegroepen[[Code]:[Ruimte omschrijving]],2,FALSE)</f>
        <v>Praktijklokalen</v>
      </c>
      <c r="C757" s="219" t="s">
        <v>913</v>
      </c>
      <c r="D757" s="218" t="s">
        <v>13</v>
      </c>
      <c r="E757" s="219" t="s">
        <v>102</v>
      </c>
      <c r="F757" s="219" t="s">
        <v>917</v>
      </c>
      <c r="G757" s="224" t="s">
        <v>283</v>
      </c>
      <c r="H757" s="220" t="s">
        <v>283</v>
      </c>
      <c r="I757" s="220" t="s">
        <v>283</v>
      </c>
      <c r="J757" s="220" t="s">
        <v>15</v>
      </c>
      <c r="K757" s="220" t="s">
        <v>16</v>
      </c>
      <c r="L757" s="220" t="s">
        <v>283</v>
      </c>
      <c r="M757" s="220" t="s">
        <v>283</v>
      </c>
      <c r="N757" s="220" t="s">
        <v>283</v>
      </c>
      <c r="O757" s="221" t="s">
        <v>15</v>
      </c>
      <c r="P757" s="221" t="s">
        <v>15</v>
      </c>
      <c r="Q757" s="221" t="s">
        <v>15</v>
      </c>
      <c r="R757" s="221" t="s">
        <v>15</v>
      </c>
      <c r="S757" s="221" t="s">
        <v>16</v>
      </c>
      <c r="T757" s="221" t="s">
        <v>330</v>
      </c>
      <c r="U757" s="221" t="s">
        <v>250</v>
      </c>
      <c r="V757" s="221" t="s">
        <v>283</v>
      </c>
      <c r="W757" s="222" t="s">
        <v>283</v>
      </c>
      <c r="X757" s="222" t="s">
        <v>283</v>
      </c>
      <c r="Y757" s="223" t="s">
        <v>283</v>
      </c>
    </row>
    <row r="758" spans="1:25">
      <c r="A758" s="217">
        <v>14</v>
      </c>
      <c r="B758" s="218" t="str">
        <f>VLOOKUP(Tabel10[[#This Row],[Code]],Ruimtegroepen[[Code]:[Ruimte omschrijving]],2,FALSE)</f>
        <v>Praktijklokalen</v>
      </c>
      <c r="C758" s="219" t="s">
        <v>913</v>
      </c>
      <c r="D758" s="218" t="s">
        <v>13</v>
      </c>
      <c r="E758" s="219" t="s">
        <v>99</v>
      </c>
      <c r="F758" s="219" t="s">
        <v>915</v>
      </c>
      <c r="G758" s="224" t="s">
        <v>283</v>
      </c>
      <c r="H758" s="220" t="s">
        <v>15</v>
      </c>
      <c r="I758" s="220" t="s">
        <v>283</v>
      </c>
      <c r="J758" s="220" t="s">
        <v>283</v>
      </c>
      <c r="K758" s="220" t="s">
        <v>283</v>
      </c>
      <c r="L758" s="220" t="s">
        <v>283</v>
      </c>
      <c r="M758" s="220" t="s">
        <v>283</v>
      </c>
      <c r="N758" s="220" t="s">
        <v>283</v>
      </c>
      <c r="O758" s="221" t="s">
        <v>283</v>
      </c>
      <c r="P758" s="221" t="s">
        <v>283</v>
      </c>
      <c r="Q758" s="221" t="s">
        <v>283</v>
      </c>
      <c r="R758" s="221" t="s">
        <v>283</v>
      </c>
      <c r="S758" s="221" t="s">
        <v>283</v>
      </c>
      <c r="T758" s="221" t="s">
        <v>283</v>
      </c>
      <c r="U758" s="221" t="s">
        <v>283</v>
      </c>
      <c r="V758" s="221" t="s">
        <v>283</v>
      </c>
      <c r="W758" s="222" t="s">
        <v>283</v>
      </c>
      <c r="X758" s="222" t="s">
        <v>283</v>
      </c>
      <c r="Y758" s="223" t="s">
        <v>283</v>
      </c>
    </row>
    <row r="759" spans="1:25">
      <c r="A759" s="217">
        <v>14</v>
      </c>
      <c r="B759" s="218" t="str">
        <f>VLOOKUP(Tabel10[[#This Row],[Code]],Ruimtegroepen[[Code]:[Ruimte omschrijving]],2,FALSE)</f>
        <v>Praktijklokalen</v>
      </c>
      <c r="C759" s="219" t="s">
        <v>913</v>
      </c>
      <c r="D759" s="218" t="s">
        <v>13</v>
      </c>
      <c r="E759" s="219" t="s">
        <v>1313</v>
      </c>
      <c r="F759" s="219" t="s">
        <v>1374</v>
      </c>
      <c r="G759" s="224" t="s">
        <v>283</v>
      </c>
      <c r="H759" s="220" t="s">
        <v>283</v>
      </c>
      <c r="I759" s="220" t="s">
        <v>283</v>
      </c>
      <c r="J759" s="220" t="s">
        <v>15</v>
      </c>
      <c r="K759" s="220" t="s">
        <v>16</v>
      </c>
      <c r="L759" s="220" t="s">
        <v>283</v>
      </c>
      <c r="M759" s="220" t="s">
        <v>283</v>
      </c>
      <c r="N759" s="220" t="s">
        <v>283</v>
      </c>
      <c r="O759" s="221" t="s">
        <v>15</v>
      </c>
      <c r="P759" s="221" t="s">
        <v>15</v>
      </c>
      <c r="Q759" s="221" t="s">
        <v>15</v>
      </c>
      <c r="R759" s="221" t="s">
        <v>15</v>
      </c>
      <c r="S759" s="221" t="s">
        <v>16</v>
      </c>
      <c r="T759" s="221" t="s">
        <v>330</v>
      </c>
      <c r="U759" s="221" t="s">
        <v>250</v>
      </c>
      <c r="V759" s="221" t="s">
        <v>283</v>
      </c>
      <c r="W759" s="222" t="s">
        <v>283</v>
      </c>
      <c r="X759" s="222" t="s">
        <v>283</v>
      </c>
      <c r="Y759" s="223" t="s">
        <v>283</v>
      </c>
    </row>
    <row r="760" spans="1:25">
      <c r="A760" s="217">
        <v>14</v>
      </c>
      <c r="B760" s="218" t="str">
        <f>VLOOKUP(Tabel10[[#This Row],[Code]],Ruimtegroepen[[Code]:[Ruimte omschrijving]],2,FALSE)</f>
        <v>Praktijklokalen</v>
      </c>
      <c r="C760" s="219" t="s">
        <v>918</v>
      </c>
      <c r="D760" s="218" t="s">
        <v>0</v>
      </c>
      <c r="E760" s="219" t="s">
        <v>100</v>
      </c>
      <c r="F760" s="219" t="s">
        <v>919</v>
      </c>
      <c r="G760" s="224" t="s">
        <v>283</v>
      </c>
      <c r="H760" s="220" t="s">
        <v>283</v>
      </c>
      <c r="I760" s="220" t="s">
        <v>16</v>
      </c>
      <c r="J760" s="220" t="s">
        <v>283</v>
      </c>
      <c r="K760" s="220" t="s">
        <v>283</v>
      </c>
      <c r="L760" s="220" t="s">
        <v>283</v>
      </c>
      <c r="M760" s="220" t="s">
        <v>283</v>
      </c>
      <c r="N760" s="220" t="s">
        <v>283</v>
      </c>
      <c r="O760" s="221" t="s">
        <v>16</v>
      </c>
      <c r="P760" s="221" t="s">
        <v>16</v>
      </c>
      <c r="Q760" s="221" t="s">
        <v>16</v>
      </c>
      <c r="R760" s="221" t="s">
        <v>16</v>
      </c>
      <c r="S760" s="221" t="s">
        <v>16</v>
      </c>
      <c r="T760" s="221" t="s">
        <v>330</v>
      </c>
      <c r="U760" s="221" t="s">
        <v>250</v>
      </c>
      <c r="V760" s="221" t="s">
        <v>283</v>
      </c>
      <c r="W760" s="222" t="s">
        <v>283</v>
      </c>
      <c r="X760" s="222" t="s">
        <v>283</v>
      </c>
      <c r="Y760" s="223" t="s">
        <v>283</v>
      </c>
    </row>
    <row r="761" spans="1:25">
      <c r="A761" s="217">
        <v>14</v>
      </c>
      <c r="B761" s="218" t="str">
        <f>VLOOKUP(Tabel10[[#This Row],[Code]],Ruimtegroepen[[Code]:[Ruimte omschrijving]],2,FALSE)</f>
        <v>Praktijklokalen</v>
      </c>
      <c r="C761" s="219" t="s">
        <v>918</v>
      </c>
      <c r="D761" s="218" t="s">
        <v>0</v>
      </c>
      <c r="E761" s="219" t="s">
        <v>99</v>
      </c>
      <c r="F761" s="219" t="s">
        <v>920</v>
      </c>
      <c r="G761" s="224" t="s">
        <v>283</v>
      </c>
      <c r="H761" s="220" t="s">
        <v>16</v>
      </c>
      <c r="I761" s="220" t="s">
        <v>283</v>
      </c>
      <c r="J761" s="220" t="s">
        <v>283</v>
      </c>
      <c r="K761" s="220" t="s">
        <v>283</v>
      </c>
      <c r="L761" s="220" t="s">
        <v>283</v>
      </c>
      <c r="M761" s="220" t="s">
        <v>283</v>
      </c>
      <c r="N761" s="220" t="s">
        <v>283</v>
      </c>
      <c r="O761" s="221" t="s">
        <v>16</v>
      </c>
      <c r="P761" s="221" t="s">
        <v>16</v>
      </c>
      <c r="Q761" s="221" t="s">
        <v>16</v>
      </c>
      <c r="R761" s="221" t="s">
        <v>16</v>
      </c>
      <c r="S761" s="221" t="s">
        <v>16</v>
      </c>
      <c r="T761" s="221" t="s">
        <v>330</v>
      </c>
      <c r="U761" s="221" t="s">
        <v>250</v>
      </c>
      <c r="V761" s="221" t="s">
        <v>283</v>
      </c>
      <c r="W761" s="222" t="s">
        <v>283</v>
      </c>
      <c r="X761" s="222" t="s">
        <v>283</v>
      </c>
      <c r="Y761" s="223" t="s">
        <v>283</v>
      </c>
    </row>
    <row r="762" spans="1:25">
      <c r="A762" s="217">
        <v>14</v>
      </c>
      <c r="B762" s="218" t="str">
        <f>VLOOKUP(Tabel10[[#This Row],[Code]],Ruimtegroepen[[Code]:[Ruimte omschrijving]],2,FALSE)</f>
        <v>Praktijklokalen</v>
      </c>
      <c r="C762" s="219" t="s">
        <v>918</v>
      </c>
      <c r="D762" s="218" t="s">
        <v>0</v>
      </c>
      <c r="E762" s="219" t="s">
        <v>101</v>
      </c>
      <c r="F762" s="219" t="s">
        <v>921</v>
      </c>
      <c r="G762" s="224" t="s">
        <v>283</v>
      </c>
      <c r="H762" s="220" t="s">
        <v>283</v>
      </c>
      <c r="I762" s="220" t="s">
        <v>283</v>
      </c>
      <c r="J762" s="220" t="s">
        <v>362</v>
      </c>
      <c r="K762" s="220" t="s">
        <v>16</v>
      </c>
      <c r="L762" s="220" t="s">
        <v>283</v>
      </c>
      <c r="M762" s="220" t="s">
        <v>283</v>
      </c>
      <c r="N762" s="220" t="s">
        <v>283</v>
      </c>
      <c r="O762" s="221" t="s">
        <v>16</v>
      </c>
      <c r="P762" s="221" t="s">
        <v>16</v>
      </c>
      <c r="Q762" s="221" t="s">
        <v>16</v>
      </c>
      <c r="R762" s="221" t="s">
        <v>16</v>
      </c>
      <c r="S762" s="221" t="s">
        <v>16</v>
      </c>
      <c r="T762" s="221" t="s">
        <v>330</v>
      </c>
      <c r="U762" s="221" t="s">
        <v>250</v>
      </c>
      <c r="V762" s="221" t="s">
        <v>283</v>
      </c>
      <c r="W762" s="222" t="s">
        <v>283</v>
      </c>
      <c r="X762" s="222" t="s">
        <v>283</v>
      </c>
      <c r="Y762" s="223" t="s">
        <v>283</v>
      </c>
    </row>
    <row r="763" spans="1:25">
      <c r="A763" s="217">
        <v>14</v>
      </c>
      <c r="B763" s="218" t="str">
        <f>VLOOKUP(Tabel10[[#This Row],[Code]],Ruimtegroepen[[Code]:[Ruimte omschrijving]],2,FALSE)</f>
        <v>Praktijklokalen</v>
      </c>
      <c r="C763" s="219" t="s">
        <v>918</v>
      </c>
      <c r="D763" s="218" t="s">
        <v>0</v>
      </c>
      <c r="E763" s="219" t="s">
        <v>102</v>
      </c>
      <c r="F763" s="219" t="s">
        <v>922</v>
      </c>
      <c r="G763" s="224" t="s">
        <v>283</v>
      </c>
      <c r="H763" s="220" t="s">
        <v>283</v>
      </c>
      <c r="I763" s="220" t="s">
        <v>16</v>
      </c>
      <c r="J763" s="220" t="s">
        <v>283</v>
      </c>
      <c r="K763" s="220" t="s">
        <v>16</v>
      </c>
      <c r="L763" s="220" t="s">
        <v>283</v>
      </c>
      <c r="M763" s="220" t="s">
        <v>283</v>
      </c>
      <c r="N763" s="220" t="s">
        <v>283</v>
      </c>
      <c r="O763" s="221" t="s">
        <v>16</v>
      </c>
      <c r="P763" s="221" t="s">
        <v>16</v>
      </c>
      <c r="Q763" s="221" t="s">
        <v>16</v>
      </c>
      <c r="R763" s="221" t="s">
        <v>16</v>
      </c>
      <c r="S763" s="221" t="s">
        <v>16</v>
      </c>
      <c r="T763" s="221" t="s">
        <v>330</v>
      </c>
      <c r="U763" s="221" t="s">
        <v>250</v>
      </c>
      <c r="V763" s="221" t="s">
        <v>283</v>
      </c>
      <c r="W763" s="222" t="s">
        <v>283</v>
      </c>
      <c r="X763" s="222" t="s">
        <v>283</v>
      </c>
      <c r="Y763" s="223" t="s">
        <v>283</v>
      </c>
    </row>
    <row r="764" spans="1:25">
      <c r="A764" s="217">
        <v>14</v>
      </c>
      <c r="B764" s="218" t="str">
        <f>VLOOKUP(Tabel10[[#This Row],[Code]],Ruimtegroepen[[Code]:[Ruimte omschrijving]],2,FALSE)</f>
        <v>Praktijklokalen</v>
      </c>
      <c r="C764" s="219" t="s">
        <v>918</v>
      </c>
      <c r="D764" s="218" t="s">
        <v>0</v>
      </c>
      <c r="E764" s="219" t="s">
        <v>99</v>
      </c>
      <c r="F764" s="219" t="s">
        <v>920</v>
      </c>
      <c r="G764" s="224" t="s">
        <v>283</v>
      </c>
      <c r="H764" s="220" t="s">
        <v>16</v>
      </c>
      <c r="I764" s="220" t="s">
        <v>283</v>
      </c>
      <c r="J764" s="220" t="s">
        <v>283</v>
      </c>
      <c r="K764" s="220" t="s">
        <v>283</v>
      </c>
      <c r="L764" s="220" t="s">
        <v>283</v>
      </c>
      <c r="M764" s="220" t="s">
        <v>283</v>
      </c>
      <c r="N764" s="220" t="s">
        <v>283</v>
      </c>
      <c r="O764" s="221" t="s">
        <v>283</v>
      </c>
      <c r="P764" s="221" t="s">
        <v>283</v>
      </c>
      <c r="Q764" s="221" t="s">
        <v>283</v>
      </c>
      <c r="R764" s="221" t="s">
        <v>283</v>
      </c>
      <c r="S764" s="221" t="s">
        <v>283</v>
      </c>
      <c r="T764" s="221" t="s">
        <v>283</v>
      </c>
      <c r="U764" s="221" t="s">
        <v>283</v>
      </c>
      <c r="V764" s="221" t="s">
        <v>283</v>
      </c>
      <c r="W764" s="222" t="s">
        <v>283</v>
      </c>
      <c r="X764" s="222" t="s">
        <v>283</v>
      </c>
      <c r="Y764" s="223" t="s">
        <v>283</v>
      </c>
    </row>
    <row r="765" spans="1:25">
      <c r="A765" s="217">
        <v>14</v>
      </c>
      <c r="B765" s="218" t="str">
        <f>VLOOKUP(Tabel10[[#This Row],[Code]],Ruimtegroepen[[Code]:[Ruimte omschrijving]],2,FALSE)</f>
        <v>Praktijklokalen</v>
      </c>
      <c r="C765" s="219" t="s">
        <v>918</v>
      </c>
      <c r="D765" s="218" t="s">
        <v>0</v>
      </c>
      <c r="E765" s="219" t="s">
        <v>1313</v>
      </c>
      <c r="F765" s="219" t="s">
        <v>1358</v>
      </c>
      <c r="G765" s="224" t="s">
        <v>283</v>
      </c>
      <c r="H765" s="220" t="s">
        <v>283</v>
      </c>
      <c r="I765" s="220" t="s">
        <v>16</v>
      </c>
      <c r="J765" s="220" t="s">
        <v>283</v>
      </c>
      <c r="K765" s="220" t="s">
        <v>16</v>
      </c>
      <c r="L765" s="220" t="s">
        <v>283</v>
      </c>
      <c r="M765" s="220" t="s">
        <v>283</v>
      </c>
      <c r="N765" s="220" t="s">
        <v>283</v>
      </c>
      <c r="O765" s="221" t="s">
        <v>16</v>
      </c>
      <c r="P765" s="221" t="s">
        <v>16</v>
      </c>
      <c r="Q765" s="221" t="s">
        <v>16</v>
      </c>
      <c r="R765" s="221" t="s">
        <v>16</v>
      </c>
      <c r="S765" s="221" t="s">
        <v>16</v>
      </c>
      <c r="T765" s="221" t="s">
        <v>330</v>
      </c>
      <c r="U765" s="221" t="s">
        <v>250</v>
      </c>
      <c r="V765" s="221" t="s">
        <v>283</v>
      </c>
      <c r="W765" s="222" t="s">
        <v>283</v>
      </c>
      <c r="X765" s="222" t="s">
        <v>283</v>
      </c>
      <c r="Y765" s="223" t="s">
        <v>283</v>
      </c>
    </row>
    <row r="766" spans="1:25">
      <c r="A766" s="217">
        <v>14</v>
      </c>
      <c r="B766" s="218" t="str">
        <f>VLOOKUP(Tabel10[[#This Row],[Code]],Ruimtegroepen[[Code]:[Ruimte omschrijving]],2,FALSE)</f>
        <v>Praktijklokalen</v>
      </c>
      <c r="C766" s="219" t="s">
        <v>923</v>
      </c>
      <c r="D766" s="218" t="s">
        <v>27</v>
      </c>
      <c r="E766" s="219" t="s">
        <v>100</v>
      </c>
      <c r="F766" s="219" t="s">
        <v>924</v>
      </c>
      <c r="G766" s="224" t="s">
        <v>283</v>
      </c>
      <c r="H766" s="220" t="s">
        <v>283</v>
      </c>
      <c r="I766" s="220" t="s">
        <v>15</v>
      </c>
      <c r="J766" s="220" t="s">
        <v>283</v>
      </c>
      <c r="K766" s="220" t="s">
        <v>283</v>
      </c>
      <c r="L766" s="220" t="s">
        <v>283</v>
      </c>
      <c r="M766" s="220" t="s">
        <v>283</v>
      </c>
      <c r="N766" s="220" t="s">
        <v>283</v>
      </c>
      <c r="O766" s="221" t="s">
        <v>15</v>
      </c>
      <c r="P766" s="221" t="s">
        <v>15</v>
      </c>
      <c r="Q766" s="221" t="s">
        <v>15</v>
      </c>
      <c r="R766" s="221" t="s">
        <v>283</v>
      </c>
      <c r="S766" s="221" t="s">
        <v>283</v>
      </c>
      <c r="T766" s="221" t="s">
        <v>283</v>
      </c>
      <c r="U766" s="221" t="s">
        <v>283</v>
      </c>
      <c r="V766" s="221" t="s">
        <v>283</v>
      </c>
      <c r="W766" s="222" t="s">
        <v>283</v>
      </c>
      <c r="X766" s="222" t="s">
        <v>283</v>
      </c>
      <c r="Y766" s="223" t="s">
        <v>283</v>
      </c>
    </row>
    <row r="767" spans="1:25">
      <c r="A767" s="217">
        <v>14</v>
      </c>
      <c r="B767" s="218" t="str">
        <f>VLOOKUP(Tabel10[[#This Row],[Code]],Ruimtegroepen[[Code]:[Ruimte omschrijving]],2,FALSE)</f>
        <v>Praktijklokalen</v>
      </c>
      <c r="C767" s="219" t="s">
        <v>923</v>
      </c>
      <c r="D767" s="218" t="s">
        <v>27</v>
      </c>
      <c r="E767" s="219" t="s">
        <v>99</v>
      </c>
      <c r="F767" s="219" t="s">
        <v>925</v>
      </c>
      <c r="G767" s="224" t="s">
        <v>283</v>
      </c>
      <c r="H767" s="220" t="s">
        <v>15</v>
      </c>
      <c r="I767" s="220" t="s">
        <v>283</v>
      </c>
      <c r="J767" s="220" t="s">
        <v>283</v>
      </c>
      <c r="K767" s="220" t="s">
        <v>283</v>
      </c>
      <c r="L767" s="220" t="s">
        <v>283</v>
      </c>
      <c r="M767" s="220" t="s">
        <v>283</v>
      </c>
      <c r="N767" s="220" t="s">
        <v>283</v>
      </c>
      <c r="O767" s="221" t="s">
        <v>15</v>
      </c>
      <c r="P767" s="221" t="s">
        <v>15</v>
      </c>
      <c r="Q767" s="221" t="s">
        <v>15</v>
      </c>
      <c r="R767" s="221" t="s">
        <v>283</v>
      </c>
      <c r="S767" s="221" t="s">
        <v>283</v>
      </c>
      <c r="T767" s="221" t="s">
        <v>283</v>
      </c>
      <c r="U767" s="221" t="s">
        <v>283</v>
      </c>
      <c r="V767" s="221" t="s">
        <v>283</v>
      </c>
      <c r="W767" s="222" t="s">
        <v>283</v>
      </c>
      <c r="X767" s="222" t="s">
        <v>283</v>
      </c>
      <c r="Y767" s="223" t="s">
        <v>283</v>
      </c>
    </row>
    <row r="768" spans="1:25">
      <c r="A768" s="217">
        <v>14</v>
      </c>
      <c r="B768" s="218" t="str">
        <f>VLOOKUP(Tabel10[[#This Row],[Code]],Ruimtegroepen[[Code]:[Ruimte omschrijving]],2,FALSE)</f>
        <v>Praktijklokalen</v>
      </c>
      <c r="C768" s="219" t="s">
        <v>923</v>
      </c>
      <c r="D768" s="218" t="s">
        <v>27</v>
      </c>
      <c r="E768" s="219" t="s">
        <v>101</v>
      </c>
      <c r="F768" s="219" t="s">
        <v>926</v>
      </c>
      <c r="G768" s="224" t="s">
        <v>283</v>
      </c>
      <c r="H768" s="220" t="s">
        <v>283</v>
      </c>
      <c r="I768" s="220" t="s">
        <v>15</v>
      </c>
      <c r="J768" s="220" t="s">
        <v>283</v>
      </c>
      <c r="K768" s="220" t="s">
        <v>283</v>
      </c>
      <c r="L768" s="220" t="s">
        <v>283</v>
      </c>
      <c r="M768" s="220" t="s">
        <v>283</v>
      </c>
      <c r="N768" s="220" t="s">
        <v>283</v>
      </c>
      <c r="O768" s="221" t="s">
        <v>15</v>
      </c>
      <c r="P768" s="221" t="s">
        <v>15</v>
      </c>
      <c r="Q768" s="221" t="s">
        <v>15</v>
      </c>
      <c r="R768" s="221" t="s">
        <v>283</v>
      </c>
      <c r="S768" s="221" t="s">
        <v>283</v>
      </c>
      <c r="T768" s="221" t="s">
        <v>283</v>
      </c>
      <c r="U768" s="221" t="s">
        <v>283</v>
      </c>
      <c r="V768" s="221" t="s">
        <v>283</v>
      </c>
      <c r="W768" s="222" t="s">
        <v>283</v>
      </c>
      <c r="X768" s="222" t="s">
        <v>283</v>
      </c>
      <c r="Y768" s="223" t="s">
        <v>283</v>
      </c>
    </row>
    <row r="769" spans="1:25">
      <c r="A769" s="217">
        <v>14</v>
      </c>
      <c r="B769" s="218" t="str">
        <f>VLOOKUP(Tabel10[[#This Row],[Code]],Ruimtegroepen[[Code]:[Ruimte omschrijving]],2,FALSE)</f>
        <v>Praktijklokalen</v>
      </c>
      <c r="C769" s="219" t="s">
        <v>923</v>
      </c>
      <c r="D769" s="218" t="s">
        <v>27</v>
      </c>
      <c r="E769" s="219" t="s">
        <v>102</v>
      </c>
      <c r="F769" s="219" t="s">
        <v>927</v>
      </c>
      <c r="G769" s="224" t="s">
        <v>283</v>
      </c>
      <c r="H769" s="220" t="s">
        <v>283</v>
      </c>
      <c r="I769" s="220" t="s">
        <v>15</v>
      </c>
      <c r="J769" s="220" t="s">
        <v>283</v>
      </c>
      <c r="K769" s="220" t="s">
        <v>283</v>
      </c>
      <c r="L769" s="220" t="s">
        <v>283</v>
      </c>
      <c r="M769" s="220" t="s">
        <v>283</v>
      </c>
      <c r="N769" s="220" t="s">
        <v>283</v>
      </c>
      <c r="O769" s="221" t="s">
        <v>15</v>
      </c>
      <c r="P769" s="221" t="s">
        <v>15</v>
      </c>
      <c r="Q769" s="221" t="s">
        <v>15</v>
      </c>
      <c r="R769" s="221" t="s">
        <v>283</v>
      </c>
      <c r="S769" s="221" t="s">
        <v>283</v>
      </c>
      <c r="T769" s="221" t="s">
        <v>283</v>
      </c>
      <c r="U769" s="221" t="s">
        <v>283</v>
      </c>
      <c r="V769" s="221" t="s">
        <v>283</v>
      </c>
      <c r="W769" s="222" t="s">
        <v>283</v>
      </c>
      <c r="X769" s="222" t="s">
        <v>283</v>
      </c>
      <c r="Y769" s="223" t="s">
        <v>283</v>
      </c>
    </row>
    <row r="770" spans="1:25">
      <c r="A770" s="217">
        <v>14</v>
      </c>
      <c r="B770" s="218" t="str">
        <f>VLOOKUP(Tabel10[[#This Row],[Code]],Ruimtegroepen[[Code]:[Ruimte omschrijving]],2,FALSE)</f>
        <v>Praktijklokalen</v>
      </c>
      <c r="C770" s="219" t="s">
        <v>923</v>
      </c>
      <c r="D770" s="218" t="s">
        <v>27</v>
      </c>
      <c r="E770" s="219" t="s">
        <v>99</v>
      </c>
      <c r="F770" s="219" t="s">
        <v>925</v>
      </c>
      <c r="G770" s="224" t="s">
        <v>283</v>
      </c>
      <c r="H770" s="220" t="s">
        <v>15</v>
      </c>
      <c r="I770" s="220" t="s">
        <v>283</v>
      </c>
      <c r="J770" s="220" t="s">
        <v>283</v>
      </c>
      <c r="K770" s="220" t="s">
        <v>283</v>
      </c>
      <c r="L770" s="220" t="s">
        <v>283</v>
      </c>
      <c r="M770" s="220" t="s">
        <v>283</v>
      </c>
      <c r="N770" s="220" t="s">
        <v>283</v>
      </c>
      <c r="O770" s="221" t="s">
        <v>15</v>
      </c>
      <c r="P770" s="221" t="s">
        <v>15</v>
      </c>
      <c r="Q770" s="221" t="s">
        <v>15</v>
      </c>
      <c r="R770" s="221" t="s">
        <v>283</v>
      </c>
      <c r="S770" s="221" t="s">
        <v>283</v>
      </c>
      <c r="T770" s="221" t="s">
        <v>283</v>
      </c>
      <c r="U770" s="221" t="s">
        <v>283</v>
      </c>
      <c r="V770" s="221" t="s">
        <v>283</v>
      </c>
      <c r="W770" s="222" t="s">
        <v>283</v>
      </c>
      <c r="X770" s="222" t="s">
        <v>283</v>
      </c>
      <c r="Y770" s="223" t="s">
        <v>283</v>
      </c>
    </row>
    <row r="771" spans="1:25">
      <c r="A771" s="217">
        <v>14</v>
      </c>
      <c r="B771" s="218" t="str">
        <f>VLOOKUP(Tabel10[[#This Row],[Code]],Ruimtegroepen[[Code]:[Ruimte omschrijving]],2,FALSE)</f>
        <v>Praktijklokalen</v>
      </c>
      <c r="C771" s="219" t="s">
        <v>923</v>
      </c>
      <c r="D771" s="218" t="s">
        <v>27</v>
      </c>
      <c r="E771" s="219" t="s">
        <v>1313</v>
      </c>
      <c r="F771" s="219" t="s">
        <v>1391</v>
      </c>
      <c r="G771" s="224" t="s">
        <v>283</v>
      </c>
      <c r="H771" s="220" t="s">
        <v>283</v>
      </c>
      <c r="I771" s="220" t="s">
        <v>15</v>
      </c>
      <c r="J771" s="220" t="s">
        <v>283</v>
      </c>
      <c r="K771" s="220" t="s">
        <v>283</v>
      </c>
      <c r="L771" s="220" t="s">
        <v>283</v>
      </c>
      <c r="M771" s="220" t="s">
        <v>283</v>
      </c>
      <c r="N771" s="220" t="s">
        <v>283</v>
      </c>
      <c r="O771" s="221" t="s">
        <v>15</v>
      </c>
      <c r="P771" s="221" t="s">
        <v>15</v>
      </c>
      <c r="Q771" s="221" t="s">
        <v>15</v>
      </c>
      <c r="R771" s="221" t="s">
        <v>283</v>
      </c>
      <c r="S771" s="221" t="s">
        <v>283</v>
      </c>
      <c r="T771" s="221" t="s">
        <v>283</v>
      </c>
      <c r="U771" s="221" t="s">
        <v>283</v>
      </c>
      <c r="V771" s="221" t="s">
        <v>283</v>
      </c>
      <c r="W771" s="222" t="s">
        <v>283</v>
      </c>
      <c r="X771" s="222" t="s">
        <v>283</v>
      </c>
      <c r="Y771" s="223" t="s">
        <v>283</v>
      </c>
    </row>
    <row r="772" spans="1:25">
      <c r="A772" s="217">
        <v>14</v>
      </c>
      <c r="B772" s="218" t="str">
        <f>VLOOKUP(Tabel10[[#This Row],[Code]],Ruimtegroepen[[Code]:[Ruimte omschrijving]],2,FALSE)</f>
        <v>Praktijklokalen</v>
      </c>
      <c r="C772" s="219" t="s">
        <v>928</v>
      </c>
      <c r="D772" s="218" t="s">
        <v>28</v>
      </c>
      <c r="E772" s="219" t="s">
        <v>100</v>
      </c>
      <c r="F772" s="219" t="s">
        <v>929</v>
      </c>
      <c r="G772" s="224" t="s">
        <v>283</v>
      </c>
      <c r="H772" s="220" t="s">
        <v>283</v>
      </c>
      <c r="I772" s="220" t="s">
        <v>17</v>
      </c>
      <c r="J772" s="220" t="s">
        <v>283</v>
      </c>
      <c r="K772" s="220" t="s">
        <v>283</v>
      </c>
      <c r="L772" s="220" t="s">
        <v>283</v>
      </c>
      <c r="M772" s="220" t="s">
        <v>283</v>
      </c>
      <c r="N772" s="220" t="s">
        <v>283</v>
      </c>
      <c r="O772" s="221" t="s">
        <v>17</v>
      </c>
      <c r="P772" s="221" t="s">
        <v>17</v>
      </c>
      <c r="Q772" s="221" t="s">
        <v>15</v>
      </c>
      <c r="R772" s="221" t="s">
        <v>283</v>
      </c>
      <c r="S772" s="221" t="s">
        <v>283</v>
      </c>
      <c r="T772" s="221" t="s">
        <v>283</v>
      </c>
      <c r="U772" s="221" t="s">
        <v>283</v>
      </c>
      <c r="V772" s="221" t="s">
        <v>283</v>
      </c>
      <c r="W772" s="222" t="s">
        <v>283</v>
      </c>
      <c r="X772" s="222" t="s">
        <v>283</v>
      </c>
      <c r="Y772" s="223" t="s">
        <v>283</v>
      </c>
    </row>
    <row r="773" spans="1:25">
      <c r="A773" s="217">
        <v>14</v>
      </c>
      <c r="B773" s="218" t="str">
        <f>VLOOKUP(Tabel10[[#This Row],[Code]],Ruimtegroepen[[Code]:[Ruimte omschrijving]],2,FALSE)</f>
        <v>Praktijklokalen</v>
      </c>
      <c r="C773" s="219" t="s">
        <v>928</v>
      </c>
      <c r="D773" s="218" t="s">
        <v>28</v>
      </c>
      <c r="E773" s="219" t="s">
        <v>99</v>
      </c>
      <c r="F773" s="219" t="s">
        <v>930</v>
      </c>
      <c r="G773" s="224" t="s">
        <v>283</v>
      </c>
      <c r="H773" s="220" t="s">
        <v>17</v>
      </c>
      <c r="I773" s="220" t="s">
        <v>283</v>
      </c>
      <c r="J773" s="220" t="s">
        <v>283</v>
      </c>
      <c r="K773" s="220" t="s">
        <v>283</v>
      </c>
      <c r="L773" s="220" t="s">
        <v>283</v>
      </c>
      <c r="M773" s="220" t="s">
        <v>283</v>
      </c>
      <c r="N773" s="220" t="s">
        <v>283</v>
      </c>
      <c r="O773" s="221" t="s">
        <v>17</v>
      </c>
      <c r="P773" s="221" t="s">
        <v>17</v>
      </c>
      <c r="Q773" s="221" t="s">
        <v>15</v>
      </c>
      <c r="R773" s="221" t="s">
        <v>283</v>
      </c>
      <c r="S773" s="221" t="s">
        <v>283</v>
      </c>
      <c r="T773" s="221" t="s">
        <v>283</v>
      </c>
      <c r="U773" s="221" t="s">
        <v>283</v>
      </c>
      <c r="V773" s="221" t="s">
        <v>283</v>
      </c>
      <c r="W773" s="222" t="s">
        <v>283</v>
      </c>
      <c r="X773" s="222" t="s">
        <v>283</v>
      </c>
      <c r="Y773" s="223" t="s">
        <v>283</v>
      </c>
    </row>
    <row r="774" spans="1:25">
      <c r="A774" s="217">
        <v>14</v>
      </c>
      <c r="B774" s="218" t="str">
        <f>VLOOKUP(Tabel10[[#This Row],[Code]],Ruimtegroepen[[Code]:[Ruimte omschrijving]],2,FALSE)</f>
        <v>Praktijklokalen</v>
      </c>
      <c r="C774" s="219" t="s">
        <v>928</v>
      </c>
      <c r="D774" s="218" t="s">
        <v>28</v>
      </c>
      <c r="E774" s="219" t="s">
        <v>101</v>
      </c>
      <c r="F774" s="219" t="s">
        <v>931</v>
      </c>
      <c r="G774" s="224" t="s">
        <v>283</v>
      </c>
      <c r="H774" s="220" t="s">
        <v>283</v>
      </c>
      <c r="I774" s="220" t="s">
        <v>17</v>
      </c>
      <c r="J774" s="220" t="s">
        <v>283</v>
      </c>
      <c r="K774" s="220" t="s">
        <v>283</v>
      </c>
      <c r="L774" s="220" t="s">
        <v>283</v>
      </c>
      <c r="M774" s="220" t="s">
        <v>283</v>
      </c>
      <c r="N774" s="220" t="s">
        <v>283</v>
      </c>
      <c r="O774" s="221" t="s">
        <v>17</v>
      </c>
      <c r="P774" s="221" t="s">
        <v>17</v>
      </c>
      <c r="Q774" s="221" t="s">
        <v>15</v>
      </c>
      <c r="R774" s="221" t="s">
        <v>283</v>
      </c>
      <c r="S774" s="221" t="s">
        <v>283</v>
      </c>
      <c r="T774" s="221" t="s">
        <v>283</v>
      </c>
      <c r="U774" s="221" t="s">
        <v>283</v>
      </c>
      <c r="V774" s="221" t="s">
        <v>283</v>
      </c>
      <c r="W774" s="222" t="s">
        <v>283</v>
      </c>
      <c r="X774" s="222" t="s">
        <v>283</v>
      </c>
      <c r="Y774" s="223" t="s">
        <v>283</v>
      </c>
    </row>
    <row r="775" spans="1:25">
      <c r="A775" s="217">
        <v>14</v>
      </c>
      <c r="B775" s="218" t="str">
        <f>VLOOKUP(Tabel10[[#This Row],[Code]],Ruimtegroepen[[Code]:[Ruimte omschrijving]],2,FALSE)</f>
        <v>Praktijklokalen</v>
      </c>
      <c r="C775" s="219" t="s">
        <v>928</v>
      </c>
      <c r="D775" s="218" t="s">
        <v>28</v>
      </c>
      <c r="E775" s="219" t="s">
        <v>102</v>
      </c>
      <c r="F775" s="219" t="s">
        <v>932</v>
      </c>
      <c r="G775" s="224" t="s">
        <v>283</v>
      </c>
      <c r="H775" s="220" t="s">
        <v>283</v>
      </c>
      <c r="I775" s="220" t="s">
        <v>17</v>
      </c>
      <c r="J775" s="220" t="s">
        <v>283</v>
      </c>
      <c r="K775" s="220" t="s">
        <v>283</v>
      </c>
      <c r="L775" s="220" t="s">
        <v>283</v>
      </c>
      <c r="M775" s="220" t="s">
        <v>283</v>
      </c>
      <c r="N775" s="220" t="s">
        <v>283</v>
      </c>
      <c r="O775" s="221" t="s">
        <v>17</v>
      </c>
      <c r="P775" s="221" t="s">
        <v>17</v>
      </c>
      <c r="Q775" s="221" t="s">
        <v>15</v>
      </c>
      <c r="R775" s="221" t="s">
        <v>283</v>
      </c>
      <c r="S775" s="221" t="s">
        <v>283</v>
      </c>
      <c r="T775" s="221" t="s">
        <v>283</v>
      </c>
      <c r="U775" s="221" t="s">
        <v>283</v>
      </c>
      <c r="V775" s="221" t="s">
        <v>283</v>
      </c>
      <c r="W775" s="222" t="s">
        <v>283</v>
      </c>
      <c r="X775" s="222" t="s">
        <v>283</v>
      </c>
      <c r="Y775" s="223" t="s">
        <v>283</v>
      </c>
    </row>
    <row r="776" spans="1:25">
      <c r="A776" s="217">
        <v>14</v>
      </c>
      <c r="B776" s="218" t="str">
        <f>VLOOKUP(Tabel10[[#This Row],[Code]],Ruimtegroepen[[Code]:[Ruimte omschrijving]],2,FALSE)</f>
        <v>Praktijklokalen</v>
      </c>
      <c r="C776" s="219" t="s">
        <v>928</v>
      </c>
      <c r="D776" s="218" t="s">
        <v>28</v>
      </c>
      <c r="E776" s="219" t="s">
        <v>99</v>
      </c>
      <c r="F776" s="219" t="s">
        <v>930</v>
      </c>
      <c r="G776" s="224" t="s">
        <v>283</v>
      </c>
      <c r="H776" s="220" t="s">
        <v>17</v>
      </c>
      <c r="I776" s="220" t="s">
        <v>283</v>
      </c>
      <c r="J776" s="220" t="s">
        <v>283</v>
      </c>
      <c r="K776" s="220" t="s">
        <v>283</v>
      </c>
      <c r="L776" s="220" t="s">
        <v>283</v>
      </c>
      <c r="M776" s="220" t="s">
        <v>283</v>
      </c>
      <c r="N776" s="220" t="s">
        <v>283</v>
      </c>
      <c r="O776" s="221" t="s">
        <v>17</v>
      </c>
      <c r="P776" s="221" t="s">
        <v>17</v>
      </c>
      <c r="Q776" s="221" t="s">
        <v>15</v>
      </c>
      <c r="R776" s="221" t="s">
        <v>283</v>
      </c>
      <c r="S776" s="221" t="s">
        <v>283</v>
      </c>
      <c r="T776" s="221" t="s">
        <v>283</v>
      </c>
      <c r="U776" s="221" t="s">
        <v>283</v>
      </c>
      <c r="V776" s="221" t="s">
        <v>283</v>
      </c>
      <c r="W776" s="222" t="s">
        <v>283</v>
      </c>
      <c r="X776" s="222" t="s">
        <v>283</v>
      </c>
      <c r="Y776" s="223" t="s">
        <v>283</v>
      </c>
    </row>
    <row r="777" spans="1:25">
      <c r="A777" s="217">
        <v>14</v>
      </c>
      <c r="B777" s="218" t="str">
        <f>VLOOKUP(Tabel10[[#This Row],[Code]],Ruimtegroepen[[Code]:[Ruimte omschrijving]],2,FALSE)</f>
        <v>Praktijklokalen</v>
      </c>
      <c r="C777" s="219" t="s">
        <v>928</v>
      </c>
      <c r="D777" s="218" t="s">
        <v>28</v>
      </c>
      <c r="E777" s="219" t="s">
        <v>1313</v>
      </c>
      <c r="F777" s="219" t="s">
        <v>1424</v>
      </c>
      <c r="G777" s="224" t="s">
        <v>283</v>
      </c>
      <c r="H777" s="220" t="s">
        <v>283</v>
      </c>
      <c r="I777" s="220" t="s">
        <v>17</v>
      </c>
      <c r="J777" s="220" t="s">
        <v>283</v>
      </c>
      <c r="K777" s="220" t="s">
        <v>283</v>
      </c>
      <c r="L777" s="220" t="s">
        <v>283</v>
      </c>
      <c r="M777" s="220" t="s">
        <v>283</v>
      </c>
      <c r="N777" s="220" t="s">
        <v>283</v>
      </c>
      <c r="O777" s="221" t="s">
        <v>17</v>
      </c>
      <c r="P777" s="221" t="s">
        <v>17</v>
      </c>
      <c r="Q777" s="221" t="s">
        <v>15</v>
      </c>
      <c r="R777" s="221" t="s">
        <v>283</v>
      </c>
      <c r="S777" s="221" t="s">
        <v>283</v>
      </c>
      <c r="T777" s="221" t="s">
        <v>283</v>
      </c>
      <c r="U777" s="221" t="s">
        <v>283</v>
      </c>
      <c r="V777" s="221" t="s">
        <v>283</v>
      </c>
      <c r="W777" s="222" t="s">
        <v>283</v>
      </c>
      <c r="X777" s="222" t="s">
        <v>283</v>
      </c>
      <c r="Y777" s="223" t="s">
        <v>283</v>
      </c>
    </row>
    <row r="778" spans="1:25">
      <c r="A778" s="217">
        <v>15</v>
      </c>
      <c r="B778" s="218" t="str">
        <f>VLOOKUP(Tabel10[[#This Row],[Code]],Ruimtegroepen[[Code]:[Ruimte omschrijving]],2,FALSE)</f>
        <v>Keuken/pantry</v>
      </c>
      <c r="C778" s="219" t="s">
        <v>933</v>
      </c>
      <c r="D778" s="218" t="s">
        <v>29</v>
      </c>
      <c r="E778" s="219" t="s">
        <v>100</v>
      </c>
      <c r="F778" s="219" t="s">
        <v>934</v>
      </c>
      <c r="G778" s="224" t="s">
        <v>283</v>
      </c>
      <c r="H778" s="220" t="s">
        <v>283</v>
      </c>
      <c r="I778" s="220" t="s">
        <v>283</v>
      </c>
      <c r="J778" s="220" t="s">
        <v>2</v>
      </c>
      <c r="K778" s="220" t="s">
        <v>283</v>
      </c>
      <c r="L778" s="220" t="s">
        <v>283</v>
      </c>
      <c r="M778" s="220" t="s">
        <v>283</v>
      </c>
      <c r="N778" s="220" t="s">
        <v>2</v>
      </c>
      <c r="O778" s="221" t="s">
        <v>2</v>
      </c>
      <c r="P778" s="221" t="s">
        <v>2</v>
      </c>
      <c r="Q778" s="221" t="s">
        <v>15</v>
      </c>
      <c r="R778" s="221" t="s">
        <v>15</v>
      </c>
      <c r="S778" s="221" t="s">
        <v>16</v>
      </c>
      <c r="T778" s="221" t="s">
        <v>330</v>
      </c>
      <c r="U778" s="221" t="s">
        <v>250</v>
      </c>
      <c r="V778" s="221" t="s">
        <v>2</v>
      </c>
      <c r="W778" s="222" t="s">
        <v>283</v>
      </c>
      <c r="X778" s="222" t="s">
        <v>283</v>
      </c>
      <c r="Y778" s="223" t="s">
        <v>283</v>
      </c>
    </row>
    <row r="779" spans="1:25">
      <c r="A779" s="217">
        <v>15</v>
      </c>
      <c r="B779" s="218" t="str">
        <f>VLOOKUP(Tabel10[[#This Row],[Code]],Ruimtegroepen[[Code]:[Ruimte omschrijving]],2,FALSE)</f>
        <v>Keuken/pantry</v>
      </c>
      <c r="C779" s="219" t="s">
        <v>933</v>
      </c>
      <c r="D779" s="218" t="s">
        <v>29</v>
      </c>
      <c r="E779" s="219" t="s">
        <v>99</v>
      </c>
      <c r="F779" s="219" t="s">
        <v>935</v>
      </c>
      <c r="G779" s="224" t="s">
        <v>283</v>
      </c>
      <c r="H779" s="220" t="s">
        <v>2</v>
      </c>
      <c r="I779" s="220" t="s">
        <v>283</v>
      </c>
      <c r="J779" s="220" t="s">
        <v>283</v>
      </c>
      <c r="K779" s="220" t="s">
        <v>283</v>
      </c>
      <c r="L779" s="220" t="s">
        <v>283</v>
      </c>
      <c r="M779" s="220" t="s">
        <v>283</v>
      </c>
      <c r="N779" s="220" t="s">
        <v>2</v>
      </c>
      <c r="O779" s="221" t="s">
        <v>2</v>
      </c>
      <c r="P779" s="221" t="s">
        <v>2</v>
      </c>
      <c r="Q779" s="221" t="s">
        <v>15</v>
      </c>
      <c r="R779" s="221" t="s">
        <v>15</v>
      </c>
      <c r="S779" s="221" t="s">
        <v>16</v>
      </c>
      <c r="T779" s="221" t="s">
        <v>330</v>
      </c>
      <c r="U779" s="221" t="s">
        <v>250</v>
      </c>
      <c r="V779" s="221" t="s">
        <v>2</v>
      </c>
      <c r="W779" s="222" t="s">
        <v>283</v>
      </c>
      <c r="X779" s="222" t="s">
        <v>283</v>
      </c>
      <c r="Y779" s="223" t="s">
        <v>283</v>
      </c>
    </row>
    <row r="780" spans="1:25">
      <c r="A780" s="217">
        <v>15</v>
      </c>
      <c r="B780" s="218" t="str">
        <f>VLOOKUP(Tabel10[[#This Row],[Code]],Ruimtegroepen[[Code]:[Ruimte omschrijving]],2,FALSE)</f>
        <v>Keuken/pantry</v>
      </c>
      <c r="C780" s="219" t="s">
        <v>933</v>
      </c>
      <c r="D780" s="218" t="s">
        <v>29</v>
      </c>
      <c r="E780" s="219" t="s">
        <v>101</v>
      </c>
      <c r="F780" s="219" t="s">
        <v>936</v>
      </c>
      <c r="G780" s="224" t="s">
        <v>283</v>
      </c>
      <c r="H780" s="220" t="s">
        <v>283</v>
      </c>
      <c r="I780" s="220" t="s">
        <v>2</v>
      </c>
      <c r="J780" s="220" t="s">
        <v>283</v>
      </c>
      <c r="K780" s="220" t="s">
        <v>2</v>
      </c>
      <c r="L780" s="220" t="s">
        <v>283</v>
      </c>
      <c r="M780" s="220" t="s">
        <v>283</v>
      </c>
      <c r="N780" s="220" t="s">
        <v>2</v>
      </c>
      <c r="O780" s="221" t="s">
        <v>2</v>
      </c>
      <c r="P780" s="221" t="s">
        <v>2</v>
      </c>
      <c r="Q780" s="221" t="s">
        <v>15</v>
      </c>
      <c r="R780" s="221" t="s">
        <v>15</v>
      </c>
      <c r="S780" s="221" t="s">
        <v>16</v>
      </c>
      <c r="T780" s="221" t="s">
        <v>330</v>
      </c>
      <c r="U780" s="221" t="s">
        <v>250</v>
      </c>
      <c r="V780" s="221" t="s">
        <v>2</v>
      </c>
      <c r="W780" s="222" t="s">
        <v>283</v>
      </c>
      <c r="X780" s="222" t="s">
        <v>283</v>
      </c>
      <c r="Y780" s="223" t="s">
        <v>283</v>
      </c>
    </row>
    <row r="781" spans="1:25">
      <c r="A781" s="217">
        <v>15</v>
      </c>
      <c r="B781" s="218" t="str">
        <f>VLOOKUP(Tabel10[[#This Row],[Code]],Ruimtegroepen[[Code]:[Ruimte omschrijving]],2,FALSE)</f>
        <v>Keuken/pantry</v>
      </c>
      <c r="C781" s="219" t="s">
        <v>933</v>
      </c>
      <c r="D781" s="218" t="s">
        <v>29</v>
      </c>
      <c r="E781" s="219" t="s">
        <v>102</v>
      </c>
      <c r="F781" s="219" t="s">
        <v>937</v>
      </c>
      <c r="G781" s="224" t="s">
        <v>283</v>
      </c>
      <c r="H781" s="220" t="s">
        <v>283</v>
      </c>
      <c r="I781" s="220" t="s">
        <v>2</v>
      </c>
      <c r="J781" s="220" t="s">
        <v>283</v>
      </c>
      <c r="K781" s="220" t="s">
        <v>2</v>
      </c>
      <c r="L781" s="220" t="s">
        <v>283</v>
      </c>
      <c r="M781" s="220" t="s">
        <v>283</v>
      </c>
      <c r="N781" s="220" t="s">
        <v>2</v>
      </c>
      <c r="O781" s="221" t="s">
        <v>2</v>
      </c>
      <c r="P781" s="221" t="s">
        <v>2</v>
      </c>
      <c r="Q781" s="221" t="s">
        <v>15</v>
      </c>
      <c r="R781" s="221" t="s">
        <v>15</v>
      </c>
      <c r="S781" s="221" t="s">
        <v>16</v>
      </c>
      <c r="T781" s="221" t="s">
        <v>330</v>
      </c>
      <c r="U781" s="221" t="s">
        <v>250</v>
      </c>
      <c r="V781" s="221" t="s">
        <v>2</v>
      </c>
      <c r="W781" s="222" t="s">
        <v>283</v>
      </c>
      <c r="X781" s="222" t="s">
        <v>283</v>
      </c>
      <c r="Y781" s="223" t="s">
        <v>283</v>
      </c>
    </row>
    <row r="782" spans="1:25">
      <c r="A782" s="217">
        <v>15</v>
      </c>
      <c r="B782" s="218" t="str">
        <f>VLOOKUP(Tabel10[[#This Row],[Code]],Ruimtegroepen[[Code]:[Ruimte omschrijving]],2,FALSE)</f>
        <v>Keuken/pantry</v>
      </c>
      <c r="C782" s="219" t="s">
        <v>933</v>
      </c>
      <c r="D782" s="218" t="s">
        <v>29</v>
      </c>
      <c r="E782" s="219" t="s">
        <v>99</v>
      </c>
      <c r="F782" s="219" t="s">
        <v>935</v>
      </c>
      <c r="G782" s="224" t="s">
        <v>283</v>
      </c>
      <c r="H782" s="220" t="s">
        <v>2</v>
      </c>
      <c r="I782" s="220" t="s">
        <v>283</v>
      </c>
      <c r="J782" s="220" t="s">
        <v>283</v>
      </c>
      <c r="K782" s="220" t="s">
        <v>283</v>
      </c>
      <c r="L782" s="220" t="s">
        <v>283</v>
      </c>
      <c r="M782" s="220" t="s">
        <v>283</v>
      </c>
      <c r="N782" s="220" t="s">
        <v>2</v>
      </c>
      <c r="O782" s="221" t="s">
        <v>2</v>
      </c>
      <c r="P782" s="221" t="s">
        <v>2</v>
      </c>
      <c r="Q782" s="221" t="s">
        <v>15</v>
      </c>
      <c r="R782" s="221" t="s">
        <v>15</v>
      </c>
      <c r="S782" s="221" t="s">
        <v>16</v>
      </c>
      <c r="T782" s="221" t="s">
        <v>330</v>
      </c>
      <c r="U782" s="221" t="s">
        <v>250</v>
      </c>
      <c r="V782" s="221" t="s">
        <v>2</v>
      </c>
      <c r="W782" s="222" t="s">
        <v>283</v>
      </c>
      <c r="X782" s="222" t="s">
        <v>283</v>
      </c>
      <c r="Y782" s="223" t="s">
        <v>283</v>
      </c>
    </row>
    <row r="783" spans="1:25">
      <c r="A783" s="217">
        <v>15</v>
      </c>
      <c r="B783" s="218" t="str">
        <f>VLOOKUP(Tabel10[[#This Row],[Code]],Ruimtegroepen[[Code]:[Ruimte omschrijving]],2,FALSE)</f>
        <v>Keuken/pantry</v>
      </c>
      <c r="C783" s="219" t="s">
        <v>933</v>
      </c>
      <c r="D783" s="218" t="s">
        <v>29</v>
      </c>
      <c r="E783" s="219" t="s">
        <v>1313</v>
      </c>
      <c r="F783" s="219" t="s">
        <v>1492</v>
      </c>
      <c r="G783" s="224" t="s">
        <v>283</v>
      </c>
      <c r="H783" s="220" t="s">
        <v>283</v>
      </c>
      <c r="I783" s="220" t="s">
        <v>2</v>
      </c>
      <c r="J783" s="220" t="s">
        <v>283</v>
      </c>
      <c r="K783" s="220" t="s">
        <v>2</v>
      </c>
      <c r="L783" s="220" t="s">
        <v>283</v>
      </c>
      <c r="M783" s="220" t="s">
        <v>283</v>
      </c>
      <c r="N783" s="220" t="s">
        <v>2</v>
      </c>
      <c r="O783" s="221" t="s">
        <v>2</v>
      </c>
      <c r="P783" s="221" t="s">
        <v>2</v>
      </c>
      <c r="Q783" s="221" t="s">
        <v>15</v>
      </c>
      <c r="R783" s="221" t="s">
        <v>15</v>
      </c>
      <c r="S783" s="221" t="s">
        <v>16</v>
      </c>
      <c r="T783" s="221" t="s">
        <v>330</v>
      </c>
      <c r="U783" s="221" t="s">
        <v>250</v>
      </c>
      <c r="V783" s="221" t="s">
        <v>2</v>
      </c>
      <c r="W783" s="222" t="s">
        <v>283</v>
      </c>
      <c r="X783" s="222" t="s">
        <v>283</v>
      </c>
      <c r="Y783" s="223" t="s">
        <v>283</v>
      </c>
    </row>
    <row r="784" spans="1:25">
      <c r="A784" s="217">
        <v>15</v>
      </c>
      <c r="B784" s="218" t="str">
        <f>VLOOKUP(Tabel10[[#This Row],[Code]],Ruimtegroepen[[Code]:[Ruimte omschrijving]],2,FALSE)</f>
        <v>Keuken/pantry</v>
      </c>
      <c r="C784" s="219" t="s">
        <v>938</v>
      </c>
      <c r="D784" s="218" t="s">
        <v>1</v>
      </c>
      <c r="E784" s="219" t="s">
        <v>100</v>
      </c>
      <c r="F784" s="219" t="s">
        <v>939</v>
      </c>
      <c r="G784" s="224" t="s">
        <v>283</v>
      </c>
      <c r="H784" s="220" t="s">
        <v>283</v>
      </c>
      <c r="I784" s="220" t="s">
        <v>283</v>
      </c>
      <c r="J784" s="220" t="s">
        <v>2</v>
      </c>
      <c r="K784" s="220" t="s">
        <v>283</v>
      </c>
      <c r="L784" s="220" t="s">
        <v>283</v>
      </c>
      <c r="M784" s="220" t="s">
        <v>283</v>
      </c>
      <c r="N784" s="220" t="s">
        <v>283</v>
      </c>
      <c r="O784" s="221" t="s">
        <v>2</v>
      </c>
      <c r="P784" s="221" t="s">
        <v>2</v>
      </c>
      <c r="Q784" s="221" t="s">
        <v>15</v>
      </c>
      <c r="R784" s="221" t="s">
        <v>15</v>
      </c>
      <c r="S784" s="221" t="s">
        <v>16</v>
      </c>
      <c r="T784" s="221" t="s">
        <v>330</v>
      </c>
      <c r="U784" s="221" t="s">
        <v>250</v>
      </c>
      <c r="V784" s="221" t="s">
        <v>283</v>
      </c>
      <c r="W784" s="222" t="s">
        <v>283</v>
      </c>
      <c r="X784" s="222" t="s">
        <v>283</v>
      </c>
      <c r="Y784" s="223" t="s">
        <v>283</v>
      </c>
    </row>
    <row r="785" spans="1:25">
      <c r="A785" s="217">
        <v>15</v>
      </c>
      <c r="B785" s="218" t="str">
        <f>VLOOKUP(Tabel10[[#This Row],[Code]],Ruimtegroepen[[Code]:[Ruimte omschrijving]],2,FALSE)</f>
        <v>Keuken/pantry</v>
      </c>
      <c r="C785" s="219" t="s">
        <v>938</v>
      </c>
      <c r="D785" s="218" t="s">
        <v>1</v>
      </c>
      <c r="E785" s="219" t="s">
        <v>99</v>
      </c>
      <c r="F785" s="219" t="s">
        <v>940</v>
      </c>
      <c r="G785" s="224" t="s">
        <v>283</v>
      </c>
      <c r="H785" s="220" t="s">
        <v>2</v>
      </c>
      <c r="I785" s="220" t="s">
        <v>283</v>
      </c>
      <c r="J785" s="220" t="s">
        <v>283</v>
      </c>
      <c r="K785" s="220" t="s">
        <v>283</v>
      </c>
      <c r="L785" s="220" t="s">
        <v>283</v>
      </c>
      <c r="M785" s="220" t="s">
        <v>283</v>
      </c>
      <c r="N785" s="220" t="s">
        <v>283</v>
      </c>
      <c r="O785" s="221" t="s">
        <v>2</v>
      </c>
      <c r="P785" s="221" t="s">
        <v>2</v>
      </c>
      <c r="Q785" s="221" t="s">
        <v>15</v>
      </c>
      <c r="R785" s="221" t="s">
        <v>15</v>
      </c>
      <c r="S785" s="221" t="s">
        <v>16</v>
      </c>
      <c r="T785" s="221" t="s">
        <v>330</v>
      </c>
      <c r="U785" s="221" t="s">
        <v>250</v>
      </c>
      <c r="V785" s="221" t="s">
        <v>283</v>
      </c>
      <c r="W785" s="222" t="s">
        <v>283</v>
      </c>
      <c r="X785" s="222" t="s">
        <v>283</v>
      </c>
      <c r="Y785" s="223" t="s">
        <v>283</v>
      </c>
    </row>
    <row r="786" spans="1:25">
      <c r="A786" s="217">
        <v>15</v>
      </c>
      <c r="B786" s="218" t="str">
        <f>VLOOKUP(Tabel10[[#This Row],[Code]],Ruimtegroepen[[Code]:[Ruimte omschrijving]],2,FALSE)</f>
        <v>Keuken/pantry</v>
      </c>
      <c r="C786" s="219" t="s">
        <v>938</v>
      </c>
      <c r="D786" s="218" t="s">
        <v>1</v>
      </c>
      <c r="E786" s="219" t="s">
        <v>101</v>
      </c>
      <c r="F786" s="219" t="s">
        <v>941</v>
      </c>
      <c r="G786" s="224" t="s">
        <v>283</v>
      </c>
      <c r="H786" s="220" t="s">
        <v>283</v>
      </c>
      <c r="I786" s="220" t="s">
        <v>2</v>
      </c>
      <c r="J786" s="220" t="s">
        <v>283</v>
      </c>
      <c r="K786" s="220" t="s">
        <v>2</v>
      </c>
      <c r="L786" s="220" t="s">
        <v>283</v>
      </c>
      <c r="M786" s="220" t="s">
        <v>283</v>
      </c>
      <c r="N786" s="220" t="s">
        <v>283</v>
      </c>
      <c r="O786" s="221" t="s">
        <v>2</v>
      </c>
      <c r="P786" s="221" t="s">
        <v>2</v>
      </c>
      <c r="Q786" s="221" t="s">
        <v>15</v>
      </c>
      <c r="R786" s="221" t="s">
        <v>15</v>
      </c>
      <c r="S786" s="221" t="s">
        <v>16</v>
      </c>
      <c r="T786" s="221" t="s">
        <v>330</v>
      </c>
      <c r="U786" s="221" t="s">
        <v>250</v>
      </c>
      <c r="V786" s="221" t="s">
        <v>283</v>
      </c>
      <c r="W786" s="222" t="s">
        <v>283</v>
      </c>
      <c r="X786" s="222" t="s">
        <v>283</v>
      </c>
      <c r="Y786" s="223" t="s">
        <v>283</v>
      </c>
    </row>
    <row r="787" spans="1:25">
      <c r="A787" s="217">
        <v>15</v>
      </c>
      <c r="B787" s="218" t="str">
        <f>VLOOKUP(Tabel10[[#This Row],[Code]],Ruimtegroepen[[Code]:[Ruimte omschrijving]],2,FALSE)</f>
        <v>Keuken/pantry</v>
      </c>
      <c r="C787" s="219" t="s">
        <v>938</v>
      </c>
      <c r="D787" s="218" t="s">
        <v>1</v>
      </c>
      <c r="E787" s="219" t="s">
        <v>102</v>
      </c>
      <c r="F787" s="219" t="s">
        <v>942</v>
      </c>
      <c r="G787" s="224" t="s">
        <v>283</v>
      </c>
      <c r="H787" s="220" t="s">
        <v>283</v>
      </c>
      <c r="I787" s="220" t="s">
        <v>2</v>
      </c>
      <c r="J787" s="220" t="s">
        <v>283</v>
      </c>
      <c r="K787" s="220" t="s">
        <v>2</v>
      </c>
      <c r="L787" s="220" t="s">
        <v>283</v>
      </c>
      <c r="M787" s="220" t="s">
        <v>283</v>
      </c>
      <c r="N787" s="220" t="s">
        <v>283</v>
      </c>
      <c r="O787" s="221" t="s">
        <v>2</v>
      </c>
      <c r="P787" s="221" t="s">
        <v>2</v>
      </c>
      <c r="Q787" s="221" t="s">
        <v>15</v>
      </c>
      <c r="R787" s="221" t="s">
        <v>15</v>
      </c>
      <c r="S787" s="221" t="s">
        <v>16</v>
      </c>
      <c r="T787" s="221" t="s">
        <v>330</v>
      </c>
      <c r="U787" s="221" t="s">
        <v>250</v>
      </c>
      <c r="V787" s="221" t="s">
        <v>283</v>
      </c>
      <c r="W787" s="222" t="s">
        <v>283</v>
      </c>
      <c r="X787" s="222" t="s">
        <v>283</v>
      </c>
      <c r="Y787" s="223" t="s">
        <v>283</v>
      </c>
    </row>
    <row r="788" spans="1:25">
      <c r="A788" s="217">
        <v>15</v>
      </c>
      <c r="B788" s="218" t="str">
        <f>VLOOKUP(Tabel10[[#This Row],[Code]],Ruimtegroepen[[Code]:[Ruimte omschrijving]],2,FALSE)</f>
        <v>Keuken/pantry</v>
      </c>
      <c r="C788" s="219" t="s">
        <v>938</v>
      </c>
      <c r="D788" s="218" t="s">
        <v>1</v>
      </c>
      <c r="E788" s="219" t="s">
        <v>99</v>
      </c>
      <c r="F788" s="219" t="s">
        <v>940</v>
      </c>
      <c r="G788" s="224" t="s">
        <v>283</v>
      </c>
      <c r="H788" s="220" t="s">
        <v>2</v>
      </c>
      <c r="I788" s="220" t="s">
        <v>283</v>
      </c>
      <c r="J788" s="220" t="s">
        <v>283</v>
      </c>
      <c r="K788" s="220" t="s">
        <v>283</v>
      </c>
      <c r="L788" s="220" t="s">
        <v>283</v>
      </c>
      <c r="M788" s="220" t="s">
        <v>283</v>
      </c>
      <c r="N788" s="220" t="s">
        <v>283</v>
      </c>
      <c r="O788" s="221" t="s">
        <v>2</v>
      </c>
      <c r="P788" s="221" t="s">
        <v>2</v>
      </c>
      <c r="Q788" s="221" t="s">
        <v>15</v>
      </c>
      <c r="R788" s="221" t="s">
        <v>15</v>
      </c>
      <c r="S788" s="221" t="s">
        <v>16</v>
      </c>
      <c r="T788" s="221" t="s">
        <v>330</v>
      </c>
      <c r="U788" s="221" t="s">
        <v>250</v>
      </c>
      <c r="V788" s="221" t="s">
        <v>283</v>
      </c>
      <c r="W788" s="222" t="s">
        <v>283</v>
      </c>
      <c r="X788" s="222" t="s">
        <v>283</v>
      </c>
      <c r="Y788" s="223" t="s">
        <v>283</v>
      </c>
    </row>
    <row r="789" spans="1:25">
      <c r="A789" s="217">
        <v>15</v>
      </c>
      <c r="B789" s="218" t="str">
        <f>VLOOKUP(Tabel10[[#This Row],[Code]],Ruimtegroepen[[Code]:[Ruimte omschrijving]],2,FALSE)</f>
        <v>Keuken/pantry</v>
      </c>
      <c r="C789" s="219" t="s">
        <v>938</v>
      </c>
      <c r="D789" s="218" t="s">
        <v>1</v>
      </c>
      <c r="E789" s="219" t="s">
        <v>1313</v>
      </c>
      <c r="F789" s="219" t="s">
        <v>1476</v>
      </c>
      <c r="G789" s="224" t="s">
        <v>283</v>
      </c>
      <c r="H789" s="220" t="s">
        <v>283</v>
      </c>
      <c r="I789" s="220" t="s">
        <v>2</v>
      </c>
      <c r="J789" s="220" t="s">
        <v>283</v>
      </c>
      <c r="K789" s="220" t="s">
        <v>2</v>
      </c>
      <c r="L789" s="220" t="s">
        <v>283</v>
      </c>
      <c r="M789" s="220" t="s">
        <v>283</v>
      </c>
      <c r="N789" s="220" t="s">
        <v>283</v>
      </c>
      <c r="O789" s="221" t="s">
        <v>2</v>
      </c>
      <c r="P789" s="221" t="s">
        <v>2</v>
      </c>
      <c r="Q789" s="221" t="s">
        <v>15</v>
      </c>
      <c r="R789" s="221" t="s">
        <v>15</v>
      </c>
      <c r="S789" s="221" t="s">
        <v>16</v>
      </c>
      <c r="T789" s="221" t="s">
        <v>330</v>
      </c>
      <c r="U789" s="221" t="s">
        <v>250</v>
      </c>
      <c r="V789" s="221" t="s">
        <v>283</v>
      </c>
      <c r="W789" s="222" t="s">
        <v>283</v>
      </c>
      <c r="X789" s="222" t="s">
        <v>283</v>
      </c>
      <c r="Y789" s="223" t="s">
        <v>283</v>
      </c>
    </row>
    <row r="790" spans="1:25">
      <c r="A790" s="217">
        <v>15</v>
      </c>
      <c r="B790" s="218" t="str">
        <f>VLOOKUP(Tabel10[[#This Row],[Code]],Ruimtegroepen[[Code]:[Ruimte omschrijving]],2,FALSE)</f>
        <v>Keuken/pantry</v>
      </c>
      <c r="C790" s="219" t="s">
        <v>943</v>
      </c>
      <c r="D790" s="218" t="s">
        <v>21</v>
      </c>
      <c r="E790" s="219" t="s">
        <v>100</v>
      </c>
      <c r="F790" s="219" t="s">
        <v>944</v>
      </c>
      <c r="G790" s="224" t="s">
        <v>283</v>
      </c>
      <c r="H790" s="220" t="s">
        <v>283</v>
      </c>
      <c r="I790" s="220" t="s">
        <v>283</v>
      </c>
      <c r="J790" s="220" t="s">
        <v>20</v>
      </c>
      <c r="K790" s="220" t="s">
        <v>283</v>
      </c>
      <c r="L790" s="220" t="s">
        <v>283</v>
      </c>
      <c r="M790" s="220" t="s">
        <v>283</v>
      </c>
      <c r="N790" s="220" t="s">
        <v>283</v>
      </c>
      <c r="O790" s="221" t="s">
        <v>20</v>
      </c>
      <c r="P790" s="221" t="s">
        <v>20</v>
      </c>
      <c r="Q790" s="221" t="s">
        <v>15</v>
      </c>
      <c r="R790" s="221" t="s">
        <v>15</v>
      </c>
      <c r="S790" s="221" t="s">
        <v>16</v>
      </c>
      <c r="T790" s="221" t="s">
        <v>330</v>
      </c>
      <c r="U790" s="221" t="s">
        <v>250</v>
      </c>
      <c r="V790" s="221" t="s">
        <v>283</v>
      </c>
      <c r="W790" s="222" t="s">
        <v>283</v>
      </c>
      <c r="X790" s="222" t="s">
        <v>283</v>
      </c>
      <c r="Y790" s="223" t="s">
        <v>283</v>
      </c>
    </row>
    <row r="791" spans="1:25">
      <c r="A791" s="217">
        <v>15</v>
      </c>
      <c r="B791" s="218" t="str">
        <f>VLOOKUP(Tabel10[[#This Row],[Code]],Ruimtegroepen[[Code]:[Ruimte omschrijving]],2,FALSE)</f>
        <v>Keuken/pantry</v>
      </c>
      <c r="C791" s="219" t="s">
        <v>943</v>
      </c>
      <c r="D791" s="218" t="s">
        <v>21</v>
      </c>
      <c r="E791" s="219" t="s">
        <v>99</v>
      </c>
      <c r="F791" s="219" t="s">
        <v>945</v>
      </c>
      <c r="G791" s="224" t="s">
        <v>283</v>
      </c>
      <c r="H791" s="220" t="s">
        <v>20</v>
      </c>
      <c r="I791" s="220" t="s">
        <v>283</v>
      </c>
      <c r="J791" s="220" t="s">
        <v>283</v>
      </c>
      <c r="K791" s="220" t="s">
        <v>283</v>
      </c>
      <c r="L791" s="220" t="s">
        <v>283</v>
      </c>
      <c r="M791" s="220" t="s">
        <v>283</v>
      </c>
      <c r="N791" s="220" t="s">
        <v>283</v>
      </c>
      <c r="O791" s="221" t="s">
        <v>20</v>
      </c>
      <c r="P791" s="221" t="s">
        <v>20</v>
      </c>
      <c r="Q791" s="221" t="s">
        <v>15</v>
      </c>
      <c r="R791" s="221" t="s">
        <v>15</v>
      </c>
      <c r="S791" s="221" t="s">
        <v>16</v>
      </c>
      <c r="T791" s="221" t="s">
        <v>330</v>
      </c>
      <c r="U791" s="221" t="s">
        <v>250</v>
      </c>
      <c r="V791" s="221" t="s">
        <v>283</v>
      </c>
      <c r="W791" s="222" t="s">
        <v>283</v>
      </c>
      <c r="X791" s="222" t="s">
        <v>283</v>
      </c>
      <c r="Y791" s="223" t="s">
        <v>283</v>
      </c>
    </row>
    <row r="792" spans="1:25">
      <c r="A792" s="217">
        <v>15</v>
      </c>
      <c r="B792" s="218" t="str">
        <f>VLOOKUP(Tabel10[[#This Row],[Code]],Ruimtegroepen[[Code]:[Ruimte omschrijving]],2,FALSE)</f>
        <v>Keuken/pantry</v>
      </c>
      <c r="C792" s="219" t="s">
        <v>943</v>
      </c>
      <c r="D792" s="218" t="s">
        <v>21</v>
      </c>
      <c r="E792" s="219" t="s">
        <v>101</v>
      </c>
      <c r="F792" s="219" t="s">
        <v>946</v>
      </c>
      <c r="G792" s="224" t="s">
        <v>283</v>
      </c>
      <c r="H792" s="220" t="s">
        <v>283</v>
      </c>
      <c r="I792" s="220" t="s">
        <v>20</v>
      </c>
      <c r="J792" s="220" t="s">
        <v>283</v>
      </c>
      <c r="K792" s="220" t="s">
        <v>20</v>
      </c>
      <c r="L792" s="220" t="s">
        <v>283</v>
      </c>
      <c r="M792" s="220" t="s">
        <v>283</v>
      </c>
      <c r="N792" s="220" t="s">
        <v>283</v>
      </c>
      <c r="O792" s="221" t="s">
        <v>20</v>
      </c>
      <c r="P792" s="221" t="s">
        <v>20</v>
      </c>
      <c r="Q792" s="221" t="s">
        <v>15</v>
      </c>
      <c r="R792" s="221" t="s">
        <v>15</v>
      </c>
      <c r="S792" s="221" t="s">
        <v>16</v>
      </c>
      <c r="T792" s="221" t="s">
        <v>330</v>
      </c>
      <c r="U792" s="221" t="s">
        <v>250</v>
      </c>
      <c r="V792" s="221" t="s">
        <v>283</v>
      </c>
      <c r="W792" s="222" t="s">
        <v>283</v>
      </c>
      <c r="X792" s="222" t="s">
        <v>283</v>
      </c>
      <c r="Y792" s="223" t="s">
        <v>283</v>
      </c>
    </row>
    <row r="793" spans="1:25">
      <c r="A793" s="217">
        <v>15</v>
      </c>
      <c r="B793" s="218" t="str">
        <f>VLOOKUP(Tabel10[[#This Row],[Code]],Ruimtegroepen[[Code]:[Ruimte omschrijving]],2,FALSE)</f>
        <v>Keuken/pantry</v>
      </c>
      <c r="C793" s="219" t="s">
        <v>943</v>
      </c>
      <c r="D793" s="218" t="s">
        <v>21</v>
      </c>
      <c r="E793" s="219" t="s">
        <v>102</v>
      </c>
      <c r="F793" s="219" t="s">
        <v>947</v>
      </c>
      <c r="G793" s="224" t="s">
        <v>283</v>
      </c>
      <c r="H793" s="220" t="s">
        <v>283</v>
      </c>
      <c r="I793" s="220" t="s">
        <v>20</v>
      </c>
      <c r="J793" s="220" t="s">
        <v>283</v>
      </c>
      <c r="K793" s="220" t="s">
        <v>20</v>
      </c>
      <c r="L793" s="220" t="s">
        <v>283</v>
      </c>
      <c r="M793" s="220" t="s">
        <v>283</v>
      </c>
      <c r="N793" s="220" t="s">
        <v>283</v>
      </c>
      <c r="O793" s="221" t="s">
        <v>20</v>
      </c>
      <c r="P793" s="221" t="s">
        <v>20</v>
      </c>
      <c r="Q793" s="221" t="s">
        <v>15</v>
      </c>
      <c r="R793" s="221" t="s">
        <v>15</v>
      </c>
      <c r="S793" s="221" t="s">
        <v>16</v>
      </c>
      <c r="T793" s="221" t="s">
        <v>330</v>
      </c>
      <c r="U793" s="221" t="s">
        <v>250</v>
      </c>
      <c r="V793" s="221" t="s">
        <v>283</v>
      </c>
      <c r="W793" s="222" t="s">
        <v>283</v>
      </c>
      <c r="X793" s="222" t="s">
        <v>283</v>
      </c>
      <c r="Y793" s="223" t="s">
        <v>283</v>
      </c>
    </row>
    <row r="794" spans="1:25">
      <c r="A794" s="217">
        <v>15</v>
      </c>
      <c r="B794" s="218" t="str">
        <f>VLOOKUP(Tabel10[[#This Row],[Code]],Ruimtegroepen[[Code]:[Ruimte omschrijving]],2,FALSE)</f>
        <v>Keuken/pantry</v>
      </c>
      <c r="C794" s="219" t="s">
        <v>943</v>
      </c>
      <c r="D794" s="218" t="s">
        <v>21</v>
      </c>
      <c r="E794" s="219" t="s">
        <v>99</v>
      </c>
      <c r="F794" s="219" t="s">
        <v>945</v>
      </c>
      <c r="G794" s="224" t="s">
        <v>283</v>
      </c>
      <c r="H794" s="220" t="s">
        <v>20</v>
      </c>
      <c r="I794" s="220" t="s">
        <v>283</v>
      </c>
      <c r="J794" s="220" t="s">
        <v>283</v>
      </c>
      <c r="K794" s="220" t="s">
        <v>283</v>
      </c>
      <c r="L794" s="220" t="s">
        <v>283</v>
      </c>
      <c r="M794" s="220" t="s">
        <v>283</v>
      </c>
      <c r="N794" s="220" t="s">
        <v>283</v>
      </c>
      <c r="O794" s="221" t="s">
        <v>20</v>
      </c>
      <c r="P794" s="221" t="s">
        <v>20</v>
      </c>
      <c r="Q794" s="221" t="s">
        <v>15</v>
      </c>
      <c r="R794" s="221" t="s">
        <v>15</v>
      </c>
      <c r="S794" s="221" t="s">
        <v>16</v>
      </c>
      <c r="T794" s="221" t="s">
        <v>330</v>
      </c>
      <c r="U794" s="221" t="s">
        <v>250</v>
      </c>
      <c r="V794" s="221" t="s">
        <v>283</v>
      </c>
      <c r="W794" s="222" t="s">
        <v>283</v>
      </c>
      <c r="X794" s="222" t="s">
        <v>283</v>
      </c>
      <c r="Y794" s="223" t="s">
        <v>283</v>
      </c>
    </row>
    <row r="795" spans="1:25">
      <c r="A795" s="217">
        <v>15</v>
      </c>
      <c r="B795" s="218" t="str">
        <f>VLOOKUP(Tabel10[[#This Row],[Code]],Ruimtegroepen[[Code]:[Ruimte omschrijving]],2,FALSE)</f>
        <v>Keuken/pantry</v>
      </c>
      <c r="C795" s="219" t="s">
        <v>943</v>
      </c>
      <c r="D795" s="218" t="s">
        <v>21</v>
      </c>
      <c r="E795" s="219" t="s">
        <v>1313</v>
      </c>
      <c r="F795" s="219" t="s">
        <v>1459</v>
      </c>
      <c r="G795" s="224" t="s">
        <v>283</v>
      </c>
      <c r="H795" s="220" t="s">
        <v>283</v>
      </c>
      <c r="I795" s="220" t="s">
        <v>20</v>
      </c>
      <c r="J795" s="220" t="s">
        <v>283</v>
      </c>
      <c r="K795" s="220" t="s">
        <v>20</v>
      </c>
      <c r="L795" s="220" t="s">
        <v>283</v>
      </c>
      <c r="M795" s="220" t="s">
        <v>283</v>
      </c>
      <c r="N795" s="220" t="s">
        <v>283</v>
      </c>
      <c r="O795" s="221" t="s">
        <v>20</v>
      </c>
      <c r="P795" s="221" t="s">
        <v>20</v>
      </c>
      <c r="Q795" s="221" t="s">
        <v>15</v>
      </c>
      <c r="R795" s="221" t="s">
        <v>15</v>
      </c>
      <c r="S795" s="221" t="s">
        <v>16</v>
      </c>
      <c r="T795" s="221" t="s">
        <v>330</v>
      </c>
      <c r="U795" s="221" t="s">
        <v>250</v>
      </c>
      <c r="V795" s="221" t="s">
        <v>283</v>
      </c>
      <c r="W795" s="222" t="s">
        <v>283</v>
      </c>
      <c r="X795" s="222" t="s">
        <v>283</v>
      </c>
      <c r="Y795" s="223" t="s">
        <v>283</v>
      </c>
    </row>
    <row r="796" spans="1:25">
      <c r="A796" s="217">
        <v>15</v>
      </c>
      <c r="B796" s="218" t="str">
        <f>VLOOKUP(Tabel10[[#This Row],[Code]],Ruimtegroepen[[Code]:[Ruimte omschrijving]],2,FALSE)</f>
        <v>Keuken/pantry</v>
      </c>
      <c r="C796" s="219" t="s">
        <v>948</v>
      </c>
      <c r="D796" s="218" t="s">
        <v>12</v>
      </c>
      <c r="E796" s="219" t="s">
        <v>100</v>
      </c>
      <c r="F796" s="219" t="s">
        <v>949</v>
      </c>
      <c r="G796" s="224" t="s">
        <v>283</v>
      </c>
      <c r="H796" s="220" t="s">
        <v>283</v>
      </c>
      <c r="I796" s="220" t="s">
        <v>283</v>
      </c>
      <c r="J796" s="220" t="s">
        <v>18</v>
      </c>
      <c r="K796" s="220" t="s">
        <v>283</v>
      </c>
      <c r="L796" s="220" t="s">
        <v>283</v>
      </c>
      <c r="M796" s="220" t="s">
        <v>283</v>
      </c>
      <c r="N796" s="220" t="s">
        <v>283</v>
      </c>
      <c r="O796" s="221" t="s">
        <v>18</v>
      </c>
      <c r="P796" s="221" t="s">
        <v>18</v>
      </c>
      <c r="Q796" s="221" t="s">
        <v>15</v>
      </c>
      <c r="R796" s="221" t="s">
        <v>15</v>
      </c>
      <c r="S796" s="221" t="s">
        <v>16</v>
      </c>
      <c r="T796" s="221" t="s">
        <v>330</v>
      </c>
      <c r="U796" s="221" t="s">
        <v>250</v>
      </c>
      <c r="V796" s="221" t="s">
        <v>283</v>
      </c>
      <c r="W796" s="222" t="s">
        <v>283</v>
      </c>
      <c r="X796" s="222" t="s">
        <v>283</v>
      </c>
      <c r="Y796" s="223" t="s">
        <v>283</v>
      </c>
    </row>
    <row r="797" spans="1:25">
      <c r="A797" s="217">
        <v>15</v>
      </c>
      <c r="B797" s="218" t="str">
        <f>VLOOKUP(Tabel10[[#This Row],[Code]],Ruimtegroepen[[Code]:[Ruimte omschrijving]],2,FALSE)</f>
        <v>Keuken/pantry</v>
      </c>
      <c r="C797" s="219" t="s">
        <v>948</v>
      </c>
      <c r="D797" s="218" t="s">
        <v>12</v>
      </c>
      <c r="E797" s="219" t="s">
        <v>99</v>
      </c>
      <c r="F797" s="219" t="s">
        <v>950</v>
      </c>
      <c r="G797" s="224" t="s">
        <v>283</v>
      </c>
      <c r="H797" s="220" t="s">
        <v>18</v>
      </c>
      <c r="I797" s="220" t="s">
        <v>283</v>
      </c>
      <c r="J797" s="220" t="s">
        <v>283</v>
      </c>
      <c r="K797" s="220" t="s">
        <v>283</v>
      </c>
      <c r="L797" s="220" t="s">
        <v>283</v>
      </c>
      <c r="M797" s="220" t="s">
        <v>283</v>
      </c>
      <c r="N797" s="220" t="s">
        <v>283</v>
      </c>
      <c r="O797" s="221" t="s">
        <v>18</v>
      </c>
      <c r="P797" s="221" t="s">
        <v>18</v>
      </c>
      <c r="Q797" s="221" t="s">
        <v>15</v>
      </c>
      <c r="R797" s="221" t="s">
        <v>15</v>
      </c>
      <c r="S797" s="221" t="s">
        <v>16</v>
      </c>
      <c r="T797" s="221" t="s">
        <v>330</v>
      </c>
      <c r="U797" s="221" t="s">
        <v>250</v>
      </c>
      <c r="V797" s="221" t="s">
        <v>283</v>
      </c>
      <c r="W797" s="222" t="s">
        <v>283</v>
      </c>
      <c r="X797" s="222" t="s">
        <v>283</v>
      </c>
      <c r="Y797" s="223" t="s">
        <v>283</v>
      </c>
    </row>
    <row r="798" spans="1:25">
      <c r="A798" s="217">
        <v>15</v>
      </c>
      <c r="B798" s="218" t="str">
        <f>VLOOKUP(Tabel10[[#This Row],[Code]],Ruimtegroepen[[Code]:[Ruimte omschrijving]],2,FALSE)</f>
        <v>Keuken/pantry</v>
      </c>
      <c r="C798" s="219" t="s">
        <v>948</v>
      </c>
      <c r="D798" s="218" t="s">
        <v>12</v>
      </c>
      <c r="E798" s="219" t="s">
        <v>101</v>
      </c>
      <c r="F798" s="219" t="s">
        <v>951</v>
      </c>
      <c r="G798" s="224" t="s">
        <v>283</v>
      </c>
      <c r="H798" s="220" t="s">
        <v>283</v>
      </c>
      <c r="I798" s="220" t="s">
        <v>18</v>
      </c>
      <c r="J798" s="220" t="s">
        <v>283</v>
      </c>
      <c r="K798" s="220" t="s">
        <v>18</v>
      </c>
      <c r="L798" s="220" t="s">
        <v>283</v>
      </c>
      <c r="M798" s="220" t="s">
        <v>283</v>
      </c>
      <c r="N798" s="220" t="s">
        <v>283</v>
      </c>
      <c r="O798" s="221" t="s">
        <v>18</v>
      </c>
      <c r="P798" s="221" t="s">
        <v>18</v>
      </c>
      <c r="Q798" s="221" t="s">
        <v>15</v>
      </c>
      <c r="R798" s="221" t="s">
        <v>15</v>
      </c>
      <c r="S798" s="221" t="s">
        <v>16</v>
      </c>
      <c r="T798" s="221" t="s">
        <v>330</v>
      </c>
      <c r="U798" s="221" t="s">
        <v>250</v>
      </c>
      <c r="V798" s="221" t="s">
        <v>283</v>
      </c>
      <c r="W798" s="222" t="s">
        <v>283</v>
      </c>
      <c r="X798" s="222" t="s">
        <v>283</v>
      </c>
      <c r="Y798" s="223" t="s">
        <v>283</v>
      </c>
    </row>
    <row r="799" spans="1:25">
      <c r="A799" s="217">
        <v>15</v>
      </c>
      <c r="B799" s="218" t="str">
        <f>VLOOKUP(Tabel10[[#This Row],[Code]],Ruimtegroepen[[Code]:[Ruimte omschrijving]],2,FALSE)</f>
        <v>Keuken/pantry</v>
      </c>
      <c r="C799" s="219" t="s">
        <v>948</v>
      </c>
      <c r="D799" s="218" t="s">
        <v>12</v>
      </c>
      <c r="E799" s="219" t="s">
        <v>102</v>
      </c>
      <c r="F799" s="219" t="s">
        <v>952</v>
      </c>
      <c r="G799" s="224" t="s">
        <v>283</v>
      </c>
      <c r="H799" s="220" t="s">
        <v>283</v>
      </c>
      <c r="I799" s="220" t="s">
        <v>18</v>
      </c>
      <c r="J799" s="220" t="s">
        <v>283</v>
      </c>
      <c r="K799" s="220" t="s">
        <v>18</v>
      </c>
      <c r="L799" s="220" t="s">
        <v>283</v>
      </c>
      <c r="M799" s="220" t="s">
        <v>283</v>
      </c>
      <c r="N799" s="220" t="s">
        <v>283</v>
      </c>
      <c r="O799" s="221" t="s">
        <v>18</v>
      </c>
      <c r="P799" s="221" t="s">
        <v>18</v>
      </c>
      <c r="Q799" s="221" t="s">
        <v>15</v>
      </c>
      <c r="R799" s="221" t="s">
        <v>15</v>
      </c>
      <c r="S799" s="221" t="s">
        <v>16</v>
      </c>
      <c r="T799" s="221" t="s">
        <v>330</v>
      </c>
      <c r="U799" s="221" t="s">
        <v>250</v>
      </c>
      <c r="V799" s="221" t="s">
        <v>283</v>
      </c>
      <c r="W799" s="222" t="s">
        <v>283</v>
      </c>
      <c r="X799" s="222" t="s">
        <v>283</v>
      </c>
      <c r="Y799" s="223" t="s">
        <v>283</v>
      </c>
    </row>
    <row r="800" spans="1:25">
      <c r="A800" s="217">
        <v>15</v>
      </c>
      <c r="B800" s="218" t="str">
        <f>VLOOKUP(Tabel10[[#This Row],[Code]],Ruimtegroepen[[Code]:[Ruimte omschrijving]],2,FALSE)</f>
        <v>Keuken/pantry</v>
      </c>
      <c r="C800" s="219" t="s">
        <v>948</v>
      </c>
      <c r="D800" s="218" t="s">
        <v>12</v>
      </c>
      <c r="E800" s="219" t="s">
        <v>99</v>
      </c>
      <c r="F800" s="219" t="s">
        <v>950</v>
      </c>
      <c r="G800" s="224" t="s">
        <v>283</v>
      </c>
      <c r="H800" s="220" t="s">
        <v>18</v>
      </c>
      <c r="I800" s="220" t="s">
        <v>283</v>
      </c>
      <c r="J800" s="220" t="s">
        <v>283</v>
      </c>
      <c r="K800" s="220" t="s">
        <v>283</v>
      </c>
      <c r="L800" s="220" t="s">
        <v>283</v>
      </c>
      <c r="M800" s="220" t="s">
        <v>283</v>
      </c>
      <c r="N800" s="220" t="s">
        <v>283</v>
      </c>
      <c r="O800" s="221" t="s">
        <v>18</v>
      </c>
      <c r="P800" s="221" t="s">
        <v>18</v>
      </c>
      <c r="Q800" s="221" t="s">
        <v>15</v>
      </c>
      <c r="R800" s="221" t="s">
        <v>15</v>
      </c>
      <c r="S800" s="221" t="s">
        <v>16</v>
      </c>
      <c r="T800" s="221" t="s">
        <v>330</v>
      </c>
      <c r="U800" s="221" t="s">
        <v>250</v>
      </c>
      <c r="V800" s="221" t="s">
        <v>283</v>
      </c>
      <c r="W800" s="222" t="s">
        <v>283</v>
      </c>
      <c r="X800" s="222" t="s">
        <v>283</v>
      </c>
      <c r="Y800" s="223" t="s">
        <v>283</v>
      </c>
    </row>
    <row r="801" spans="1:25">
      <c r="A801" s="217">
        <v>15</v>
      </c>
      <c r="B801" s="218" t="str">
        <f>VLOOKUP(Tabel10[[#This Row],[Code]],Ruimtegroepen[[Code]:[Ruimte omschrijving]],2,FALSE)</f>
        <v>Keuken/pantry</v>
      </c>
      <c r="C801" s="219" t="s">
        <v>948</v>
      </c>
      <c r="D801" s="218" t="s">
        <v>12</v>
      </c>
      <c r="E801" s="219" t="s">
        <v>1313</v>
      </c>
      <c r="F801" s="219" t="s">
        <v>1441</v>
      </c>
      <c r="G801" s="224" t="s">
        <v>283</v>
      </c>
      <c r="H801" s="220" t="s">
        <v>283</v>
      </c>
      <c r="I801" s="220" t="s">
        <v>18</v>
      </c>
      <c r="J801" s="220" t="s">
        <v>283</v>
      </c>
      <c r="K801" s="220" t="s">
        <v>18</v>
      </c>
      <c r="L801" s="220" t="s">
        <v>283</v>
      </c>
      <c r="M801" s="220" t="s">
        <v>283</v>
      </c>
      <c r="N801" s="220" t="s">
        <v>283</v>
      </c>
      <c r="O801" s="221" t="s">
        <v>18</v>
      </c>
      <c r="P801" s="221" t="s">
        <v>18</v>
      </c>
      <c r="Q801" s="221" t="s">
        <v>15</v>
      </c>
      <c r="R801" s="221" t="s">
        <v>15</v>
      </c>
      <c r="S801" s="221" t="s">
        <v>16</v>
      </c>
      <c r="T801" s="221" t="s">
        <v>330</v>
      </c>
      <c r="U801" s="221" t="s">
        <v>250</v>
      </c>
      <c r="V801" s="221" t="s">
        <v>283</v>
      </c>
      <c r="W801" s="222" t="s">
        <v>283</v>
      </c>
      <c r="X801" s="222" t="s">
        <v>283</v>
      </c>
      <c r="Y801" s="223" t="s">
        <v>283</v>
      </c>
    </row>
    <row r="802" spans="1:25">
      <c r="A802" s="217">
        <v>15</v>
      </c>
      <c r="B802" s="218" t="str">
        <f>VLOOKUP(Tabel10[[#This Row],[Code]],Ruimtegroepen[[Code]:[Ruimte omschrijving]],2,FALSE)</f>
        <v>Keuken/pantry</v>
      </c>
      <c r="C802" s="219" t="s">
        <v>953</v>
      </c>
      <c r="D802" s="218" t="s">
        <v>14</v>
      </c>
      <c r="E802" s="219" t="s">
        <v>100</v>
      </c>
      <c r="F802" s="219" t="s">
        <v>954</v>
      </c>
      <c r="G802" s="224" t="s">
        <v>283</v>
      </c>
      <c r="H802" s="220" t="s">
        <v>283</v>
      </c>
      <c r="I802" s="220" t="s">
        <v>283</v>
      </c>
      <c r="J802" s="220" t="s">
        <v>17</v>
      </c>
      <c r="K802" s="220" t="s">
        <v>283</v>
      </c>
      <c r="L802" s="220" t="s">
        <v>283</v>
      </c>
      <c r="M802" s="220" t="s">
        <v>283</v>
      </c>
      <c r="N802" s="220" t="s">
        <v>283</v>
      </c>
      <c r="O802" s="221" t="s">
        <v>17</v>
      </c>
      <c r="P802" s="221" t="s">
        <v>17</v>
      </c>
      <c r="Q802" s="221" t="s">
        <v>15</v>
      </c>
      <c r="R802" s="221" t="s">
        <v>15</v>
      </c>
      <c r="S802" s="221" t="s">
        <v>16</v>
      </c>
      <c r="T802" s="221" t="s">
        <v>330</v>
      </c>
      <c r="U802" s="221" t="s">
        <v>250</v>
      </c>
      <c r="V802" s="221" t="s">
        <v>283</v>
      </c>
      <c r="W802" s="222" t="s">
        <v>283</v>
      </c>
      <c r="X802" s="222" t="s">
        <v>283</v>
      </c>
      <c r="Y802" s="223" t="s">
        <v>283</v>
      </c>
    </row>
    <row r="803" spans="1:25">
      <c r="A803" s="217">
        <v>15</v>
      </c>
      <c r="B803" s="218" t="str">
        <f>VLOOKUP(Tabel10[[#This Row],[Code]],Ruimtegroepen[[Code]:[Ruimte omschrijving]],2,FALSE)</f>
        <v>Keuken/pantry</v>
      </c>
      <c r="C803" s="219" t="s">
        <v>953</v>
      </c>
      <c r="D803" s="218" t="s">
        <v>14</v>
      </c>
      <c r="E803" s="219" t="s">
        <v>99</v>
      </c>
      <c r="F803" s="219" t="s">
        <v>955</v>
      </c>
      <c r="G803" s="224" t="s">
        <v>283</v>
      </c>
      <c r="H803" s="220" t="s">
        <v>17</v>
      </c>
      <c r="I803" s="220" t="s">
        <v>283</v>
      </c>
      <c r="J803" s="220" t="s">
        <v>283</v>
      </c>
      <c r="K803" s="220" t="s">
        <v>283</v>
      </c>
      <c r="L803" s="220" t="s">
        <v>283</v>
      </c>
      <c r="M803" s="220" t="s">
        <v>283</v>
      </c>
      <c r="N803" s="220" t="s">
        <v>283</v>
      </c>
      <c r="O803" s="221" t="s">
        <v>17</v>
      </c>
      <c r="P803" s="221" t="s">
        <v>17</v>
      </c>
      <c r="Q803" s="221" t="s">
        <v>15</v>
      </c>
      <c r="R803" s="221" t="s">
        <v>15</v>
      </c>
      <c r="S803" s="221" t="s">
        <v>16</v>
      </c>
      <c r="T803" s="221" t="s">
        <v>330</v>
      </c>
      <c r="U803" s="221" t="s">
        <v>250</v>
      </c>
      <c r="V803" s="221" t="s">
        <v>283</v>
      </c>
      <c r="W803" s="222" t="s">
        <v>283</v>
      </c>
      <c r="X803" s="222" t="s">
        <v>283</v>
      </c>
      <c r="Y803" s="223" t="s">
        <v>283</v>
      </c>
    </row>
    <row r="804" spans="1:25">
      <c r="A804" s="217">
        <v>15</v>
      </c>
      <c r="B804" s="218" t="str">
        <f>VLOOKUP(Tabel10[[#This Row],[Code]],Ruimtegroepen[[Code]:[Ruimte omschrijving]],2,FALSE)</f>
        <v>Keuken/pantry</v>
      </c>
      <c r="C804" s="219" t="s">
        <v>953</v>
      </c>
      <c r="D804" s="218" t="s">
        <v>14</v>
      </c>
      <c r="E804" s="219" t="s">
        <v>101</v>
      </c>
      <c r="F804" s="219" t="s">
        <v>956</v>
      </c>
      <c r="G804" s="224" t="s">
        <v>283</v>
      </c>
      <c r="H804" s="220" t="s">
        <v>283</v>
      </c>
      <c r="I804" s="220" t="s">
        <v>17</v>
      </c>
      <c r="J804" s="220" t="s">
        <v>283</v>
      </c>
      <c r="K804" s="220" t="s">
        <v>17</v>
      </c>
      <c r="L804" s="220" t="s">
        <v>283</v>
      </c>
      <c r="M804" s="220" t="s">
        <v>283</v>
      </c>
      <c r="N804" s="220" t="s">
        <v>283</v>
      </c>
      <c r="O804" s="221" t="s">
        <v>17</v>
      </c>
      <c r="P804" s="221" t="s">
        <v>17</v>
      </c>
      <c r="Q804" s="221" t="s">
        <v>15</v>
      </c>
      <c r="R804" s="221" t="s">
        <v>15</v>
      </c>
      <c r="S804" s="221" t="s">
        <v>16</v>
      </c>
      <c r="T804" s="221" t="s">
        <v>330</v>
      </c>
      <c r="U804" s="221" t="s">
        <v>250</v>
      </c>
      <c r="V804" s="221" t="s">
        <v>283</v>
      </c>
      <c r="W804" s="222" t="s">
        <v>283</v>
      </c>
      <c r="X804" s="222" t="s">
        <v>283</v>
      </c>
      <c r="Y804" s="223" t="s">
        <v>283</v>
      </c>
    </row>
    <row r="805" spans="1:25">
      <c r="A805" s="217">
        <v>15</v>
      </c>
      <c r="B805" s="218" t="str">
        <f>VLOOKUP(Tabel10[[#This Row],[Code]],Ruimtegroepen[[Code]:[Ruimte omschrijving]],2,FALSE)</f>
        <v>Keuken/pantry</v>
      </c>
      <c r="C805" s="219" t="s">
        <v>953</v>
      </c>
      <c r="D805" s="218" t="s">
        <v>14</v>
      </c>
      <c r="E805" s="219" t="s">
        <v>102</v>
      </c>
      <c r="F805" s="219" t="s">
        <v>957</v>
      </c>
      <c r="G805" s="224" t="s">
        <v>283</v>
      </c>
      <c r="H805" s="220" t="s">
        <v>283</v>
      </c>
      <c r="I805" s="220" t="s">
        <v>17</v>
      </c>
      <c r="J805" s="220" t="s">
        <v>283</v>
      </c>
      <c r="K805" s="220" t="s">
        <v>17</v>
      </c>
      <c r="L805" s="220" t="s">
        <v>283</v>
      </c>
      <c r="M805" s="220" t="s">
        <v>283</v>
      </c>
      <c r="N805" s="220" t="s">
        <v>283</v>
      </c>
      <c r="O805" s="221" t="s">
        <v>17</v>
      </c>
      <c r="P805" s="221" t="s">
        <v>17</v>
      </c>
      <c r="Q805" s="221" t="s">
        <v>15</v>
      </c>
      <c r="R805" s="221" t="s">
        <v>15</v>
      </c>
      <c r="S805" s="221" t="s">
        <v>16</v>
      </c>
      <c r="T805" s="221" t="s">
        <v>330</v>
      </c>
      <c r="U805" s="221" t="s">
        <v>250</v>
      </c>
      <c r="V805" s="221" t="s">
        <v>283</v>
      </c>
      <c r="W805" s="222" t="s">
        <v>283</v>
      </c>
      <c r="X805" s="222" t="s">
        <v>283</v>
      </c>
      <c r="Y805" s="223" t="s">
        <v>283</v>
      </c>
    </row>
    <row r="806" spans="1:25">
      <c r="A806" s="217">
        <v>15</v>
      </c>
      <c r="B806" s="218" t="str">
        <f>VLOOKUP(Tabel10[[#This Row],[Code]],Ruimtegroepen[[Code]:[Ruimte omschrijving]],2,FALSE)</f>
        <v>Keuken/pantry</v>
      </c>
      <c r="C806" s="219" t="s">
        <v>953</v>
      </c>
      <c r="D806" s="218" t="s">
        <v>14</v>
      </c>
      <c r="E806" s="219" t="s">
        <v>99</v>
      </c>
      <c r="F806" s="219" t="s">
        <v>955</v>
      </c>
      <c r="G806" s="224" t="s">
        <v>283</v>
      </c>
      <c r="H806" s="220" t="s">
        <v>17</v>
      </c>
      <c r="I806" s="220" t="s">
        <v>283</v>
      </c>
      <c r="J806" s="220" t="s">
        <v>283</v>
      </c>
      <c r="K806" s="220" t="s">
        <v>283</v>
      </c>
      <c r="L806" s="220" t="s">
        <v>283</v>
      </c>
      <c r="M806" s="220" t="s">
        <v>283</v>
      </c>
      <c r="N806" s="220" t="s">
        <v>283</v>
      </c>
      <c r="O806" s="221" t="s">
        <v>17</v>
      </c>
      <c r="P806" s="221" t="s">
        <v>17</v>
      </c>
      <c r="Q806" s="221" t="s">
        <v>15</v>
      </c>
      <c r="R806" s="221" t="s">
        <v>15</v>
      </c>
      <c r="S806" s="221" t="s">
        <v>16</v>
      </c>
      <c r="T806" s="221" t="s">
        <v>330</v>
      </c>
      <c r="U806" s="221" t="s">
        <v>250</v>
      </c>
      <c r="V806" s="221" t="s">
        <v>283</v>
      </c>
      <c r="W806" s="222" t="s">
        <v>283</v>
      </c>
      <c r="X806" s="222" t="s">
        <v>283</v>
      </c>
      <c r="Y806" s="223" t="s">
        <v>283</v>
      </c>
    </row>
    <row r="807" spans="1:25">
      <c r="A807" s="217">
        <v>15</v>
      </c>
      <c r="B807" s="218" t="str">
        <f>VLOOKUP(Tabel10[[#This Row],[Code]],Ruimtegroepen[[Code]:[Ruimte omschrijving]],2,FALSE)</f>
        <v>Keuken/pantry</v>
      </c>
      <c r="C807" s="219" t="s">
        <v>953</v>
      </c>
      <c r="D807" s="218" t="s">
        <v>14</v>
      </c>
      <c r="E807" s="219" t="s">
        <v>1313</v>
      </c>
      <c r="F807" s="219" t="s">
        <v>1408</v>
      </c>
      <c r="G807" s="224" t="s">
        <v>283</v>
      </c>
      <c r="H807" s="220" t="s">
        <v>283</v>
      </c>
      <c r="I807" s="220" t="s">
        <v>17</v>
      </c>
      <c r="J807" s="220" t="s">
        <v>283</v>
      </c>
      <c r="K807" s="220" t="s">
        <v>17</v>
      </c>
      <c r="L807" s="220" t="s">
        <v>283</v>
      </c>
      <c r="M807" s="220" t="s">
        <v>283</v>
      </c>
      <c r="N807" s="220" t="s">
        <v>283</v>
      </c>
      <c r="O807" s="221" t="s">
        <v>17</v>
      </c>
      <c r="P807" s="221" t="s">
        <v>17</v>
      </c>
      <c r="Q807" s="221" t="s">
        <v>15</v>
      </c>
      <c r="R807" s="221" t="s">
        <v>15</v>
      </c>
      <c r="S807" s="221" t="s">
        <v>16</v>
      </c>
      <c r="T807" s="221" t="s">
        <v>330</v>
      </c>
      <c r="U807" s="221" t="s">
        <v>250</v>
      </c>
      <c r="V807" s="221" t="s">
        <v>283</v>
      </c>
      <c r="W807" s="222" t="s">
        <v>283</v>
      </c>
      <c r="X807" s="222" t="s">
        <v>283</v>
      </c>
      <c r="Y807" s="223" t="s">
        <v>283</v>
      </c>
    </row>
    <row r="808" spans="1:25">
      <c r="A808" s="217">
        <v>15</v>
      </c>
      <c r="B808" s="218" t="str">
        <f>VLOOKUP(Tabel10[[#This Row],[Code]],Ruimtegroepen[[Code]:[Ruimte omschrijving]],2,FALSE)</f>
        <v>Keuken/pantry</v>
      </c>
      <c r="C808" s="219" t="s">
        <v>958</v>
      </c>
      <c r="D808" s="218" t="s">
        <v>13</v>
      </c>
      <c r="E808" s="219" t="s">
        <v>100</v>
      </c>
      <c r="F808" s="219" t="s">
        <v>959</v>
      </c>
      <c r="G808" s="224" t="s">
        <v>283</v>
      </c>
      <c r="H808" s="220" t="s">
        <v>283</v>
      </c>
      <c r="I808" s="220" t="s">
        <v>283</v>
      </c>
      <c r="J808" s="220" t="s">
        <v>15</v>
      </c>
      <c r="K808" s="220" t="s">
        <v>283</v>
      </c>
      <c r="L808" s="220" t="s">
        <v>283</v>
      </c>
      <c r="M808" s="220" t="s">
        <v>283</v>
      </c>
      <c r="N808" s="220" t="s">
        <v>283</v>
      </c>
      <c r="O808" s="221" t="s">
        <v>15</v>
      </c>
      <c r="P808" s="221" t="s">
        <v>15</v>
      </c>
      <c r="Q808" s="221" t="s">
        <v>15</v>
      </c>
      <c r="R808" s="221" t="s">
        <v>15</v>
      </c>
      <c r="S808" s="221" t="s">
        <v>16</v>
      </c>
      <c r="T808" s="221" t="s">
        <v>330</v>
      </c>
      <c r="U808" s="221" t="s">
        <v>250</v>
      </c>
      <c r="V808" s="221" t="s">
        <v>283</v>
      </c>
      <c r="W808" s="222" t="s">
        <v>283</v>
      </c>
      <c r="X808" s="222" t="s">
        <v>283</v>
      </c>
      <c r="Y808" s="223" t="s">
        <v>283</v>
      </c>
    </row>
    <row r="809" spans="1:25">
      <c r="A809" s="217">
        <v>15</v>
      </c>
      <c r="B809" s="218" t="str">
        <f>VLOOKUP(Tabel10[[#This Row],[Code]],Ruimtegroepen[[Code]:[Ruimte omschrijving]],2,FALSE)</f>
        <v>Keuken/pantry</v>
      </c>
      <c r="C809" s="219" t="s">
        <v>958</v>
      </c>
      <c r="D809" s="218" t="s">
        <v>13</v>
      </c>
      <c r="E809" s="219" t="s">
        <v>99</v>
      </c>
      <c r="F809" s="219" t="s">
        <v>960</v>
      </c>
      <c r="G809" s="224" t="s">
        <v>283</v>
      </c>
      <c r="H809" s="220" t="s">
        <v>15</v>
      </c>
      <c r="I809" s="220" t="s">
        <v>283</v>
      </c>
      <c r="J809" s="220" t="s">
        <v>283</v>
      </c>
      <c r="K809" s="220" t="s">
        <v>283</v>
      </c>
      <c r="L809" s="220" t="s">
        <v>283</v>
      </c>
      <c r="M809" s="220" t="s">
        <v>283</v>
      </c>
      <c r="N809" s="220" t="s">
        <v>283</v>
      </c>
      <c r="O809" s="221" t="s">
        <v>15</v>
      </c>
      <c r="P809" s="221" t="s">
        <v>15</v>
      </c>
      <c r="Q809" s="221" t="s">
        <v>15</v>
      </c>
      <c r="R809" s="221" t="s">
        <v>15</v>
      </c>
      <c r="S809" s="221" t="s">
        <v>16</v>
      </c>
      <c r="T809" s="221" t="s">
        <v>330</v>
      </c>
      <c r="U809" s="221" t="s">
        <v>250</v>
      </c>
      <c r="V809" s="221" t="s">
        <v>283</v>
      </c>
      <c r="W809" s="222" t="s">
        <v>283</v>
      </c>
      <c r="X809" s="222" t="s">
        <v>283</v>
      </c>
      <c r="Y809" s="223" t="s">
        <v>283</v>
      </c>
    </row>
    <row r="810" spans="1:25">
      <c r="A810" s="217">
        <v>15</v>
      </c>
      <c r="B810" s="218" t="str">
        <f>VLOOKUP(Tabel10[[#This Row],[Code]],Ruimtegroepen[[Code]:[Ruimte omschrijving]],2,FALSE)</f>
        <v>Keuken/pantry</v>
      </c>
      <c r="C810" s="219" t="s">
        <v>958</v>
      </c>
      <c r="D810" s="218" t="s">
        <v>13</v>
      </c>
      <c r="E810" s="219" t="s">
        <v>101</v>
      </c>
      <c r="F810" s="219" t="s">
        <v>961</v>
      </c>
      <c r="G810" s="224" t="s">
        <v>283</v>
      </c>
      <c r="H810" s="220" t="s">
        <v>283</v>
      </c>
      <c r="I810" s="220" t="s">
        <v>15</v>
      </c>
      <c r="J810" s="220" t="s">
        <v>283</v>
      </c>
      <c r="K810" s="220" t="s">
        <v>15</v>
      </c>
      <c r="L810" s="220" t="s">
        <v>283</v>
      </c>
      <c r="M810" s="220" t="s">
        <v>283</v>
      </c>
      <c r="N810" s="220" t="s">
        <v>283</v>
      </c>
      <c r="O810" s="221" t="s">
        <v>15</v>
      </c>
      <c r="P810" s="221" t="s">
        <v>15</v>
      </c>
      <c r="Q810" s="221" t="s">
        <v>15</v>
      </c>
      <c r="R810" s="221" t="s">
        <v>15</v>
      </c>
      <c r="S810" s="221" t="s">
        <v>16</v>
      </c>
      <c r="T810" s="221" t="s">
        <v>330</v>
      </c>
      <c r="U810" s="221" t="s">
        <v>250</v>
      </c>
      <c r="V810" s="221" t="s">
        <v>283</v>
      </c>
      <c r="W810" s="222" t="s">
        <v>283</v>
      </c>
      <c r="X810" s="222" t="s">
        <v>283</v>
      </c>
      <c r="Y810" s="223" t="s">
        <v>283</v>
      </c>
    </row>
    <row r="811" spans="1:25">
      <c r="A811" s="217">
        <v>15</v>
      </c>
      <c r="B811" s="218" t="str">
        <f>VLOOKUP(Tabel10[[#This Row],[Code]],Ruimtegroepen[[Code]:[Ruimte omschrijving]],2,FALSE)</f>
        <v>Keuken/pantry</v>
      </c>
      <c r="C811" s="219" t="s">
        <v>958</v>
      </c>
      <c r="D811" s="218" t="s">
        <v>13</v>
      </c>
      <c r="E811" s="219" t="s">
        <v>102</v>
      </c>
      <c r="F811" s="219" t="s">
        <v>962</v>
      </c>
      <c r="G811" s="224" t="s">
        <v>283</v>
      </c>
      <c r="H811" s="220" t="s">
        <v>283</v>
      </c>
      <c r="I811" s="220" t="s">
        <v>15</v>
      </c>
      <c r="J811" s="220" t="s">
        <v>283</v>
      </c>
      <c r="K811" s="220" t="s">
        <v>15</v>
      </c>
      <c r="L811" s="220" t="s">
        <v>283</v>
      </c>
      <c r="M811" s="220" t="s">
        <v>283</v>
      </c>
      <c r="N811" s="220" t="s">
        <v>283</v>
      </c>
      <c r="O811" s="221" t="s">
        <v>15</v>
      </c>
      <c r="P811" s="221" t="s">
        <v>15</v>
      </c>
      <c r="Q811" s="221" t="s">
        <v>15</v>
      </c>
      <c r="R811" s="221" t="s">
        <v>15</v>
      </c>
      <c r="S811" s="221" t="s">
        <v>16</v>
      </c>
      <c r="T811" s="221" t="s">
        <v>330</v>
      </c>
      <c r="U811" s="221" t="s">
        <v>250</v>
      </c>
      <c r="V811" s="221" t="s">
        <v>283</v>
      </c>
      <c r="W811" s="222" t="s">
        <v>283</v>
      </c>
      <c r="X811" s="222" t="s">
        <v>283</v>
      </c>
      <c r="Y811" s="223" t="s">
        <v>283</v>
      </c>
    </row>
    <row r="812" spans="1:25">
      <c r="A812" s="217">
        <v>15</v>
      </c>
      <c r="B812" s="218" t="str">
        <f>VLOOKUP(Tabel10[[#This Row],[Code]],Ruimtegroepen[[Code]:[Ruimte omschrijving]],2,FALSE)</f>
        <v>Keuken/pantry</v>
      </c>
      <c r="C812" s="219" t="s">
        <v>958</v>
      </c>
      <c r="D812" s="218" t="s">
        <v>13</v>
      </c>
      <c r="E812" s="219" t="s">
        <v>99</v>
      </c>
      <c r="F812" s="219" t="s">
        <v>960</v>
      </c>
      <c r="G812" s="224" t="s">
        <v>283</v>
      </c>
      <c r="H812" s="220" t="s">
        <v>15</v>
      </c>
      <c r="I812" s="220" t="s">
        <v>283</v>
      </c>
      <c r="J812" s="220" t="s">
        <v>283</v>
      </c>
      <c r="K812" s="220" t="s">
        <v>283</v>
      </c>
      <c r="L812" s="220" t="s">
        <v>283</v>
      </c>
      <c r="M812" s="220" t="s">
        <v>283</v>
      </c>
      <c r="N812" s="220" t="s">
        <v>283</v>
      </c>
      <c r="O812" s="221" t="s">
        <v>15</v>
      </c>
      <c r="P812" s="221" t="s">
        <v>15</v>
      </c>
      <c r="Q812" s="221" t="s">
        <v>15</v>
      </c>
      <c r="R812" s="221" t="s">
        <v>15</v>
      </c>
      <c r="S812" s="221" t="s">
        <v>16</v>
      </c>
      <c r="T812" s="221" t="s">
        <v>330</v>
      </c>
      <c r="U812" s="221" t="s">
        <v>250</v>
      </c>
      <c r="V812" s="221" t="s">
        <v>283</v>
      </c>
      <c r="W812" s="222" t="s">
        <v>283</v>
      </c>
      <c r="X812" s="222" t="s">
        <v>283</v>
      </c>
      <c r="Y812" s="223" t="s">
        <v>283</v>
      </c>
    </row>
    <row r="813" spans="1:25">
      <c r="A813" s="217">
        <v>15</v>
      </c>
      <c r="B813" s="218" t="str">
        <f>VLOOKUP(Tabel10[[#This Row],[Code]],Ruimtegroepen[[Code]:[Ruimte omschrijving]],2,FALSE)</f>
        <v>Keuken/pantry</v>
      </c>
      <c r="C813" s="219" t="s">
        <v>958</v>
      </c>
      <c r="D813" s="218" t="s">
        <v>13</v>
      </c>
      <c r="E813" s="219" t="s">
        <v>1313</v>
      </c>
      <c r="F813" s="219" t="s">
        <v>1375</v>
      </c>
      <c r="G813" s="224" t="s">
        <v>283</v>
      </c>
      <c r="H813" s="220" t="s">
        <v>283</v>
      </c>
      <c r="I813" s="220" t="s">
        <v>15</v>
      </c>
      <c r="J813" s="220" t="s">
        <v>283</v>
      </c>
      <c r="K813" s="220" t="s">
        <v>15</v>
      </c>
      <c r="L813" s="220" t="s">
        <v>283</v>
      </c>
      <c r="M813" s="220" t="s">
        <v>283</v>
      </c>
      <c r="N813" s="220" t="s">
        <v>283</v>
      </c>
      <c r="O813" s="221" t="s">
        <v>15</v>
      </c>
      <c r="P813" s="221" t="s">
        <v>15</v>
      </c>
      <c r="Q813" s="221" t="s">
        <v>15</v>
      </c>
      <c r="R813" s="221" t="s">
        <v>15</v>
      </c>
      <c r="S813" s="221" t="s">
        <v>16</v>
      </c>
      <c r="T813" s="221" t="s">
        <v>330</v>
      </c>
      <c r="U813" s="221" t="s">
        <v>250</v>
      </c>
      <c r="V813" s="221" t="s">
        <v>283</v>
      </c>
      <c r="W813" s="222" t="s">
        <v>283</v>
      </c>
      <c r="X813" s="222" t="s">
        <v>283</v>
      </c>
      <c r="Y813" s="223" t="s">
        <v>283</v>
      </c>
    </row>
    <row r="814" spans="1:25">
      <c r="A814" s="217">
        <v>15</v>
      </c>
      <c r="B814" s="218" t="str">
        <f>VLOOKUP(Tabel10[[#This Row],[Code]],Ruimtegroepen[[Code]:[Ruimte omschrijving]],2,FALSE)</f>
        <v>Keuken/pantry</v>
      </c>
      <c r="C814" s="219" t="s">
        <v>963</v>
      </c>
      <c r="D814" s="218" t="s">
        <v>0</v>
      </c>
      <c r="E814" s="219" t="s">
        <v>100</v>
      </c>
      <c r="F814" s="219" t="s">
        <v>964</v>
      </c>
      <c r="G814" s="224" t="s">
        <v>283</v>
      </c>
      <c r="H814" s="220" t="s">
        <v>283</v>
      </c>
      <c r="I814" s="220" t="s">
        <v>283</v>
      </c>
      <c r="J814" s="220" t="s">
        <v>16</v>
      </c>
      <c r="K814" s="220" t="s">
        <v>283</v>
      </c>
      <c r="L814" s="220" t="s">
        <v>283</v>
      </c>
      <c r="M814" s="220" t="s">
        <v>283</v>
      </c>
      <c r="N814" s="220" t="s">
        <v>283</v>
      </c>
      <c r="O814" s="221" t="s">
        <v>16</v>
      </c>
      <c r="P814" s="221" t="s">
        <v>16</v>
      </c>
      <c r="Q814" s="221" t="s">
        <v>16</v>
      </c>
      <c r="R814" s="221" t="s">
        <v>16</v>
      </c>
      <c r="S814" s="221" t="s">
        <v>16</v>
      </c>
      <c r="T814" s="221" t="s">
        <v>330</v>
      </c>
      <c r="U814" s="221" t="s">
        <v>250</v>
      </c>
      <c r="V814" s="221" t="s">
        <v>283</v>
      </c>
      <c r="W814" s="222" t="s">
        <v>283</v>
      </c>
      <c r="X814" s="222" t="s">
        <v>283</v>
      </c>
      <c r="Y814" s="223" t="s">
        <v>283</v>
      </c>
    </row>
    <row r="815" spans="1:25">
      <c r="A815" s="217">
        <v>15</v>
      </c>
      <c r="B815" s="218" t="str">
        <f>VLOOKUP(Tabel10[[#This Row],[Code]],Ruimtegroepen[[Code]:[Ruimte omschrijving]],2,FALSE)</f>
        <v>Keuken/pantry</v>
      </c>
      <c r="C815" s="219" t="s">
        <v>963</v>
      </c>
      <c r="D815" s="218" t="s">
        <v>0</v>
      </c>
      <c r="E815" s="219" t="s">
        <v>99</v>
      </c>
      <c r="F815" s="219" t="s">
        <v>965</v>
      </c>
      <c r="G815" s="224" t="s">
        <v>283</v>
      </c>
      <c r="H815" s="220" t="s">
        <v>16</v>
      </c>
      <c r="I815" s="220" t="s">
        <v>283</v>
      </c>
      <c r="J815" s="220" t="s">
        <v>283</v>
      </c>
      <c r="K815" s="220" t="s">
        <v>283</v>
      </c>
      <c r="L815" s="220" t="s">
        <v>283</v>
      </c>
      <c r="M815" s="220" t="s">
        <v>283</v>
      </c>
      <c r="N815" s="220" t="s">
        <v>283</v>
      </c>
      <c r="O815" s="221" t="s">
        <v>16</v>
      </c>
      <c r="P815" s="221" t="s">
        <v>16</v>
      </c>
      <c r="Q815" s="221" t="s">
        <v>16</v>
      </c>
      <c r="R815" s="221" t="s">
        <v>16</v>
      </c>
      <c r="S815" s="221" t="s">
        <v>16</v>
      </c>
      <c r="T815" s="221" t="s">
        <v>330</v>
      </c>
      <c r="U815" s="221" t="s">
        <v>250</v>
      </c>
      <c r="V815" s="221" t="s">
        <v>283</v>
      </c>
      <c r="W815" s="222" t="s">
        <v>283</v>
      </c>
      <c r="X815" s="222" t="s">
        <v>283</v>
      </c>
      <c r="Y815" s="223" t="s">
        <v>283</v>
      </c>
    </row>
    <row r="816" spans="1:25">
      <c r="A816" s="217">
        <v>15</v>
      </c>
      <c r="B816" s="218" t="str">
        <f>VLOOKUP(Tabel10[[#This Row],[Code]],Ruimtegroepen[[Code]:[Ruimte omschrijving]],2,FALSE)</f>
        <v>Keuken/pantry</v>
      </c>
      <c r="C816" s="219" t="s">
        <v>963</v>
      </c>
      <c r="D816" s="218" t="s">
        <v>0</v>
      </c>
      <c r="E816" s="219" t="s">
        <v>101</v>
      </c>
      <c r="F816" s="219" t="s">
        <v>966</v>
      </c>
      <c r="G816" s="224" t="s">
        <v>283</v>
      </c>
      <c r="H816" s="220" t="s">
        <v>283</v>
      </c>
      <c r="I816" s="220" t="s">
        <v>16</v>
      </c>
      <c r="J816" s="220" t="s">
        <v>362</v>
      </c>
      <c r="K816" s="220" t="s">
        <v>16</v>
      </c>
      <c r="L816" s="220" t="s">
        <v>283</v>
      </c>
      <c r="M816" s="220" t="s">
        <v>283</v>
      </c>
      <c r="N816" s="220" t="s">
        <v>283</v>
      </c>
      <c r="O816" s="221" t="s">
        <v>16</v>
      </c>
      <c r="P816" s="221" t="s">
        <v>16</v>
      </c>
      <c r="Q816" s="221" t="s">
        <v>16</v>
      </c>
      <c r="R816" s="221" t="s">
        <v>16</v>
      </c>
      <c r="S816" s="221" t="s">
        <v>16</v>
      </c>
      <c r="T816" s="221" t="s">
        <v>330</v>
      </c>
      <c r="U816" s="221" t="s">
        <v>250</v>
      </c>
      <c r="V816" s="221" t="s">
        <v>283</v>
      </c>
      <c r="W816" s="222" t="s">
        <v>283</v>
      </c>
      <c r="X816" s="222" t="s">
        <v>283</v>
      </c>
      <c r="Y816" s="223" t="s">
        <v>283</v>
      </c>
    </row>
    <row r="817" spans="1:25">
      <c r="A817" s="217">
        <v>15</v>
      </c>
      <c r="B817" s="218" t="str">
        <f>VLOOKUP(Tabel10[[#This Row],[Code]],Ruimtegroepen[[Code]:[Ruimte omschrijving]],2,FALSE)</f>
        <v>Keuken/pantry</v>
      </c>
      <c r="C817" s="219" t="s">
        <v>963</v>
      </c>
      <c r="D817" s="218" t="s">
        <v>0</v>
      </c>
      <c r="E817" s="219" t="s">
        <v>102</v>
      </c>
      <c r="F817" s="219" t="s">
        <v>967</v>
      </c>
      <c r="G817" s="224" t="s">
        <v>283</v>
      </c>
      <c r="H817" s="220" t="s">
        <v>283</v>
      </c>
      <c r="I817" s="220" t="s">
        <v>16</v>
      </c>
      <c r="J817" s="220" t="s">
        <v>283</v>
      </c>
      <c r="K817" s="220" t="s">
        <v>16</v>
      </c>
      <c r="L817" s="220" t="s">
        <v>283</v>
      </c>
      <c r="M817" s="220" t="s">
        <v>283</v>
      </c>
      <c r="N817" s="220" t="s">
        <v>283</v>
      </c>
      <c r="O817" s="221" t="s">
        <v>16</v>
      </c>
      <c r="P817" s="221" t="s">
        <v>16</v>
      </c>
      <c r="Q817" s="221" t="s">
        <v>16</v>
      </c>
      <c r="R817" s="221" t="s">
        <v>16</v>
      </c>
      <c r="S817" s="221" t="s">
        <v>16</v>
      </c>
      <c r="T817" s="221" t="s">
        <v>330</v>
      </c>
      <c r="U817" s="221" t="s">
        <v>250</v>
      </c>
      <c r="V817" s="221" t="s">
        <v>283</v>
      </c>
      <c r="W817" s="222" t="s">
        <v>283</v>
      </c>
      <c r="X817" s="222" t="s">
        <v>283</v>
      </c>
      <c r="Y817" s="223" t="s">
        <v>283</v>
      </c>
    </row>
    <row r="818" spans="1:25">
      <c r="A818" s="217">
        <v>15</v>
      </c>
      <c r="B818" s="218" t="str">
        <f>VLOOKUP(Tabel10[[#This Row],[Code]],Ruimtegroepen[[Code]:[Ruimte omschrijving]],2,FALSE)</f>
        <v>Keuken/pantry</v>
      </c>
      <c r="C818" s="219" t="s">
        <v>963</v>
      </c>
      <c r="D818" s="218" t="s">
        <v>0</v>
      </c>
      <c r="E818" s="219" t="s">
        <v>99</v>
      </c>
      <c r="F818" s="219" t="s">
        <v>965</v>
      </c>
      <c r="G818" s="224" t="s">
        <v>283</v>
      </c>
      <c r="H818" s="220" t="s">
        <v>16</v>
      </c>
      <c r="I818" s="220" t="s">
        <v>283</v>
      </c>
      <c r="J818" s="220" t="s">
        <v>283</v>
      </c>
      <c r="K818" s="220" t="s">
        <v>283</v>
      </c>
      <c r="L818" s="220" t="s">
        <v>283</v>
      </c>
      <c r="M818" s="220" t="s">
        <v>283</v>
      </c>
      <c r="N818" s="220" t="s">
        <v>283</v>
      </c>
      <c r="O818" s="221" t="s">
        <v>16</v>
      </c>
      <c r="P818" s="221" t="s">
        <v>16</v>
      </c>
      <c r="Q818" s="221" t="s">
        <v>16</v>
      </c>
      <c r="R818" s="221" t="s">
        <v>16</v>
      </c>
      <c r="S818" s="221" t="s">
        <v>16</v>
      </c>
      <c r="T818" s="221" t="s">
        <v>330</v>
      </c>
      <c r="U818" s="221" t="s">
        <v>250</v>
      </c>
      <c r="V818" s="221" t="s">
        <v>283</v>
      </c>
      <c r="W818" s="222" t="s">
        <v>283</v>
      </c>
      <c r="X818" s="222" t="s">
        <v>283</v>
      </c>
      <c r="Y818" s="223" t="s">
        <v>283</v>
      </c>
    </row>
    <row r="819" spans="1:25">
      <c r="A819" s="217">
        <v>15</v>
      </c>
      <c r="B819" s="218" t="str">
        <f>VLOOKUP(Tabel10[[#This Row],[Code]],Ruimtegroepen[[Code]:[Ruimte omschrijving]],2,FALSE)</f>
        <v>Keuken/pantry</v>
      </c>
      <c r="C819" s="219" t="s">
        <v>963</v>
      </c>
      <c r="D819" s="218" t="s">
        <v>0</v>
      </c>
      <c r="E819" s="219" t="s">
        <v>1313</v>
      </c>
      <c r="F819" s="219" t="s">
        <v>1359</v>
      </c>
      <c r="G819" s="224" t="s">
        <v>283</v>
      </c>
      <c r="H819" s="220" t="s">
        <v>283</v>
      </c>
      <c r="I819" s="220" t="s">
        <v>16</v>
      </c>
      <c r="J819" s="220" t="s">
        <v>283</v>
      </c>
      <c r="K819" s="220" t="s">
        <v>16</v>
      </c>
      <c r="L819" s="220" t="s">
        <v>283</v>
      </c>
      <c r="M819" s="220" t="s">
        <v>283</v>
      </c>
      <c r="N819" s="220" t="s">
        <v>283</v>
      </c>
      <c r="O819" s="221" t="s">
        <v>16</v>
      </c>
      <c r="P819" s="221" t="s">
        <v>16</v>
      </c>
      <c r="Q819" s="221" t="s">
        <v>16</v>
      </c>
      <c r="R819" s="221" t="s">
        <v>16</v>
      </c>
      <c r="S819" s="221" t="s">
        <v>16</v>
      </c>
      <c r="T819" s="221" t="s">
        <v>330</v>
      </c>
      <c r="U819" s="221" t="s">
        <v>250</v>
      </c>
      <c r="V819" s="221" t="s">
        <v>283</v>
      </c>
      <c r="W819" s="222" t="s">
        <v>283</v>
      </c>
      <c r="X819" s="222" t="s">
        <v>283</v>
      </c>
      <c r="Y819" s="223" t="s">
        <v>283</v>
      </c>
    </row>
    <row r="820" spans="1:25">
      <c r="A820" s="217">
        <v>15</v>
      </c>
      <c r="B820" s="218" t="str">
        <f>VLOOKUP(Tabel10[[#This Row],[Code]],Ruimtegroepen[[Code]:[Ruimte omschrijving]],2,FALSE)</f>
        <v>Keuken/pantry</v>
      </c>
      <c r="C820" s="219" t="s">
        <v>968</v>
      </c>
      <c r="D820" s="218" t="s">
        <v>27</v>
      </c>
      <c r="E820" s="219" t="s">
        <v>100</v>
      </c>
      <c r="F820" s="219" t="s">
        <v>969</v>
      </c>
      <c r="G820" s="224" t="s">
        <v>283</v>
      </c>
      <c r="H820" s="220" t="s">
        <v>283</v>
      </c>
      <c r="I820" s="220" t="s">
        <v>15</v>
      </c>
      <c r="J820" s="220" t="s">
        <v>283</v>
      </c>
      <c r="K820" s="220" t="s">
        <v>283</v>
      </c>
      <c r="L820" s="220" t="s">
        <v>283</v>
      </c>
      <c r="M820" s="220" t="s">
        <v>283</v>
      </c>
      <c r="N820" s="220" t="s">
        <v>283</v>
      </c>
      <c r="O820" s="221" t="s">
        <v>15</v>
      </c>
      <c r="P820" s="221" t="s">
        <v>15</v>
      </c>
      <c r="Q820" s="221" t="s">
        <v>15</v>
      </c>
      <c r="R820" s="221" t="s">
        <v>283</v>
      </c>
      <c r="S820" s="221" t="s">
        <v>283</v>
      </c>
      <c r="T820" s="221" t="s">
        <v>283</v>
      </c>
      <c r="U820" s="221" t="s">
        <v>283</v>
      </c>
      <c r="V820" s="221" t="s">
        <v>283</v>
      </c>
      <c r="W820" s="222" t="s">
        <v>283</v>
      </c>
      <c r="X820" s="222" t="s">
        <v>283</v>
      </c>
      <c r="Y820" s="223" t="s">
        <v>283</v>
      </c>
    </row>
    <row r="821" spans="1:25">
      <c r="A821" s="217">
        <v>15</v>
      </c>
      <c r="B821" s="218" t="str">
        <f>VLOOKUP(Tabel10[[#This Row],[Code]],Ruimtegroepen[[Code]:[Ruimte omschrijving]],2,FALSE)</f>
        <v>Keuken/pantry</v>
      </c>
      <c r="C821" s="219" t="s">
        <v>968</v>
      </c>
      <c r="D821" s="218" t="s">
        <v>27</v>
      </c>
      <c r="E821" s="219" t="s">
        <v>99</v>
      </c>
      <c r="F821" s="219" t="s">
        <v>970</v>
      </c>
      <c r="G821" s="224" t="s">
        <v>283</v>
      </c>
      <c r="H821" s="220" t="s">
        <v>15</v>
      </c>
      <c r="I821" s="220" t="s">
        <v>283</v>
      </c>
      <c r="J821" s="220" t="s">
        <v>283</v>
      </c>
      <c r="K821" s="220" t="s">
        <v>283</v>
      </c>
      <c r="L821" s="220" t="s">
        <v>283</v>
      </c>
      <c r="M821" s="220" t="s">
        <v>283</v>
      </c>
      <c r="N821" s="220" t="s">
        <v>283</v>
      </c>
      <c r="O821" s="221" t="s">
        <v>15</v>
      </c>
      <c r="P821" s="221" t="s">
        <v>15</v>
      </c>
      <c r="Q821" s="221" t="s">
        <v>15</v>
      </c>
      <c r="R821" s="221" t="s">
        <v>283</v>
      </c>
      <c r="S821" s="221" t="s">
        <v>283</v>
      </c>
      <c r="T821" s="221" t="s">
        <v>283</v>
      </c>
      <c r="U821" s="221" t="s">
        <v>283</v>
      </c>
      <c r="V821" s="221" t="s">
        <v>283</v>
      </c>
      <c r="W821" s="222" t="s">
        <v>283</v>
      </c>
      <c r="X821" s="222" t="s">
        <v>283</v>
      </c>
      <c r="Y821" s="223" t="s">
        <v>283</v>
      </c>
    </row>
    <row r="822" spans="1:25">
      <c r="A822" s="217">
        <v>15</v>
      </c>
      <c r="B822" s="218" t="str">
        <f>VLOOKUP(Tabel10[[#This Row],[Code]],Ruimtegroepen[[Code]:[Ruimte omschrijving]],2,FALSE)</f>
        <v>Keuken/pantry</v>
      </c>
      <c r="C822" s="219" t="s">
        <v>968</v>
      </c>
      <c r="D822" s="218" t="s">
        <v>27</v>
      </c>
      <c r="E822" s="219" t="s">
        <v>101</v>
      </c>
      <c r="F822" s="219" t="s">
        <v>971</v>
      </c>
      <c r="G822" s="224" t="s">
        <v>283</v>
      </c>
      <c r="H822" s="220" t="s">
        <v>283</v>
      </c>
      <c r="I822" s="220" t="s">
        <v>15</v>
      </c>
      <c r="J822" s="220" t="s">
        <v>283</v>
      </c>
      <c r="K822" s="220" t="s">
        <v>283</v>
      </c>
      <c r="L822" s="220" t="s">
        <v>283</v>
      </c>
      <c r="M822" s="220" t="s">
        <v>283</v>
      </c>
      <c r="N822" s="220" t="s">
        <v>283</v>
      </c>
      <c r="O822" s="221" t="s">
        <v>15</v>
      </c>
      <c r="P822" s="221" t="s">
        <v>15</v>
      </c>
      <c r="Q822" s="221" t="s">
        <v>15</v>
      </c>
      <c r="R822" s="221" t="s">
        <v>283</v>
      </c>
      <c r="S822" s="221" t="s">
        <v>283</v>
      </c>
      <c r="T822" s="221" t="s">
        <v>283</v>
      </c>
      <c r="U822" s="221" t="s">
        <v>283</v>
      </c>
      <c r="V822" s="221" t="s">
        <v>283</v>
      </c>
      <c r="W822" s="222" t="s">
        <v>283</v>
      </c>
      <c r="X822" s="222" t="s">
        <v>283</v>
      </c>
      <c r="Y822" s="223" t="s">
        <v>283</v>
      </c>
    </row>
    <row r="823" spans="1:25">
      <c r="A823" s="217">
        <v>15</v>
      </c>
      <c r="B823" s="218" t="str">
        <f>VLOOKUP(Tabel10[[#This Row],[Code]],Ruimtegroepen[[Code]:[Ruimte omschrijving]],2,FALSE)</f>
        <v>Keuken/pantry</v>
      </c>
      <c r="C823" s="219" t="s">
        <v>968</v>
      </c>
      <c r="D823" s="218" t="s">
        <v>27</v>
      </c>
      <c r="E823" s="219" t="s">
        <v>102</v>
      </c>
      <c r="F823" s="219" t="s">
        <v>972</v>
      </c>
      <c r="G823" s="224" t="s">
        <v>283</v>
      </c>
      <c r="H823" s="220" t="s">
        <v>283</v>
      </c>
      <c r="I823" s="220" t="s">
        <v>15</v>
      </c>
      <c r="J823" s="220" t="s">
        <v>283</v>
      </c>
      <c r="K823" s="220" t="s">
        <v>283</v>
      </c>
      <c r="L823" s="220" t="s">
        <v>283</v>
      </c>
      <c r="M823" s="220" t="s">
        <v>283</v>
      </c>
      <c r="N823" s="220" t="s">
        <v>283</v>
      </c>
      <c r="O823" s="221" t="s">
        <v>15</v>
      </c>
      <c r="P823" s="221" t="s">
        <v>15</v>
      </c>
      <c r="Q823" s="221" t="s">
        <v>15</v>
      </c>
      <c r="R823" s="221" t="s">
        <v>283</v>
      </c>
      <c r="S823" s="221" t="s">
        <v>283</v>
      </c>
      <c r="T823" s="221" t="s">
        <v>283</v>
      </c>
      <c r="U823" s="221" t="s">
        <v>283</v>
      </c>
      <c r="V823" s="221" t="s">
        <v>283</v>
      </c>
      <c r="W823" s="222" t="s">
        <v>283</v>
      </c>
      <c r="X823" s="222" t="s">
        <v>283</v>
      </c>
      <c r="Y823" s="223" t="s">
        <v>283</v>
      </c>
    </row>
    <row r="824" spans="1:25">
      <c r="A824" s="217">
        <v>15</v>
      </c>
      <c r="B824" s="218" t="str">
        <f>VLOOKUP(Tabel10[[#This Row],[Code]],Ruimtegroepen[[Code]:[Ruimte omschrijving]],2,FALSE)</f>
        <v>Keuken/pantry</v>
      </c>
      <c r="C824" s="219" t="s">
        <v>968</v>
      </c>
      <c r="D824" s="218" t="s">
        <v>27</v>
      </c>
      <c r="E824" s="219" t="s">
        <v>99</v>
      </c>
      <c r="F824" s="219" t="s">
        <v>970</v>
      </c>
      <c r="G824" s="224" t="s">
        <v>283</v>
      </c>
      <c r="H824" s="220" t="s">
        <v>15</v>
      </c>
      <c r="I824" s="220" t="s">
        <v>283</v>
      </c>
      <c r="J824" s="220" t="s">
        <v>283</v>
      </c>
      <c r="K824" s="220" t="s">
        <v>283</v>
      </c>
      <c r="L824" s="220" t="s">
        <v>283</v>
      </c>
      <c r="M824" s="220" t="s">
        <v>283</v>
      </c>
      <c r="N824" s="220" t="s">
        <v>283</v>
      </c>
      <c r="O824" s="221" t="s">
        <v>15</v>
      </c>
      <c r="P824" s="221" t="s">
        <v>15</v>
      </c>
      <c r="Q824" s="221" t="s">
        <v>15</v>
      </c>
      <c r="R824" s="221" t="s">
        <v>283</v>
      </c>
      <c r="S824" s="221" t="s">
        <v>283</v>
      </c>
      <c r="T824" s="221" t="s">
        <v>283</v>
      </c>
      <c r="U824" s="221" t="s">
        <v>283</v>
      </c>
      <c r="V824" s="221" t="s">
        <v>283</v>
      </c>
      <c r="W824" s="222" t="s">
        <v>283</v>
      </c>
      <c r="X824" s="222" t="s">
        <v>283</v>
      </c>
      <c r="Y824" s="223" t="s">
        <v>283</v>
      </c>
    </row>
    <row r="825" spans="1:25">
      <c r="A825" s="217">
        <v>15</v>
      </c>
      <c r="B825" s="218" t="str">
        <f>VLOOKUP(Tabel10[[#This Row],[Code]],Ruimtegroepen[[Code]:[Ruimte omschrijving]],2,FALSE)</f>
        <v>Keuken/pantry</v>
      </c>
      <c r="C825" s="219" t="s">
        <v>968</v>
      </c>
      <c r="D825" s="218" t="s">
        <v>27</v>
      </c>
      <c r="E825" s="219" t="s">
        <v>1313</v>
      </c>
      <c r="F825" s="219" t="s">
        <v>1392</v>
      </c>
      <c r="G825" s="224" t="s">
        <v>283</v>
      </c>
      <c r="H825" s="220" t="s">
        <v>283</v>
      </c>
      <c r="I825" s="220" t="s">
        <v>15</v>
      </c>
      <c r="J825" s="220" t="s">
        <v>283</v>
      </c>
      <c r="K825" s="220" t="s">
        <v>283</v>
      </c>
      <c r="L825" s="220" t="s">
        <v>283</v>
      </c>
      <c r="M825" s="220" t="s">
        <v>283</v>
      </c>
      <c r="N825" s="220" t="s">
        <v>283</v>
      </c>
      <c r="O825" s="221" t="s">
        <v>15</v>
      </c>
      <c r="P825" s="221" t="s">
        <v>15</v>
      </c>
      <c r="Q825" s="221" t="s">
        <v>15</v>
      </c>
      <c r="R825" s="221" t="s">
        <v>283</v>
      </c>
      <c r="S825" s="221" t="s">
        <v>283</v>
      </c>
      <c r="T825" s="221" t="s">
        <v>283</v>
      </c>
      <c r="U825" s="221" t="s">
        <v>283</v>
      </c>
      <c r="V825" s="221" t="s">
        <v>283</v>
      </c>
      <c r="W825" s="222" t="s">
        <v>283</v>
      </c>
      <c r="X825" s="222" t="s">
        <v>283</v>
      </c>
      <c r="Y825" s="223" t="s">
        <v>283</v>
      </c>
    </row>
    <row r="826" spans="1:25">
      <c r="A826" s="217">
        <v>15</v>
      </c>
      <c r="B826" s="218" t="str">
        <f>VLOOKUP(Tabel10[[#This Row],[Code]],Ruimtegroepen[[Code]:[Ruimte omschrijving]],2,FALSE)</f>
        <v>Keuken/pantry</v>
      </c>
      <c r="C826" s="219" t="s">
        <v>973</v>
      </c>
      <c r="D826" s="218" t="s">
        <v>28</v>
      </c>
      <c r="E826" s="219" t="s">
        <v>100</v>
      </c>
      <c r="F826" s="219" t="s">
        <v>974</v>
      </c>
      <c r="G826" s="224" t="s">
        <v>283</v>
      </c>
      <c r="H826" s="220" t="s">
        <v>283</v>
      </c>
      <c r="I826" s="220" t="s">
        <v>17</v>
      </c>
      <c r="J826" s="220" t="s">
        <v>283</v>
      </c>
      <c r="K826" s="220" t="s">
        <v>283</v>
      </c>
      <c r="L826" s="220" t="s">
        <v>283</v>
      </c>
      <c r="M826" s="220" t="s">
        <v>283</v>
      </c>
      <c r="N826" s="220" t="s">
        <v>283</v>
      </c>
      <c r="O826" s="221" t="s">
        <v>17</v>
      </c>
      <c r="P826" s="221" t="s">
        <v>17</v>
      </c>
      <c r="Q826" s="221" t="s">
        <v>15</v>
      </c>
      <c r="R826" s="221" t="s">
        <v>283</v>
      </c>
      <c r="S826" s="221" t="s">
        <v>283</v>
      </c>
      <c r="T826" s="221" t="s">
        <v>283</v>
      </c>
      <c r="U826" s="221" t="s">
        <v>283</v>
      </c>
      <c r="V826" s="221" t="s">
        <v>283</v>
      </c>
      <c r="W826" s="222" t="s">
        <v>283</v>
      </c>
      <c r="X826" s="222" t="s">
        <v>283</v>
      </c>
      <c r="Y826" s="223" t="s">
        <v>283</v>
      </c>
    </row>
    <row r="827" spans="1:25">
      <c r="A827" s="217">
        <v>15</v>
      </c>
      <c r="B827" s="218" t="str">
        <f>VLOOKUP(Tabel10[[#This Row],[Code]],Ruimtegroepen[[Code]:[Ruimte omschrijving]],2,FALSE)</f>
        <v>Keuken/pantry</v>
      </c>
      <c r="C827" s="219" t="s">
        <v>973</v>
      </c>
      <c r="D827" s="218" t="s">
        <v>28</v>
      </c>
      <c r="E827" s="219" t="s">
        <v>99</v>
      </c>
      <c r="F827" s="219" t="s">
        <v>975</v>
      </c>
      <c r="G827" s="224" t="s">
        <v>283</v>
      </c>
      <c r="H827" s="220" t="s">
        <v>17</v>
      </c>
      <c r="I827" s="220" t="s">
        <v>283</v>
      </c>
      <c r="J827" s="220" t="s">
        <v>283</v>
      </c>
      <c r="K827" s="220" t="s">
        <v>283</v>
      </c>
      <c r="L827" s="220" t="s">
        <v>283</v>
      </c>
      <c r="M827" s="220" t="s">
        <v>283</v>
      </c>
      <c r="N827" s="220" t="s">
        <v>283</v>
      </c>
      <c r="O827" s="221" t="s">
        <v>17</v>
      </c>
      <c r="P827" s="221" t="s">
        <v>17</v>
      </c>
      <c r="Q827" s="221" t="s">
        <v>15</v>
      </c>
      <c r="R827" s="221" t="s">
        <v>283</v>
      </c>
      <c r="S827" s="221" t="s">
        <v>283</v>
      </c>
      <c r="T827" s="221" t="s">
        <v>283</v>
      </c>
      <c r="U827" s="221" t="s">
        <v>283</v>
      </c>
      <c r="V827" s="221" t="s">
        <v>283</v>
      </c>
      <c r="W827" s="222" t="s">
        <v>283</v>
      </c>
      <c r="X827" s="222" t="s">
        <v>283</v>
      </c>
      <c r="Y827" s="223" t="s">
        <v>283</v>
      </c>
    </row>
    <row r="828" spans="1:25">
      <c r="A828" s="217">
        <v>15</v>
      </c>
      <c r="B828" s="218" t="str">
        <f>VLOOKUP(Tabel10[[#This Row],[Code]],Ruimtegroepen[[Code]:[Ruimte omschrijving]],2,FALSE)</f>
        <v>Keuken/pantry</v>
      </c>
      <c r="C828" s="219" t="s">
        <v>973</v>
      </c>
      <c r="D828" s="218" t="s">
        <v>28</v>
      </c>
      <c r="E828" s="219" t="s">
        <v>101</v>
      </c>
      <c r="F828" s="219" t="s">
        <v>976</v>
      </c>
      <c r="G828" s="224" t="s">
        <v>283</v>
      </c>
      <c r="H828" s="220" t="s">
        <v>283</v>
      </c>
      <c r="I828" s="220" t="s">
        <v>17</v>
      </c>
      <c r="J828" s="220" t="s">
        <v>283</v>
      </c>
      <c r="K828" s="220" t="s">
        <v>283</v>
      </c>
      <c r="L828" s="220" t="s">
        <v>283</v>
      </c>
      <c r="M828" s="220" t="s">
        <v>283</v>
      </c>
      <c r="N828" s="220" t="s">
        <v>283</v>
      </c>
      <c r="O828" s="221" t="s">
        <v>17</v>
      </c>
      <c r="P828" s="221" t="s">
        <v>17</v>
      </c>
      <c r="Q828" s="221" t="s">
        <v>15</v>
      </c>
      <c r="R828" s="221" t="s">
        <v>283</v>
      </c>
      <c r="S828" s="221" t="s">
        <v>283</v>
      </c>
      <c r="T828" s="221" t="s">
        <v>283</v>
      </c>
      <c r="U828" s="221" t="s">
        <v>283</v>
      </c>
      <c r="V828" s="221" t="s">
        <v>283</v>
      </c>
      <c r="W828" s="222" t="s">
        <v>283</v>
      </c>
      <c r="X828" s="222" t="s">
        <v>283</v>
      </c>
      <c r="Y828" s="223" t="s">
        <v>283</v>
      </c>
    </row>
    <row r="829" spans="1:25">
      <c r="A829" s="217">
        <v>15</v>
      </c>
      <c r="B829" s="218" t="str">
        <f>VLOOKUP(Tabel10[[#This Row],[Code]],Ruimtegroepen[[Code]:[Ruimte omschrijving]],2,FALSE)</f>
        <v>Keuken/pantry</v>
      </c>
      <c r="C829" s="219" t="s">
        <v>973</v>
      </c>
      <c r="D829" s="218" t="s">
        <v>28</v>
      </c>
      <c r="E829" s="219" t="s">
        <v>102</v>
      </c>
      <c r="F829" s="219" t="s">
        <v>977</v>
      </c>
      <c r="G829" s="224" t="s">
        <v>283</v>
      </c>
      <c r="H829" s="220" t="s">
        <v>283</v>
      </c>
      <c r="I829" s="220" t="s">
        <v>17</v>
      </c>
      <c r="J829" s="220" t="s">
        <v>283</v>
      </c>
      <c r="K829" s="220" t="s">
        <v>283</v>
      </c>
      <c r="L829" s="220" t="s">
        <v>283</v>
      </c>
      <c r="M829" s="220" t="s">
        <v>283</v>
      </c>
      <c r="N829" s="220" t="s">
        <v>283</v>
      </c>
      <c r="O829" s="221" t="s">
        <v>17</v>
      </c>
      <c r="P829" s="221" t="s">
        <v>17</v>
      </c>
      <c r="Q829" s="221" t="s">
        <v>15</v>
      </c>
      <c r="R829" s="221" t="s">
        <v>283</v>
      </c>
      <c r="S829" s="221" t="s">
        <v>283</v>
      </c>
      <c r="T829" s="221" t="s">
        <v>283</v>
      </c>
      <c r="U829" s="221" t="s">
        <v>283</v>
      </c>
      <c r="V829" s="221" t="s">
        <v>283</v>
      </c>
      <c r="W829" s="222" t="s">
        <v>283</v>
      </c>
      <c r="X829" s="222" t="s">
        <v>283</v>
      </c>
      <c r="Y829" s="223" t="s">
        <v>283</v>
      </c>
    </row>
    <row r="830" spans="1:25">
      <c r="A830" s="217">
        <v>15</v>
      </c>
      <c r="B830" s="218" t="str">
        <f>VLOOKUP(Tabel10[[#This Row],[Code]],Ruimtegroepen[[Code]:[Ruimte omschrijving]],2,FALSE)</f>
        <v>Keuken/pantry</v>
      </c>
      <c r="C830" s="219" t="s">
        <v>973</v>
      </c>
      <c r="D830" s="218" t="s">
        <v>28</v>
      </c>
      <c r="E830" s="219" t="s">
        <v>99</v>
      </c>
      <c r="F830" s="219" t="s">
        <v>975</v>
      </c>
      <c r="G830" s="224" t="s">
        <v>283</v>
      </c>
      <c r="H830" s="220" t="s">
        <v>17</v>
      </c>
      <c r="I830" s="220" t="s">
        <v>283</v>
      </c>
      <c r="J830" s="220" t="s">
        <v>283</v>
      </c>
      <c r="K830" s="220" t="s">
        <v>283</v>
      </c>
      <c r="L830" s="220" t="s">
        <v>283</v>
      </c>
      <c r="M830" s="220" t="s">
        <v>283</v>
      </c>
      <c r="N830" s="220" t="s">
        <v>283</v>
      </c>
      <c r="O830" s="221" t="s">
        <v>17</v>
      </c>
      <c r="P830" s="221" t="s">
        <v>17</v>
      </c>
      <c r="Q830" s="221" t="s">
        <v>15</v>
      </c>
      <c r="R830" s="221" t="s">
        <v>283</v>
      </c>
      <c r="S830" s="221" t="s">
        <v>283</v>
      </c>
      <c r="T830" s="221" t="s">
        <v>283</v>
      </c>
      <c r="U830" s="221" t="s">
        <v>283</v>
      </c>
      <c r="V830" s="221" t="s">
        <v>283</v>
      </c>
      <c r="W830" s="222" t="s">
        <v>283</v>
      </c>
      <c r="X830" s="222" t="s">
        <v>283</v>
      </c>
      <c r="Y830" s="223" t="s">
        <v>283</v>
      </c>
    </row>
    <row r="831" spans="1:25">
      <c r="A831" s="217">
        <v>15</v>
      </c>
      <c r="B831" s="218" t="str">
        <f>VLOOKUP(Tabel10[[#This Row],[Code]],Ruimtegroepen[[Code]:[Ruimte omschrijving]],2,FALSE)</f>
        <v>Keuken/pantry</v>
      </c>
      <c r="C831" s="219" t="s">
        <v>973</v>
      </c>
      <c r="D831" s="218" t="s">
        <v>28</v>
      </c>
      <c r="E831" s="219" t="s">
        <v>1313</v>
      </c>
      <c r="F831" s="219" t="s">
        <v>1425</v>
      </c>
      <c r="G831" s="224" t="s">
        <v>283</v>
      </c>
      <c r="H831" s="220" t="s">
        <v>283</v>
      </c>
      <c r="I831" s="220" t="s">
        <v>17</v>
      </c>
      <c r="J831" s="220" t="s">
        <v>283</v>
      </c>
      <c r="K831" s="220" t="s">
        <v>283</v>
      </c>
      <c r="L831" s="220" t="s">
        <v>283</v>
      </c>
      <c r="M831" s="220" t="s">
        <v>283</v>
      </c>
      <c r="N831" s="220" t="s">
        <v>283</v>
      </c>
      <c r="O831" s="221" t="s">
        <v>17</v>
      </c>
      <c r="P831" s="221" t="s">
        <v>17</v>
      </c>
      <c r="Q831" s="221" t="s">
        <v>15</v>
      </c>
      <c r="R831" s="221" t="s">
        <v>283</v>
      </c>
      <c r="S831" s="221" t="s">
        <v>283</v>
      </c>
      <c r="T831" s="221" t="s">
        <v>283</v>
      </c>
      <c r="U831" s="221" t="s">
        <v>283</v>
      </c>
      <c r="V831" s="221" t="s">
        <v>283</v>
      </c>
      <c r="W831" s="222" t="s">
        <v>283</v>
      </c>
      <c r="X831" s="222" t="s">
        <v>283</v>
      </c>
      <c r="Y831" s="223" t="s">
        <v>283</v>
      </c>
    </row>
    <row r="832" spans="1:25">
      <c r="A832" s="217">
        <v>16</v>
      </c>
      <c r="B832" s="218" t="str">
        <f>VLOOKUP(Tabel10[[#This Row],[Code]],Ruimtegroepen[[Code]:[Ruimte omschrijving]],2,FALSE)</f>
        <v>Leslokalen</v>
      </c>
      <c r="C832" s="219" t="s">
        <v>978</v>
      </c>
      <c r="D832" s="218" t="s">
        <v>29</v>
      </c>
      <c r="E832" s="219" t="s">
        <v>100</v>
      </c>
      <c r="F832" s="219" t="s">
        <v>979</v>
      </c>
      <c r="G832" s="224" t="s">
        <v>283</v>
      </c>
      <c r="H832" s="220" t="s">
        <v>283</v>
      </c>
      <c r="I832" s="220" t="s">
        <v>20</v>
      </c>
      <c r="J832" s="220" t="s">
        <v>15</v>
      </c>
      <c r="K832" s="220" t="s">
        <v>283</v>
      </c>
      <c r="L832" s="220" t="s">
        <v>283</v>
      </c>
      <c r="M832" s="220" t="s">
        <v>283</v>
      </c>
      <c r="N832" s="220" t="s">
        <v>2</v>
      </c>
      <c r="O832" s="221" t="s">
        <v>2</v>
      </c>
      <c r="P832" s="221" t="s">
        <v>2</v>
      </c>
      <c r="Q832" s="221" t="s">
        <v>15</v>
      </c>
      <c r="R832" s="221" t="s">
        <v>15</v>
      </c>
      <c r="S832" s="221" t="s">
        <v>16</v>
      </c>
      <c r="T832" s="221" t="s">
        <v>330</v>
      </c>
      <c r="U832" s="221" t="s">
        <v>250</v>
      </c>
      <c r="V832" s="221" t="s">
        <v>2</v>
      </c>
      <c r="W832" s="222" t="s">
        <v>283</v>
      </c>
      <c r="X832" s="222" t="s">
        <v>283</v>
      </c>
      <c r="Y832" s="223" t="s">
        <v>283</v>
      </c>
    </row>
    <row r="833" spans="1:25">
      <c r="A833" s="217">
        <v>16</v>
      </c>
      <c r="B833" s="218" t="str">
        <f>VLOOKUP(Tabel10[[#This Row],[Code]],Ruimtegroepen[[Code]:[Ruimte omschrijving]],2,FALSE)</f>
        <v>Leslokalen</v>
      </c>
      <c r="C833" s="219" t="s">
        <v>978</v>
      </c>
      <c r="D833" s="218" t="s">
        <v>29</v>
      </c>
      <c r="E833" s="219" t="s">
        <v>99</v>
      </c>
      <c r="F833" s="219" t="s">
        <v>980</v>
      </c>
      <c r="G833" s="220" t="s">
        <v>18</v>
      </c>
      <c r="H833" s="220" t="s">
        <v>17</v>
      </c>
      <c r="I833" s="220" t="s">
        <v>283</v>
      </c>
      <c r="J833" s="220" t="s">
        <v>283</v>
      </c>
      <c r="K833" s="220" t="s">
        <v>283</v>
      </c>
      <c r="L833" s="220" t="s">
        <v>283</v>
      </c>
      <c r="M833" s="220" t="s">
        <v>283</v>
      </c>
      <c r="N833" s="220" t="s">
        <v>2</v>
      </c>
      <c r="O833" s="221" t="s">
        <v>2</v>
      </c>
      <c r="P833" s="221" t="s">
        <v>2</v>
      </c>
      <c r="Q833" s="221" t="s">
        <v>15</v>
      </c>
      <c r="R833" s="221" t="s">
        <v>15</v>
      </c>
      <c r="S833" s="221" t="s">
        <v>16</v>
      </c>
      <c r="T833" s="221" t="s">
        <v>330</v>
      </c>
      <c r="U833" s="221" t="s">
        <v>250</v>
      </c>
      <c r="V833" s="221" t="s">
        <v>2</v>
      </c>
      <c r="W833" s="222" t="s">
        <v>283</v>
      </c>
      <c r="X833" s="222" t="s">
        <v>283</v>
      </c>
      <c r="Y833" s="223" t="s">
        <v>283</v>
      </c>
    </row>
    <row r="834" spans="1:25">
      <c r="A834" s="217">
        <v>16</v>
      </c>
      <c r="B834" s="218" t="str">
        <f>VLOOKUP(Tabel10[[#This Row],[Code]],Ruimtegroepen[[Code]:[Ruimte omschrijving]],2,FALSE)</f>
        <v>Leslokalen</v>
      </c>
      <c r="C834" s="219" t="s">
        <v>978</v>
      </c>
      <c r="D834" s="218" t="s">
        <v>29</v>
      </c>
      <c r="E834" s="219" t="s">
        <v>101</v>
      </c>
      <c r="F834" s="219" t="s">
        <v>981</v>
      </c>
      <c r="G834" s="224" t="s">
        <v>283</v>
      </c>
      <c r="H834" s="220" t="s">
        <v>283</v>
      </c>
      <c r="I834" s="220" t="s">
        <v>20</v>
      </c>
      <c r="J834" s="220" t="s">
        <v>15</v>
      </c>
      <c r="K834" s="220" t="s">
        <v>16</v>
      </c>
      <c r="L834" s="220" t="s">
        <v>283</v>
      </c>
      <c r="M834" s="220" t="s">
        <v>283</v>
      </c>
      <c r="N834" s="220" t="s">
        <v>2</v>
      </c>
      <c r="O834" s="221" t="s">
        <v>2</v>
      </c>
      <c r="P834" s="221" t="s">
        <v>2</v>
      </c>
      <c r="Q834" s="221" t="s">
        <v>15</v>
      </c>
      <c r="R834" s="221" t="s">
        <v>15</v>
      </c>
      <c r="S834" s="221" t="s">
        <v>16</v>
      </c>
      <c r="T834" s="221" t="s">
        <v>330</v>
      </c>
      <c r="U834" s="221" t="s">
        <v>250</v>
      </c>
      <c r="V834" s="221" t="s">
        <v>2</v>
      </c>
      <c r="W834" s="222" t="s">
        <v>283</v>
      </c>
      <c r="X834" s="222" t="s">
        <v>283</v>
      </c>
      <c r="Y834" s="223" t="s">
        <v>283</v>
      </c>
    </row>
    <row r="835" spans="1:25">
      <c r="A835" s="217">
        <v>16</v>
      </c>
      <c r="B835" s="218" t="str">
        <f>VLOOKUP(Tabel10[[#This Row],[Code]],Ruimtegroepen[[Code]:[Ruimte omschrijving]],2,FALSE)</f>
        <v>Leslokalen</v>
      </c>
      <c r="C835" s="219" t="s">
        <v>978</v>
      </c>
      <c r="D835" s="218" t="s">
        <v>29</v>
      </c>
      <c r="E835" s="219" t="s">
        <v>102</v>
      </c>
      <c r="F835" s="219" t="s">
        <v>982</v>
      </c>
      <c r="G835" s="224" t="s">
        <v>283</v>
      </c>
      <c r="H835" s="220" t="s">
        <v>283</v>
      </c>
      <c r="I835" s="220" t="s">
        <v>20</v>
      </c>
      <c r="J835" s="220" t="s">
        <v>15</v>
      </c>
      <c r="K835" s="220" t="s">
        <v>16</v>
      </c>
      <c r="L835" s="220" t="s">
        <v>283</v>
      </c>
      <c r="M835" s="220" t="s">
        <v>283</v>
      </c>
      <c r="N835" s="220" t="s">
        <v>2</v>
      </c>
      <c r="O835" s="221" t="s">
        <v>2</v>
      </c>
      <c r="P835" s="221" t="s">
        <v>2</v>
      </c>
      <c r="Q835" s="221" t="s">
        <v>15</v>
      </c>
      <c r="R835" s="221" t="s">
        <v>15</v>
      </c>
      <c r="S835" s="221" t="s">
        <v>16</v>
      </c>
      <c r="T835" s="221" t="s">
        <v>330</v>
      </c>
      <c r="U835" s="221" t="s">
        <v>250</v>
      </c>
      <c r="V835" s="221" t="s">
        <v>2</v>
      </c>
      <c r="W835" s="222" t="s">
        <v>283</v>
      </c>
      <c r="X835" s="222" t="s">
        <v>283</v>
      </c>
      <c r="Y835" s="223" t="s">
        <v>283</v>
      </c>
    </row>
    <row r="836" spans="1:25">
      <c r="A836" s="217">
        <v>16</v>
      </c>
      <c r="B836" s="218" t="str">
        <f>VLOOKUP(Tabel10[[#This Row],[Code]],Ruimtegroepen[[Code]:[Ruimte omschrijving]],2,FALSE)</f>
        <v>Leslokalen</v>
      </c>
      <c r="C836" s="219" t="s">
        <v>978</v>
      </c>
      <c r="D836" s="218" t="s">
        <v>29</v>
      </c>
      <c r="E836" s="219" t="s">
        <v>99</v>
      </c>
      <c r="F836" s="219" t="s">
        <v>980</v>
      </c>
      <c r="G836" s="220" t="s">
        <v>18</v>
      </c>
      <c r="H836" s="220" t="s">
        <v>17</v>
      </c>
      <c r="I836" s="220" t="s">
        <v>283</v>
      </c>
      <c r="J836" s="220" t="s">
        <v>283</v>
      </c>
      <c r="K836" s="220" t="s">
        <v>283</v>
      </c>
      <c r="L836" s="220" t="s">
        <v>283</v>
      </c>
      <c r="M836" s="220" t="s">
        <v>283</v>
      </c>
      <c r="N836" s="220" t="s">
        <v>283</v>
      </c>
      <c r="O836" s="221" t="s">
        <v>283</v>
      </c>
      <c r="P836" s="221" t="s">
        <v>283</v>
      </c>
      <c r="Q836" s="221" t="s">
        <v>283</v>
      </c>
      <c r="R836" s="221" t="s">
        <v>283</v>
      </c>
      <c r="S836" s="221" t="s">
        <v>283</v>
      </c>
      <c r="T836" s="221" t="s">
        <v>283</v>
      </c>
      <c r="U836" s="221" t="s">
        <v>283</v>
      </c>
      <c r="V836" s="221" t="s">
        <v>283</v>
      </c>
      <c r="W836" s="222" t="s">
        <v>283</v>
      </c>
      <c r="X836" s="222" t="s">
        <v>283</v>
      </c>
      <c r="Y836" s="223" t="s">
        <v>283</v>
      </c>
    </row>
    <row r="837" spans="1:25">
      <c r="A837" s="217">
        <v>16</v>
      </c>
      <c r="B837" s="218" t="str">
        <f>VLOOKUP(Tabel10[[#This Row],[Code]],Ruimtegroepen[[Code]:[Ruimte omschrijving]],2,FALSE)</f>
        <v>Leslokalen</v>
      </c>
      <c r="C837" s="219" t="s">
        <v>978</v>
      </c>
      <c r="D837" s="218" t="s">
        <v>29</v>
      </c>
      <c r="E837" s="219" t="s">
        <v>1313</v>
      </c>
      <c r="F837" s="219" t="s">
        <v>1493</v>
      </c>
      <c r="G837" s="224" t="s">
        <v>283</v>
      </c>
      <c r="H837" s="220" t="s">
        <v>283</v>
      </c>
      <c r="I837" s="220" t="s">
        <v>20</v>
      </c>
      <c r="J837" s="220" t="s">
        <v>15</v>
      </c>
      <c r="K837" s="220" t="s">
        <v>16</v>
      </c>
      <c r="L837" s="220" t="s">
        <v>283</v>
      </c>
      <c r="M837" s="220" t="s">
        <v>283</v>
      </c>
      <c r="N837" s="220" t="s">
        <v>2</v>
      </c>
      <c r="O837" s="221" t="s">
        <v>2</v>
      </c>
      <c r="P837" s="221" t="s">
        <v>2</v>
      </c>
      <c r="Q837" s="221" t="s">
        <v>15</v>
      </c>
      <c r="R837" s="221" t="s">
        <v>15</v>
      </c>
      <c r="S837" s="221" t="s">
        <v>16</v>
      </c>
      <c r="T837" s="221" t="s">
        <v>330</v>
      </c>
      <c r="U837" s="221" t="s">
        <v>250</v>
      </c>
      <c r="V837" s="221" t="s">
        <v>2</v>
      </c>
      <c r="W837" s="222" t="s">
        <v>283</v>
      </c>
      <c r="X837" s="222" t="s">
        <v>283</v>
      </c>
      <c r="Y837" s="223" t="s">
        <v>283</v>
      </c>
    </row>
    <row r="838" spans="1:25">
      <c r="A838" s="217">
        <v>16</v>
      </c>
      <c r="B838" s="218" t="str">
        <f>VLOOKUP(Tabel10[[#This Row],[Code]],Ruimtegroepen[[Code]:[Ruimte omschrijving]],2,FALSE)</f>
        <v>Leslokalen</v>
      </c>
      <c r="C838" s="219" t="s">
        <v>983</v>
      </c>
      <c r="D838" s="218" t="s">
        <v>1</v>
      </c>
      <c r="E838" s="219" t="s">
        <v>100</v>
      </c>
      <c r="F838" s="219" t="s">
        <v>984</v>
      </c>
      <c r="G838" s="224" t="s">
        <v>283</v>
      </c>
      <c r="H838" s="220" t="s">
        <v>283</v>
      </c>
      <c r="I838" s="220" t="s">
        <v>20</v>
      </c>
      <c r="J838" s="220" t="s">
        <v>15</v>
      </c>
      <c r="K838" s="220" t="s">
        <v>283</v>
      </c>
      <c r="L838" s="220" t="s">
        <v>283</v>
      </c>
      <c r="M838" s="220" t="s">
        <v>283</v>
      </c>
      <c r="N838" s="220" t="s">
        <v>283</v>
      </c>
      <c r="O838" s="221" t="s">
        <v>2</v>
      </c>
      <c r="P838" s="221" t="s">
        <v>2</v>
      </c>
      <c r="Q838" s="221" t="s">
        <v>15</v>
      </c>
      <c r="R838" s="221" t="s">
        <v>15</v>
      </c>
      <c r="S838" s="221" t="s">
        <v>16</v>
      </c>
      <c r="T838" s="221" t="s">
        <v>330</v>
      </c>
      <c r="U838" s="221" t="s">
        <v>250</v>
      </c>
      <c r="V838" s="221" t="s">
        <v>283</v>
      </c>
      <c r="W838" s="222" t="s">
        <v>283</v>
      </c>
      <c r="X838" s="222" t="s">
        <v>283</v>
      </c>
      <c r="Y838" s="223" t="s">
        <v>283</v>
      </c>
    </row>
    <row r="839" spans="1:25">
      <c r="A839" s="217">
        <v>16</v>
      </c>
      <c r="B839" s="218" t="str">
        <f>VLOOKUP(Tabel10[[#This Row],[Code]],Ruimtegroepen[[Code]:[Ruimte omschrijving]],2,FALSE)</f>
        <v>Leslokalen</v>
      </c>
      <c r="C839" s="219" t="s">
        <v>983</v>
      </c>
      <c r="D839" s="218" t="s">
        <v>1</v>
      </c>
      <c r="E839" s="219" t="s">
        <v>99</v>
      </c>
      <c r="F839" s="219" t="s">
        <v>985</v>
      </c>
      <c r="G839" s="220" t="s">
        <v>18</v>
      </c>
      <c r="H839" s="220" t="s">
        <v>17</v>
      </c>
      <c r="I839" s="220" t="s">
        <v>283</v>
      </c>
      <c r="J839" s="220" t="s">
        <v>283</v>
      </c>
      <c r="K839" s="220" t="s">
        <v>283</v>
      </c>
      <c r="L839" s="220" t="s">
        <v>283</v>
      </c>
      <c r="M839" s="220" t="s">
        <v>283</v>
      </c>
      <c r="N839" s="220" t="s">
        <v>283</v>
      </c>
      <c r="O839" s="221" t="s">
        <v>2</v>
      </c>
      <c r="P839" s="221" t="s">
        <v>2</v>
      </c>
      <c r="Q839" s="221" t="s">
        <v>15</v>
      </c>
      <c r="R839" s="221" t="s">
        <v>15</v>
      </c>
      <c r="S839" s="221" t="s">
        <v>16</v>
      </c>
      <c r="T839" s="221" t="s">
        <v>330</v>
      </c>
      <c r="U839" s="221" t="s">
        <v>250</v>
      </c>
      <c r="V839" s="221" t="s">
        <v>283</v>
      </c>
      <c r="W839" s="222" t="s">
        <v>283</v>
      </c>
      <c r="X839" s="222" t="s">
        <v>283</v>
      </c>
      <c r="Y839" s="223" t="s">
        <v>283</v>
      </c>
    </row>
    <row r="840" spans="1:25">
      <c r="A840" s="217">
        <v>16</v>
      </c>
      <c r="B840" s="218" t="str">
        <f>VLOOKUP(Tabel10[[#This Row],[Code]],Ruimtegroepen[[Code]:[Ruimte omschrijving]],2,FALSE)</f>
        <v>Leslokalen</v>
      </c>
      <c r="C840" s="219" t="s">
        <v>983</v>
      </c>
      <c r="D840" s="218" t="s">
        <v>1</v>
      </c>
      <c r="E840" s="219" t="s">
        <v>101</v>
      </c>
      <c r="F840" s="219" t="s">
        <v>986</v>
      </c>
      <c r="G840" s="224" t="s">
        <v>283</v>
      </c>
      <c r="H840" s="220" t="s">
        <v>283</v>
      </c>
      <c r="I840" s="220" t="s">
        <v>20</v>
      </c>
      <c r="J840" s="220" t="s">
        <v>15</v>
      </c>
      <c r="K840" s="220" t="s">
        <v>16</v>
      </c>
      <c r="L840" s="220" t="s">
        <v>283</v>
      </c>
      <c r="M840" s="220" t="s">
        <v>283</v>
      </c>
      <c r="N840" s="220" t="s">
        <v>283</v>
      </c>
      <c r="O840" s="221" t="s">
        <v>2</v>
      </c>
      <c r="P840" s="221" t="s">
        <v>2</v>
      </c>
      <c r="Q840" s="221" t="s">
        <v>15</v>
      </c>
      <c r="R840" s="221" t="s">
        <v>15</v>
      </c>
      <c r="S840" s="221" t="s">
        <v>16</v>
      </c>
      <c r="T840" s="221" t="s">
        <v>330</v>
      </c>
      <c r="U840" s="221" t="s">
        <v>250</v>
      </c>
      <c r="V840" s="221" t="s">
        <v>283</v>
      </c>
      <c r="W840" s="222" t="s">
        <v>283</v>
      </c>
      <c r="X840" s="222" t="s">
        <v>283</v>
      </c>
      <c r="Y840" s="223" t="s">
        <v>283</v>
      </c>
    </row>
    <row r="841" spans="1:25">
      <c r="A841" s="217">
        <v>16</v>
      </c>
      <c r="B841" s="218" t="str">
        <f>VLOOKUP(Tabel10[[#This Row],[Code]],Ruimtegroepen[[Code]:[Ruimte omschrijving]],2,FALSE)</f>
        <v>Leslokalen</v>
      </c>
      <c r="C841" s="219" t="s">
        <v>983</v>
      </c>
      <c r="D841" s="218" t="s">
        <v>1</v>
      </c>
      <c r="E841" s="219" t="s">
        <v>102</v>
      </c>
      <c r="F841" s="219" t="s">
        <v>987</v>
      </c>
      <c r="G841" s="224" t="s">
        <v>283</v>
      </c>
      <c r="H841" s="220" t="s">
        <v>283</v>
      </c>
      <c r="I841" s="220" t="s">
        <v>20</v>
      </c>
      <c r="J841" s="220" t="s">
        <v>15</v>
      </c>
      <c r="K841" s="220" t="s">
        <v>16</v>
      </c>
      <c r="L841" s="220" t="s">
        <v>283</v>
      </c>
      <c r="M841" s="220" t="s">
        <v>283</v>
      </c>
      <c r="N841" s="220" t="s">
        <v>283</v>
      </c>
      <c r="O841" s="221" t="s">
        <v>2</v>
      </c>
      <c r="P841" s="221" t="s">
        <v>2</v>
      </c>
      <c r="Q841" s="221" t="s">
        <v>15</v>
      </c>
      <c r="R841" s="221" t="s">
        <v>15</v>
      </c>
      <c r="S841" s="221" t="s">
        <v>16</v>
      </c>
      <c r="T841" s="221" t="s">
        <v>330</v>
      </c>
      <c r="U841" s="221" t="s">
        <v>250</v>
      </c>
      <c r="V841" s="221" t="s">
        <v>283</v>
      </c>
      <c r="W841" s="222" t="s">
        <v>283</v>
      </c>
      <c r="X841" s="222" t="s">
        <v>283</v>
      </c>
      <c r="Y841" s="223" t="s">
        <v>283</v>
      </c>
    </row>
    <row r="842" spans="1:25">
      <c r="A842" s="217">
        <v>16</v>
      </c>
      <c r="B842" s="218" t="str">
        <f>VLOOKUP(Tabel10[[#This Row],[Code]],Ruimtegroepen[[Code]:[Ruimte omschrijving]],2,FALSE)</f>
        <v>Leslokalen</v>
      </c>
      <c r="C842" s="219" t="s">
        <v>983</v>
      </c>
      <c r="D842" s="218" t="s">
        <v>1</v>
      </c>
      <c r="E842" s="219" t="s">
        <v>99</v>
      </c>
      <c r="F842" s="219" t="s">
        <v>985</v>
      </c>
      <c r="G842" s="220" t="s">
        <v>18</v>
      </c>
      <c r="H842" s="220" t="s">
        <v>17</v>
      </c>
      <c r="I842" s="220" t="s">
        <v>283</v>
      </c>
      <c r="J842" s="220" t="s">
        <v>283</v>
      </c>
      <c r="K842" s="220" t="s">
        <v>283</v>
      </c>
      <c r="L842" s="220" t="s">
        <v>283</v>
      </c>
      <c r="M842" s="220" t="s">
        <v>283</v>
      </c>
      <c r="N842" s="220" t="s">
        <v>283</v>
      </c>
      <c r="O842" s="221" t="s">
        <v>2</v>
      </c>
      <c r="P842" s="221" t="s">
        <v>2</v>
      </c>
      <c r="Q842" s="221" t="s">
        <v>15</v>
      </c>
      <c r="R842" s="221" t="s">
        <v>15</v>
      </c>
      <c r="S842" s="221" t="s">
        <v>16</v>
      </c>
      <c r="T842" s="221" t="s">
        <v>330</v>
      </c>
      <c r="U842" s="221" t="s">
        <v>250</v>
      </c>
      <c r="V842" s="221" t="s">
        <v>283</v>
      </c>
      <c r="W842" s="222" t="s">
        <v>283</v>
      </c>
      <c r="X842" s="222" t="s">
        <v>283</v>
      </c>
      <c r="Y842" s="223" t="s">
        <v>283</v>
      </c>
    </row>
    <row r="843" spans="1:25">
      <c r="A843" s="217">
        <v>16</v>
      </c>
      <c r="B843" s="218" t="str">
        <f>VLOOKUP(Tabel10[[#This Row],[Code]],Ruimtegroepen[[Code]:[Ruimte omschrijving]],2,FALSE)</f>
        <v>Leslokalen</v>
      </c>
      <c r="C843" s="219" t="s">
        <v>983</v>
      </c>
      <c r="D843" s="218" t="s">
        <v>1</v>
      </c>
      <c r="E843" s="219" t="s">
        <v>1313</v>
      </c>
      <c r="F843" s="219" t="s">
        <v>1477</v>
      </c>
      <c r="G843" s="224" t="s">
        <v>283</v>
      </c>
      <c r="H843" s="220" t="s">
        <v>283</v>
      </c>
      <c r="I843" s="220" t="s">
        <v>20</v>
      </c>
      <c r="J843" s="220" t="s">
        <v>15</v>
      </c>
      <c r="K843" s="220" t="s">
        <v>16</v>
      </c>
      <c r="L843" s="220" t="s">
        <v>283</v>
      </c>
      <c r="M843" s="220" t="s">
        <v>283</v>
      </c>
      <c r="N843" s="220" t="s">
        <v>283</v>
      </c>
      <c r="O843" s="221" t="s">
        <v>2</v>
      </c>
      <c r="P843" s="221" t="s">
        <v>2</v>
      </c>
      <c r="Q843" s="221" t="s">
        <v>15</v>
      </c>
      <c r="R843" s="221" t="s">
        <v>15</v>
      </c>
      <c r="S843" s="221" t="s">
        <v>16</v>
      </c>
      <c r="T843" s="221" t="s">
        <v>330</v>
      </c>
      <c r="U843" s="221" t="s">
        <v>250</v>
      </c>
      <c r="V843" s="221" t="s">
        <v>283</v>
      </c>
      <c r="W843" s="222" t="s">
        <v>283</v>
      </c>
      <c r="X843" s="222" t="s">
        <v>283</v>
      </c>
      <c r="Y843" s="223" t="s">
        <v>283</v>
      </c>
    </row>
    <row r="844" spans="1:25">
      <c r="A844" s="217">
        <v>16</v>
      </c>
      <c r="B844" s="218" t="str">
        <f>VLOOKUP(Tabel10[[#This Row],[Code]],Ruimtegroepen[[Code]:[Ruimte omschrijving]],2,FALSE)</f>
        <v>Leslokalen</v>
      </c>
      <c r="C844" s="219" t="s">
        <v>988</v>
      </c>
      <c r="D844" s="218" t="s">
        <v>21</v>
      </c>
      <c r="E844" s="219" t="s">
        <v>100</v>
      </c>
      <c r="F844" s="219" t="s">
        <v>989</v>
      </c>
      <c r="G844" s="224" t="s">
        <v>283</v>
      </c>
      <c r="H844" s="220" t="s">
        <v>283</v>
      </c>
      <c r="I844" s="220" t="s">
        <v>18</v>
      </c>
      <c r="J844" s="220" t="s">
        <v>15</v>
      </c>
      <c r="K844" s="220" t="s">
        <v>283</v>
      </c>
      <c r="L844" s="220" t="s">
        <v>283</v>
      </c>
      <c r="M844" s="220" t="s">
        <v>283</v>
      </c>
      <c r="N844" s="220" t="s">
        <v>283</v>
      </c>
      <c r="O844" s="221" t="s">
        <v>20</v>
      </c>
      <c r="P844" s="221" t="s">
        <v>20</v>
      </c>
      <c r="Q844" s="221" t="s">
        <v>15</v>
      </c>
      <c r="R844" s="221" t="s">
        <v>15</v>
      </c>
      <c r="S844" s="221" t="s">
        <v>16</v>
      </c>
      <c r="T844" s="221" t="s">
        <v>330</v>
      </c>
      <c r="U844" s="221" t="s">
        <v>250</v>
      </c>
      <c r="V844" s="221" t="s">
        <v>283</v>
      </c>
      <c r="W844" s="222" t="s">
        <v>283</v>
      </c>
      <c r="X844" s="222" t="s">
        <v>283</v>
      </c>
      <c r="Y844" s="223" t="s">
        <v>283</v>
      </c>
    </row>
    <row r="845" spans="1:25">
      <c r="A845" s="217">
        <v>16</v>
      </c>
      <c r="B845" s="218" t="str">
        <f>VLOOKUP(Tabel10[[#This Row],[Code]],Ruimtegroepen[[Code]:[Ruimte omschrijving]],2,FALSE)</f>
        <v>Leslokalen</v>
      </c>
      <c r="C845" s="219" t="s">
        <v>988</v>
      </c>
      <c r="D845" s="218" t="s">
        <v>21</v>
      </c>
      <c r="E845" s="219" t="s">
        <v>99</v>
      </c>
      <c r="F845" s="219" t="s">
        <v>990</v>
      </c>
      <c r="G845" s="220" t="s">
        <v>17</v>
      </c>
      <c r="H845" s="220" t="s">
        <v>17</v>
      </c>
      <c r="I845" s="220" t="s">
        <v>283</v>
      </c>
      <c r="J845" s="220" t="s">
        <v>283</v>
      </c>
      <c r="K845" s="220" t="s">
        <v>283</v>
      </c>
      <c r="L845" s="220" t="s">
        <v>283</v>
      </c>
      <c r="M845" s="220" t="s">
        <v>283</v>
      </c>
      <c r="N845" s="220" t="s">
        <v>283</v>
      </c>
      <c r="O845" s="221" t="s">
        <v>20</v>
      </c>
      <c r="P845" s="221" t="s">
        <v>20</v>
      </c>
      <c r="Q845" s="221" t="s">
        <v>15</v>
      </c>
      <c r="R845" s="221" t="s">
        <v>15</v>
      </c>
      <c r="S845" s="221" t="s">
        <v>16</v>
      </c>
      <c r="T845" s="221" t="s">
        <v>330</v>
      </c>
      <c r="U845" s="221" t="s">
        <v>250</v>
      </c>
      <c r="V845" s="221" t="s">
        <v>283</v>
      </c>
      <c r="W845" s="222" t="s">
        <v>283</v>
      </c>
      <c r="X845" s="222" t="s">
        <v>283</v>
      </c>
      <c r="Y845" s="223" t="s">
        <v>283</v>
      </c>
    </row>
    <row r="846" spans="1:25">
      <c r="A846" s="217">
        <v>16</v>
      </c>
      <c r="B846" s="218" t="str">
        <f>VLOOKUP(Tabel10[[#This Row],[Code]],Ruimtegroepen[[Code]:[Ruimte omschrijving]],2,FALSE)</f>
        <v>Leslokalen</v>
      </c>
      <c r="C846" s="219" t="s">
        <v>988</v>
      </c>
      <c r="D846" s="218" t="s">
        <v>21</v>
      </c>
      <c r="E846" s="219" t="s">
        <v>101</v>
      </c>
      <c r="F846" s="219" t="s">
        <v>991</v>
      </c>
      <c r="G846" s="224" t="s">
        <v>283</v>
      </c>
      <c r="H846" s="220" t="s">
        <v>283</v>
      </c>
      <c r="I846" s="220" t="s">
        <v>18</v>
      </c>
      <c r="J846" s="220" t="s">
        <v>15</v>
      </c>
      <c r="K846" s="220" t="s">
        <v>16</v>
      </c>
      <c r="L846" s="220" t="s">
        <v>283</v>
      </c>
      <c r="M846" s="220" t="s">
        <v>283</v>
      </c>
      <c r="N846" s="220" t="s">
        <v>283</v>
      </c>
      <c r="O846" s="221" t="s">
        <v>20</v>
      </c>
      <c r="P846" s="221" t="s">
        <v>20</v>
      </c>
      <c r="Q846" s="221" t="s">
        <v>15</v>
      </c>
      <c r="R846" s="221" t="s">
        <v>15</v>
      </c>
      <c r="S846" s="221" t="s">
        <v>16</v>
      </c>
      <c r="T846" s="221" t="s">
        <v>330</v>
      </c>
      <c r="U846" s="221" t="s">
        <v>250</v>
      </c>
      <c r="V846" s="221" t="s">
        <v>283</v>
      </c>
      <c r="W846" s="222" t="s">
        <v>283</v>
      </c>
      <c r="X846" s="222" t="s">
        <v>283</v>
      </c>
      <c r="Y846" s="223" t="s">
        <v>283</v>
      </c>
    </row>
    <row r="847" spans="1:25">
      <c r="A847" s="217">
        <v>16</v>
      </c>
      <c r="B847" s="218" t="str">
        <f>VLOOKUP(Tabel10[[#This Row],[Code]],Ruimtegroepen[[Code]:[Ruimte omschrijving]],2,FALSE)</f>
        <v>Leslokalen</v>
      </c>
      <c r="C847" s="219" t="s">
        <v>988</v>
      </c>
      <c r="D847" s="218" t="s">
        <v>21</v>
      </c>
      <c r="E847" s="219" t="s">
        <v>102</v>
      </c>
      <c r="F847" s="219" t="s">
        <v>992</v>
      </c>
      <c r="G847" s="224" t="s">
        <v>283</v>
      </c>
      <c r="H847" s="220" t="s">
        <v>283</v>
      </c>
      <c r="I847" s="220" t="s">
        <v>18</v>
      </c>
      <c r="J847" s="220" t="s">
        <v>15</v>
      </c>
      <c r="K847" s="220" t="s">
        <v>16</v>
      </c>
      <c r="L847" s="220" t="s">
        <v>283</v>
      </c>
      <c r="M847" s="220" t="s">
        <v>283</v>
      </c>
      <c r="N847" s="220" t="s">
        <v>283</v>
      </c>
      <c r="O847" s="221" t="s">
        <v>20</v>
      </c>
      <c r="P847" s="221" t="s">
        <v>20</v>
      </c>
      <c r="Q847" s="221" t="s">
        <v>15</v>
      </c>
      <c r="R847" s="221" t="s">
        <v>15</v>
      </c>
      <c r="S847" s="221" t="s">
        <v>16</v>
      </c>
      <c r="T847" s="221" t="s">
        <v>330</v>
      </c>
      <c r="U847" s="221" t="s">
        <v>250</v>
      </c>
      <c r="V847" s="221" t="s">
        <v>283</v>
      </c>
      <c r="W847" s="222" t="s">
        <v>283</v>
      </c>
      <c r="X847" s="222" t="s">
        <v>283</v>
      </c>
      <c r="Y847" s="223" t="s">
        <v>283</v>
      </c>
    </row>
    <row r="848" spans="1:25">
      <c r="A848" s="217">
        <v>16</v>
      </c>
      <c r="B848" s="218" t="str">
        <f>VLOOKUP(Tabel10[[#This Row],[Code]],Ruimtegroepen[[Code]:[Ruimte omschrijving]],2,FALSE)</f>
        <v>Leslokalen</v>
      </c>
      <c r="C848" s="219" t="s">
        <v>988</v>
      </c>
      <c r="D848" s="218" t="s">
        <v>21</v>
      </c>
      <c r="E848" s="219" t="s">
        <v>99</v>
      </c>
      <c r="F848" s="219" t="s">
        <v>990</v>
      </c>
      <c r="G848" s="220" t="s">
        <v>17</v>
      </c>
      <c r="H848" s="220" t="s">
        <v>17</v>
      </c>
      <c r="I848" s="220" t="s">
        <v>283</v>
      </c>
      <c r="J848" s="220" t="s">
        <v>283</v>
      </c>
      <c r="K848" s="220" t="s">
        <v>283</v>
      </c>
      <c r="L848" s="220" t="s">
        <v>283</v>
      </c>
      <c r="M848" s="220" t="s">
        <v>283</v>
      </c>
      <c r="N848" s="220" t="s">
        <v>283</v>
      </c>
      <c r="O848" s="221" t="s">
        <v>283</v>
      </c>
      <c r="P848" s="221" t="s">
        <v>283</v>
      </c>
      <c r="Q848" s="221" t="s">
        <v>283</v>
      </c>
      <c r="R848" s="221" t="s">
        <v>283</v>
      </c>
      <c r="S848" s="221" t="s">
        <v>283</v>
      </c>
      <c r="T848" s="221" t="s">
        <v>283</v>
      </c>
      <c r="U848" s="221" t="s">
        <v>283</v>
      </c>
      <c r="V848" s="221" t="s">
        <v>283</v>
      </c>
      <c r="W848" s="222" t="s">
        <v>283</v>
      </c>
      <c r="X848" s="222" t="s">
        <v>283</v>
      </c>
      <c r="Y848" s="223" t="s">
        <v>283</v>
      </c>
    </row>
    <row r="849" spans="1:25">
      <c r="A849" s="217">
        <v>16</v>
      </c>
      <c r="B849" s="218" t="str">
        <f>VLOOKUP(Tabel10[[#This Row],[Code]],Ruimtegroepen[[Code]:[Ruimte omschrijving]],2,FALSE)</f>
        <v>Leslokalen</v>
      </c>
      <c r="C849" s="219" t="s">
        <v>988</v>
      </c>
      <c r="D849" s="218" t="s">
        <v>21</v>
      </c>
      <c r="E849" s="219" t="s">
        <v>1313</v>
      </c>
      <c r="F849" s="219" t="s">
        <v>1460</v>
      </c>
      <c r="G849" s="224" t="s">
        <v>283</v>
      </c>
      <c r="H849" s="220" t="s">
        <v>283</v>
      </c>
      <c r="I849" s="220" t="s">
        <v>18</v>
      </c>
      <c r="J849" s="220" t="s">
        <v>15</v>
      </c>
      <c r="K849" s="220" t="s">
        <v>16</v>
      </c>
      <c r="L849" s="220" t="s">
        <v>283</v>
      </c>
      <c r="M849" s="220" t="s">
        <v>283</v>
      </c>
      <c r="N849" s="220" t="s">
        <v>283</v>
      </c>
      <c r="O849" s="221" t="s">
        <v>20</v>
      </c>
      <c r="P849" s="221" t="s">
        <v>20</v>
      </c>
      <c r="Q849" s="221" t="s">
        <v>15</v>
      </c>
      <c r="R849" s="221" t="s">
        <v>15</v>
      </c>
      <c r="S849" s="221" t="s">
        <v>16</v>
      </c>
      <c r="T849" s="221" t="s">
        <v>330</v>
      </c>
      <c r="U849" s="221" t="s">
        <v>250</v>
      </c>
      <c r="V849" s="221" t="s">
        <v>283</v>
      </c>
      <c r="W849" s="222" t="s">
        <v>283</v>
      </c>
      <c r="X849" s="222" t="s">
        <v>283</v>
      </c>
      <c r="Y849" s="223" t="s">
        <v>283</v>
      </c>
    </row>
    <row r="850" spans="1:25">
      <c r="A850" s="217">
        <v>16</v>
      </c>
      <c r="B850" s="218" t="str">
        <f>VLOOKUP(Tabel10[[#This Row],[Code]],Ruimtegroepen[[Code]:[Ruimte omschrijving]],2,FALSE)</f>
        <v>Leslokalen</v>
      </c>
      <c r="C850" s="219" t="s">
        <v>993</v>
      </c>
      <c r="D850" s="218" t="s">
        <v>12</v>
      </c>
      <c r="E850" s="219" t="s">
        <v>100</v>
      </c>
      <c r="F850" s="219" t="s">
        <v>994</v>
      </c>
      <c r="G850" s="224" t="s">
        <v>283</v>
      </c>
      <c r="H850" s="220" t="s">
        <v>283</v>
      </c>
      <c r="I850" s="220" t="s">
        <v>17</v>
      </c>
      <c r="J850" s="220" t="s">
        <v>15</v>
      </c>
      <c r="K850" s="220" t="s">
        <v>283</v>
      </c>
      <c r="L850" s="220" t="s">
        <v>283</v>
      </c>
      <c r="M850" s="220" t="s">
        <v>283</v>
      </c>
      <c r="N850" s="220" t="s">
        <v>283</v>
      </c>
      <c r="O850" s="221" t="s">
        <v>18</v>
      </c>
      <c r="P850" s="221" t="s">
        <v>18</v>
      </c>
      <c r="Q850" s="221" t="s">
        <v>15</v>
      </c>
      <c r="R850" s="221" t="s">
        <v>15</v>
      </c>
      <c r="S850" s="221" t="s">
        <v>16</v>
      </c>
      <c r="T850" s="221" t="s">
        <v>330</v>
      </c>
      <c r="U850" s="221" t="s">
        <v>250</v>
      </c>
      <c r="V850" s="221" t="s">
        <v>283</v>
      </c>
      <c r="W850" s="222" t="s">
        <v>283</v>
      </c>
      <c r="X850" s="222" t="s">
        <v>283</v>
      </c>
      <c r="Y850" s="223" t="s">
        <v>283</v>
      </c>
    </row>
    <row r="851" spans="1:25">
      <c r="A851" s="217">
        <v>16</v>
      </c>
      <c r="B851" s="218" t="str">
        <f>VLOOKUP(Tabel10[[#This Row],[Code]],Ruimtegroepen[[Code]:[Ruimte omschrijving]],2,FALSE)</f>
        <v>Leslokalen</v>
      </c>
      <c r="C851" s="219" t="s">
        <v>993</v>
      </c>
      <c r="D851" s="218" t="s">
        <v>12</v>
      </c>
      <c r="E851" s="219" t="s">
        <v>99</v>
      </c>
      <c r="F851" s="219" t="s">
        <v>995</v>
      </c>
      <c r="G851" s="220" t="s">
        <v>17</v>
      </c>
      <c r="H851" s="220" t="s">
        <v>15</v>
      </c>
      <c r="I851" s="220" t="s">
        <v>283</v>
      </c>
      <c r="J851" s="220" t="s">
        <v>283</v>
      </c>
      <c r="K851" s="220" t="s">
        <v>283</v>
      </c>
      <c r="L851" s="220" t="s">
        <v>283</v>
      </c>
      <c r="M851" s="220" t="s">
        <v>283</v>
      </c>
      <c r="N851" s="220" t="s">
        <v>283</v>
      </c>
      <c r="O851" s="221" t="s">
        <v>18</v>
      </c>
      <c r="P851" s="221" t="s">
        <v>18</v>
      </c>
      <c r="Q851" s="221" t="s">
        <v>15</v>
      </c>
      <c r="R851" s="221" t="s">
        <v>15</v>
      </c>
      <c r="S851" s="221" t="s">
        <v>16</v>
      </c>
      <c r="T851" s="221" t="s">
        <v>330</v>
      </c>
      <c r="U851" s="221" t="s">
        <v>250</v>
      </c>
      <c r="V851" s="221" t="s">
        <v>283</v>
      </c>
      <c r="W851" s="222" t="s">
        <v>283</v>
      </c>
      <c r="X851" s="222" t="s">
        <v>283</v>
      </c>
      <c r="Y851" s="223" t="s">
        <v>283</v>
      </c>
    </row>
    <row r="852" spans="1:25">
      <c r="A852" s="217">
        <v>16</v>
      </c>
      <c r="B852" s="218" t="str">
        <f>VLOOKUP(Tabel10[[#This Row],[Code]],Ruimtegroepen[[Code]:[Ruimte omschrijving]],2,FALSE)</f>
        <v>Leslokalen</v>
      </c>
      <c r="C852" s="219" t="s">
        <v>993</v>
      </c>
      <c r="D852" s="218" t="s">
        <v>12</v>
      </c>
      <c r="E852" s="219" t="s">
        <v>101</v>
      </c>
      <c r="F852" s="219" t="s">
        <v>996</v>
      </c>
      <c r="G852" s="224" t="s">
        <v>283</v>
      </c>
      <c r="H852" s="220" t="s">
        <v>283</v>
      </c>
      <c r="I852" s="220" t="s">
        <v>17</v>
      </c>
      <c r="J852" s="220" t="s">
        <v>15</v>
      </c>
      <c r="K852" s="220" t="s">
        <v>16</v>
      </c>
      <c r="L852" s="220" t="s">
        <v>283</v>
      </c>
      <c r="M852" s="220" t="s">
        <v>283</v>
      </c>
      <c r="N852" s="220" t="s">
        <v>283</v>
      </c>
      <c r="O852" s="221" t="s">
        <v>18</v>
      </c>
      <c r="P852" s="221" t="s">
        <v>18</v>
      </c>
      <c r="Q852" s="221" t="s">
        <v>15</v>
      </c>
      <c r="R852" s="221" t="s">
        <v>15</v>
      </c>
      <c r="S852" s="221" t="s">
        <v>16</v>
      </c>
      <c r="T852" s="221" t="s">
        <v>330</v>
      </c>
      <c r="U852" s="221" t="s">
        <v>250</v>
      </c>
      <c r="V852" s="221" t="s">
        <v>283</v>
      </c>
      <c r="W852" s="222" t="s">
        <v>283</v>
      </c>
      <c r="X852" s="222" t="s">
        <v>283</v>
      </c>
      <c r="Y852" s="223" t="s">
        <v>283</v>
      </c>
    </row>
    <row r="853" spans="1:25">
      <c r="A853" s="217">
        <v>16</v>
      </c>
      <c r="B853" s="218" t="str">
        <f>VLOOKUP(Tabel10[[#This Row],[Code]],Ruimtegroepen[[Code]:[Ruimte omschrijving]],2,FALSE)</f>
        <v>Leslokalen</v>
      </c>
      <c r="C853" s="219" t="s">
        <v>993</v>
      </c>
      <c r="D853" s="218" t="s">
        <v>12</v>
      </c>
      <c r="E853" s="219" t="s">
        <v>102</v>
      </c>
      <c r="F853" s="219" t="s">
        <v>997</v>
      </c>
      <c r="G853" s="224" t="s">
        <v>283</v>
      </c>
      <c r="H853" s="220" t="s">
        <v>283</v>
      </c>
      <c r="I853" s="220" t="s">
        <v>17</v>
      </c>
      <c r="J853" s="220" t="s">
        <v>15</v>
      </c>
      <c r="K853" s="220" t="s">
        <v>16</v>
      </c>
      <c r="L853" s="220" t="s">
        <v>283</v>
      </c>
      <c r="M853" s="220" t="s">
        <v>283</v>
      </c>
      <c r="N853" s="220" t="s">
        <v>283</v>
      </c>
      <c r="O853" s="221" t="s">
        <v>18</v>
      </c>
      <c r="P853" s="221" t="s">
        <v>18</v>
      </c>
      <c r="Q853" s="221" t="s">
        <v>15</v>
      </c>
      <c r="R853" s="221" t="s">
        <v>15</v>
      </c>
      <c r="S853" s="221" t="s">
        <v>16</v>
      </c>
      <c r="T853" s="221" t="s">
        <v>330</v>
      </c>
      <c r="U853" s="221" t="s">
        <v>250</v>
      </c>
      <c r="V853" s="221" t="s">
        <v>283</v>
      </c>
      <c r="W853" s="222" t="s">
        <v>283</v>
      </c>
      <c r="X853" s="222" t="s">
        <v>283</v>
      </c>
      <c r="Y853" s="223" t="s">
        <v>283</v>
      </c>
    </row>
    <row r="854" spans="1:25">
      <c r="A854" s="217">
        <v>16</v>
      </c>
      <c r="B854" s="218" t="str">
        <f>VLOOKUP(Tabel10[[#This Row],[Code]],Ruimtegroepen[[Code]:[Ruimte omschrijving]],2,FALSE)</f>
        <v>Leslokalen</v>
      </c>
      <c r="C854" s="219" t="s">
        <v>993</v>
      </c>
      <c r="D854" s="218" t="s">
        <v>12</v>
      </c>
      <c r="E854" s="219" t="s">
        <v>99</v>
      </c>
      <c r="F854" s="219" t="s">
        <v>995</v>
      </c>
      <c r="G854" s="220" t="s">
        <v>17</v>
      </c>
      <c r="H854" s="220" t="s">
        <v>15</v>
      </c>
      <c r="I854" s="220" t="s">
        <v>283</v>
      </c>
      <c r="J854" s="220" t="s">
        <v>283</v>
      </c>
      <c r="K854" s="220" t="s">
        <v>283</v>
      </c>
      <c r="L854" s="220" t="s">
        <v>283</v>
      </c>
      <c r="M854" s="220" t="s">
        <v>283</v>
      </c>
      <c r="N854" s="220" t="s">
        <v>283</v>
      </c>
      <c r="O854" s="221" t="s">
        <v>283</v>
      </c>
      <c r="P854" s="221" t="s">
        <v>283</v>
      </c>
      <c r="Q854" s="221" t="s">
        <v>283</v>
      </c>
      <c r="R854" s="221" t="s">
        <v>283</v>
      </c>
      <c r="S854" s="221" t="s">
        <v>283</v>
      </c>
      <c r="T854" s="221" t="s">
        <v>283</v>
      </c>
      <c r="U854" s="221" t="s">
        <v>283</v>
      </c>
      <c r="V854" s="221" t="s">
        <v>283</v>
      </c>
      <c r="W854" s="222" t="s">
        <v>283</v>
      </c>
      <c r="X854" s="222" t="s">
        <v>283</v>
      </c>
      <c r="Y854" s="223" t="s">
        <v>283</v>
      </c>
    </row>
    <row r="855" spans="1:25">
      <c r="A855" s="217">
        <v>16</v>
      </c>
      <c r="B855" s="218" t="str">
        <f>VLOOKUP(Tabel10[[#This Row],[Code]],Ruimtegroepen[[Code]:[Ruimte omschrijving]],2,FALSE)</f>
        <v>Leslokalen</v>
      </c>
      <c r="C855" s="219" t="s">
        <v>993</v>
      </c>
      <c r="D855" s="218" t="s">
        <v>12</v>
      </c>
      <c r="E855" s="219" t="s">
        <v>1313</v>
      </c>
      <c r="F855" s="219" t="s">
        <v>1442</v>
      </c>
      <c r="G855" s="224" t="s">
        <v>283</v>
      </c>
      <c r="H855" s="220" t="s">
        <v>283</v>
      </c>
      <c r="I855" s="220" t="s">
        <v>17</v>
      </c>
      <c r="J855" s="220" t="s">
        <v>15</v>
      </c>
      <c r="K855" s="220" t="s">
        <v>16</v>
      </c>
      <c r="L855" s="220" t="s">
        <v>283</v>
      </c>
      <c r="M855" s="220" t="s">
        <v>283</v>
      </c>
      <c r="N855" s="220" t="s">
        <v>283</v>
      </c>
      <c r="O855" s="221" t="s">
        <v>18</v>
      </c>
      <c r="P855" s="221" t="s">
        <v>18</v>
      </c>
      <c r="Q855" s="221" t="s">
        <v>15</v>
      </c>
      <c r="R855" s="221" t="s">
        <v>15</v>
      </c>
      <c r="S855" s="221" t="s">
        <v>16</v>
      </c>
      <c r="T855" s="221" t="s">
        <v>330</v>
      </c>
      <c r="U855" s="221" t="s">
        <v>250</v>
      </c>
      <c r="V855" s="221" t="s">
        <v>283</v>
      </c>
      <c r="W855" s="222" t="s">
        <v>283</v>
      </c>
      <c r="X855" s="222" t="s">
        <v>283</v>
      </c>
      <c r="Y855" s="223" t="s">
        <v>283</v>
      </c>
    </row>
    <row r="856" spans="1:25">
      <c r="A856" s="217">
        <v>16</v>
      </c>
      <c r="B856" s="218" t="str">
        <f>VLOOKUP(Tabel10[[#This Row],[Code]],Ruimtegroepen[[Code]:[Ruimte omschrijving]],2,FALSE)</f>
        <v>Leslokalen</v>
      </c>
      <c r="C856" s="219" t="s">
        <v>998</v>
      </c>
      <c r="D856" s="218" t="s">
        <v>14</v>
      </c>
      <c r="E856" s="219" t="s">
        <v>100</v>
      </c>
      <c r="F856" s="219" t="s">
        <v>999</v>
      </c>
      <c r="G856" s="224" t="s">
        <v>283</v>
      </c>
      <c r="H856" s="220" t="s">
        <v>283</v>
      </c>
      <c r="I856" s="220" t="s">
        <v>283</v>
      </c>
      <c r="J856" s="220" t="s">
        <v>17</v>
      </c>
      <c r="K856" s="220" t="s">
        <v>283</v>
      </c>
      <c r="L856" s="220" t="s">
        <v>283</v>
      </c>
      <c r="M856" s="220" t="s">
        <v>283</v>
      </c>
      <c r="N856" s="220" t="s">
        <v>283</v>
      </c>
      <c r="O856" s="221" t="s">
        <v>17</v>
      </c>
      <c r="P856" s="221" t="s">
        <v>17</v>
      </c>
      <c r="Q856" s="221" t="s">
        <v>15</v>
      </c>
      <c r="R856" s="221" t="s">
        <v>15</v>
      </c>
      <c r="S856" s="221" t="s">
        <v>16</v>
      </c>
      <c r="T856" s="221" t="s">
        <v>330</v>
      </c>
      <c r="U856" s="221" t="s">
        <v>250</v>
      </c>
      <c r="V856" s="221" t="s">
        <v>283</v>
      </c>
      <c r="W856" s="222" t="s">
        <v>283</v>
      </c>
      <c r="X856" s="222" t="s">
        <v>283</v>
      </c>
      <c r="Y856" s="223" t="s">
        <v>283</v>
      </c>
    </row>
    <row r="857" spans="1:25">
      <c r="A857" s="217">
        <v>16</v>
      </c>
      <c r="B857" s="218" t="str">
        <f>VLOOKUP(Tabel10[[#This Row],[Code]],Ruimtegroepen[[Code]:[Ruimte omschrijving]],2,FALSE)</f>
        <v>Leslokalen</v>
      </c>
      <c r="C857" s="219" t="s">
        <v>998</v>
      </c>
      <c r="D857" s="218" t="s">
        <v>14</v>
      </c>
      <c r="E857" s="219" t="s">
        <v>99</v>
      </c>
      <c r="F857" s="219" t="s">
        <v>1000</v>
      </c>
      <c r="G857" s="220" t="s">
        <v>15</v>
      </c>
      <c r="H857" s="220" t="s">
        <v>15</v>
      </c>
      <c r="I857" s="220" t="s">
        <v>283</v>
      </c>
      <c r="J857" s="220" t="s">
        <v>283</v>
      </c>
      <c r="K857" s="220" t="s">
        <v>283</v>
      </c>
      <c r="L857" s="220" t="s">
        <v>283</v>
      </c>
      <c r="M857" s="220" t="s">
        <v>283</v>
      </c>
      <c r="N857" s="220" t="s">
        <v>283</v>
      </c>
      <c r="O857" s="221" t="s">
        <v>17</v>
      </c>
      <c r="P857" s="221" t="s">
        <v>17</v>
      </c>
      <c r="Q857" s="221" t="s">
        <v>15</v>
      </c>
      <c r="R857" s="221" t="s">
        <v>15</v>
      </c>
      <c r="S857" s="221" t="s">
        <v>16</v>
      </c>
      <c r="T857" s="221" t="s">
        <v>330</v>
      </c>
      <c r="U857" s="221" t="s">
        <v>250</v>
      </c>
      <c r="V857" s="221" t="s">
        <v>283</v>
      </c>
      <c r="W857" s="222" t="s">
        <v>283</v>
      </c>
      <c r="X857" s="222" t="s">
        <v>283</v>
      </c>
      <c r="Y857" s="223" t="s">
        <v>283</v>
      </c>
    </row>
    <row r="858" spans="1:25">
      <c r="A858" s="217">
        <v>16</v>
      </c>
      <c r="B858" s="218" t="str">
        <f>VLOOKUP(Tabel10[[#This Row],[Code]],Ruimtegroepen[[Code]:[Ruimte omschrijving]],2,FALSE)</f>
        <v>Leslokalen</v>
      </c>
      <c r="C858" s="219" t="s">
        <v>998</v>
      </c>
      <c r="D858" s="218" t="s">
        <v>14</v>
      </c>
      <c r="E858" s="219" t="s">
        <v>101</v>
      </c>
      <c r="F858" s="219" t="s">
        <v>1001</v>
      </c>
      <c r="G858" s="224" t="s">
        <v>283</v>
      </c>
      <c r="H858" s="220" t="s">
        <v>283</v>
      </c>
      <c r="I858" s="220" t="s">
        <v>283</v>
      </c>
      <c r="J858" s="220" t="s">
        <v>17</v>
      </c>
      <c r="K858" s="220" t="s">
        <v>16</v>
      </c>
      <c r="L858" s="220" t="s">
        <v>283</v>
      </c>
      <c r="M858" s="220" t="s">
        <v>283</v>
      </c>
      <c r="N858" s="220" t="s">
        <v>283</v>
      </c>
      <c r="O858" s="221" t="s">
        <v>17</v>
      </c>
      <c r="P858" s="221" t="s">
        <v>17</v>
      </c>
      <c r="Q858" s="221" t="s">
        <v>15</v>
      </c>
      <c r="R858" s="221" t="s">
        <v>15</v>
      </c>
      <c r="S858" s="221" t="s">
        <v>16</v>
      </c>
      <c r="T858" s="221" t="s">
        <v>330</v>
      </c>
      <c r="U858" s="221" t="s">
        <v>250</v>
      </c>
      <c r="V858" s="221" t="s">
        <v>283</v>
      </c>
      <c r="W858" s="222" t="s">
        <v>283</v>
      </c>
      <c r="X858" s="222" t="s">
        <v>283</v>
      </c>
      <c r="Y858" s="223" t="s">
        <v>283</v>
      </c>
    </row>
    <row r="859" spans="1:25">
      <c r="A859" s="217">
        <v>16</v>
      </c>
      <c r="B859" s="218" t="str">
        <f>VLOOKUP(Tabel10[[#This Row],[Code]],Ruimtegroepen[[Code]:[Ruimte omschrijving]],2,FALSE)</f>
        <v>Leslokalen</v>
      </c>
      <c r="C859" s="219" t="s">
        <v>998</v>
      </c>
      <c r="D859" s="218" t="s">
        <v>14</v>
      </c>
      <c r="E859" s="219" t="s">
        <v>102</v>
      </c>
      <c r="F859" s="219" t="s">
        <v>1002</v>
      </c>
      <c r="G859" s="224" t="s">
        <v>283</v>
      </c>
      <c r="H859" s="220" t="s">
        <v>283</v>
      </c>
      <c r="I859" s="220" t="s">
        <v>283</v>
      </c>
      <c r="J859" s="220" t="s">
        <v>17</v>
      </c>
      <c r="K859" s="220" t="s">
        <v>16</v>
      </c>
      <c r="L859" s="220" t="s">
        <v>283</v>
      </c>
      <c r="M859" s="220" t="s">
        <v>283</v>
      </c>
      <c r="N859" s="220" t="s">
        <v>283</v>
      </c>
      <c r="O859" s="221" t="s">
        <v>17</v>
      </c>
      <c r="P859" s="221" t="s">
        <v>17</v>
      </c>
      <c r="Q859" s="221" t="s">
        <v>15</v>
      </c>
      <c r="R859" s="221" t="s">
        <v>15</v>
      </c>
      <c r="S859" s="221" t="s">
        <v>16</v>
      </c>
      <c r="T859" s="221" t="s">
        <v>330</v>
      </c>
      <c r="U859" s="221" t="s">
        <v>250</v>
      </c>
      <c r="V859" s="221" t="s">
        <v>283</v>
      </c>
      <c r="W859" s="222" t="s">
        <v>283</v>
      </c>
      <c r="X859" s="222" t="s">
        <v>283</v>
      </c>
      <c r="Y859" s="223" t="s">
        <v>283</v>
      </c>
    </row>
    <row r="860" spans="1:25">
      <c r="A860" s="217">
        <v>16</v>
      </c>
      <c r="B860" s="218" t="str">
        <f>VLOOKUP(Tabel10[[#This Row],[Code]],Ruimtegroepen[[Code]:[Ruimte omschrijving]],2,FALSE)</f>
        <v>Leslokalen</v>
      </c>
      <c r="C860" s="219" t="s">
        <v>998</v>
      </c>
      <c r="D860" s="218" t="s">
        <v>14</v>
      </c>
      <c r="E860" s="219" t="s">
        <v>99</v>
      </c>
      <c r="F860" s="219" t="s">
        <v>1000</v>
      </c>
      <c r="G860" s="220" t="s">
        <v>15</v>
      </c>
      <c r="H860" s="220" t="s">
        <v>15</v>
      </c>
      <c r="I860" s="220" t="s">
        <v>283</v>
      </c>
      <c r="J860" s="220" t="s">
        <v>283</v>
      </c>
      <c r="K860" s="220" t="s">
        <v>283</v>
      </c>
      <c r="L860" s="220" t="s">
        <v>283</v>
      </c>
      <c r="M860" s="220" t="s">
        <v>283</v>
      </c>
      <c r="N860" s="220" t="s">
        <v>283</v>
      </c>
      <c r="O860" s="221" t="s">
        <v>283</v>
      </c>
      <c r="P860" s="221" t="s">
        <v>283</v>
      </c>
      <c r="Q860" s="221" t="s">
        <v>283</v>
      </c>
      <c r="R860" s="221" t="s">
        <v>283</v>
      </c>
      <c r="S860" s="221" t="s">
        <v>283</v>
      </c>
      <c r="T860" s="221" t="s">
        <v>283</v>
      </c>
      <c r="U860" s="221" t="s">
        <v>283</v>
      </c>
      <c r="V860" s="221" t="s">
        <v>283</v>
      </c>
      <c r="W860" s="222" t="s">
        <v>283</v>
      </c>
      <c r="X860" s="222" t="s">
        <v>283</v>
      </c>
      <c r="Y860" s="223" t="s">
        <v>283</v>
      </c>
    </row>
    <row r="861" spans="1:25">
      <c r="A861" s="217">
        <v>16</v>
      </c>
      <c r="B861" s="218" t="str">
        <f>VLOOKUP(Tabel10[[#This Row],[Code]],Ruimtegroepen[[Code]:[Ruimte omschrijving]],2,FALSE)</f>
        <v>Leslokalen</v>
      </c>
      <c r="C861" s="219" t="s">
        <v>998</v>
      </c>
      <c r="D861" s="218" t="s">
        <v>14</v>
      </c>
      <c r="E861" s="219" t="s">
        <v>1313</v>
      </c>
      <c r="F861" s="219" t="s">
        <v>1409</v>
      </c>
      <c r="G861" s="224" t="s">
        <v>283</v>
      </c>
      <c r="H861" s="220" t="s">
        <v>283</v>
      </c>
      <c r="I861" s="220" t="s">
        <v>283</v>
      </c>
      <c r="J861" s="220" t="s">
        <v>17</v>
      </c>
      <c r="K861" s="220" t="s">
        <v>16</v>
      </c>
      <c r="L861" s="220" t="s">
        <v>283</v>
      </c>
      <c r="M861" s="220" t="s">
        <v>283</v>
      </c>
      <c r="N861" s="220" t="s">
        <v>283</v>
      </c>
      <c r="O861" s="221" t="s">
        <v>17</v>
      </c>
      <c r="P861" s="221" t="s">
        <v>17</v>
      </c>
      <c r="Q861" s="221" t="s">
        <v>15</v>
      </c>
      <c r="R861" s="221" t="s">
        <v>15</v>
      </c>
      <c r="S861" s="221" t="s">
        <v>16</v>
      </c>
      <c r="T861" s="221" t="s">
        <v>330</v>
      </c>
      <c r="U861" s="221" t="s">
        <v>250</v>
      </c>
      <c r="V861" s="221" t="s">
        <v>283</v>
      </c>
      <c r="W861" s="222" t="s">
        <v>283</v>
      </c>
      <c r="X861" s="222" t="s">
        <v>283</v>
      </c>
      <c r="Y861" s="223" t="s">
        <v>283</v>
      </c>
    </row>
    <row r="862" spans="1:25">
      <c r="A862" s="217">
        <v>16</v>
      </c>
      <c r="B862" s="218" t="str">
        <f>VLOOKUP(Tabel10[[#This Row],[Code]],Ruimtegroepen[[Code]:[Ruimte omschrijving]],2,FALSE)</f>
        <v>Leslokalen</v>
      </c>
      <c r="C862" s="219" t="s">
        <v>1003</v>
      </c>
      <c r="D862" s="218" t="s">
        <v>13</v>
      </c>
      <c r="E862" s="219" t="s">
        <v>100</v>
      </c>
      <c r="F862" s="219" t="s">
        <v>1004</v>
      </c>
      <c r="G862" s="224" t="s">
        <v>283</v>
      </c>
      <c r="H862" s="220" t="s">
        <v>283</v>
      </c>
      <c r="I862" s="220" t="s">
        <v>283</v>
      </c>
      <c r="J862" s="220" t="s">
        <v>15</v>
      </c>
      <c r="K862" s="220" t="s">
        <v>283</v>
      </c>
      <c r="L862" s="220" t="s">
        <v>283</v>
      </c>
      <c r="M862" s="220" t="s">
        <v>283</v>
      </c>
      <c r="N862" s="220" t="s">
        <v>283</v>
      </c>
      <c r="O862" s="221" t="s">
        <v>15</v>
      </c>
      <c r="P862" s="221" t="s">
        <v>15</v>
      </c>
      <c r="Q862" s="221" t="s">
        <v>15</v>
      </c>
      <c r="R862" s="221" t="s">
        <v>15</v>
      </c>
      <c r="S862" s="221" t="s">
        <v>16</v>
      </c>
      <c r="T862" s="221" t="s">
        <v>330</v>
      </c>
      <c r="U862" s="221" t="s">
        <v>250</v>
      </c>
      <c r="V862" s="221" t="s">
        <v>283</v>
      </c>
      <c r="W862" s="222" t="s">
        <v>283</v>
      </c>
      <c r="X862" s="222" t="s">
        <v>283</v>
      </c>
      <c r="Y862" s="223" t="s">
        <v>283</v>
      </c>
    </row>
    <row r="863" spans="1:25">
      <c r="A863" s="217">
        <v>16</v>
      </c>
      <c r="B863" s="218" t="str">
        <f>VLOOKUP(Tabel10[[#This Row],[Code]],Ruimtegroepen[[Code]:[Ruimte omschrijving]],2,FALSE)</f>
        <v>Leslokalen</v>
      </c>
      <c r="C863" s="219" t="s">
        <v>1003</v>
      </c>
      <c r="D863" s="218" t="s">
        <v>13</v>
      </c>
      <c r="E863" s="219" t="s">
        <v>99</v>
      </c>
      <c r="F863" s="219" t="s">
        <v>1005</v>
      </c>
      <c r="G863" s="224" t="s">
        <v>283</v>
      </c>
      <c r="H863" s="220" t="s">
        <v>15</v>
      </c>
      <c r="I863" s="220" t="s">
        <v>283</v>
      </c>
      <c r="J863" s="220" t="s">
        <v>283</v>
      </c>
      <c r="K863" s="220" t="s">
        <v>283</v>
      </c>
      <c r="L863" s="220" t="s">
        <v>283</v>
      </c>
      <c r="M863" s="220" t="s">
        <v>283</v>
      </c>
      <c r="N863" s="220" t="s">
        <v>283</v>
      </c>
      <c r="O863" s="221" t="s">
        <v>15</v>
      </c>
      <c r="P863" s="221" t="s">
        <v>15</v>
      </c>
      <c r="Q863" s="221" t="s">
        <v>15</v>
      </c>
      <c r="R863" s="221" t="s">
        <v>15</v>
      </c>
      <c r="S863" s="221" t="s">
        <v>16</v>
      </c>
      <c r="T863" s="221" t="s">
        <v>330</v>
      </c>
      <c r="U863" s="221" t="s">
        <v>250</v>
      </c>
      <c r="V863" s="221" t="s">
        <v>283</v>
      </c>
      <c r="W863" s="222" t="s">
        <v>283</v>
      </c>
      <c r="X863" s="222" t="s">
        <v>283</v>
      </c>
      <c r="Y863" s="223" t="s">
        <v>283</v>
      </c>
    </row>
    <row r="864" spans="1:25">
      <c r="A864" s="217">
        <v>16</v>
      </c>
      <c r="B864" s="218" t="str">
        <f>VLOOKUP(Tabel10[[#This Row],[Code]],Ruimtegroepen[[Code]:[Ruimte omschrijving]],2,FALSE)</f>
        <v>Leslokalen</v>
      </c>
      <c r="C864" s="219" t="s">
        <v>1003</v>
      </c>
      <c r="D864" s="218" t="s">
        <v>13</v>
      </c>
      <c r="E864" s="219" t="s">
        <v>101</v>
      </c>
      <c r="F864" s="219" t="s">
        <v>1006</v>
      </c>
      <c r="G864" s="224" t="s">
        <v>283</v>
      </c>
      <c r="H864" s="220" t="s">
        <v>283</v>
      </c>
      <c r="I864" s="220" t="s">
        <v>283</v>
      </c>
      <c r="J864" s="220" t="s">
        <v>15</v>
      </c>
      <c r="K864" s="220" t="s">
        <v>16</v>
      </c>
      <c r="L864" s="220" t="s">
        <v>283</v>
      </c>
      <c r="M864" s="220" t="s">
        <v>283</v>
      </c>
      <c r="N864" s="220" t="s">
        <v>283</v>
      </c>
      <c r="O864" s="221" t="s">
        <v>15</v>
      </c>
      <c r="P864" s="221" t="s">
        <v>15</v>
      </c>
      <c r="Q864" s="221" t="s">
        <v>15</v>
      </c>
      <c r="R864" s="221" t="s">
        <v>15</v>
      </c>
      <c r="S864" s="221" t="s">
        <v>16</v>
      </c>
      <c r="T864" s="221" t="s">
        <v>330</v>
      </c>
      <c r="U864" s="221" t="s">
        <v>250</v>
      </c>
      <c r="V864" s="221" t="s">
        <v>283</v>
      </c>
      <c r="W864" s="222" t="s">
        <v>283</v>
      </c>
      <c r="X864" s="222" t="s">
        <v>283</v>
      </c>
      <c r="Y864" s="223" t="s">
        <v>283</v>
      </c>
    </row>
    <row r="865" spans="1:25">
      <c r="A865" s="217">
        <v>16</v>
      </c>
      <c r="B865" s="218" t="str">
        <f>VLOOKUP(Tabel10[[#This Row],[Code]],Ruimtegroepen[[Code]:[Ruimte omschrijving]],2,FALSE)</f>
        <v>Leslokalen</v>
      </c>
      <c r="C865" s="219" t="s">
        <v>1003</v>
      </c>
      <c r="D865" s="218" t="s">
        <v>13</v>
      </c>
      <c r="E865" s="219" t="s">
        <v>102</v>
      </c>
      <c r="F865" s="219" t="s">
        <v>1007</v>
      </c>
      <c r="G865" s="224" t="s">
        <v>283</v>
      </c>
      <c r="H865" s="220" t="s">
        <v>283</v>
      </c>
      <c r="I865" s="220" t="s">
        <v>283</v>
      </c>
      <c r="J865" s="220" t="s">
        <v>15</v>
      </c>
      <c r="K865" s="220" t="s">
        <v>16</v>
      </c>
      <c r="L865" s="220" t="s">
        <v>283</v>
      </c>
      <c r="M865" s="220" t="s">
        <v>283</v>
      </c>
      <c r="N865" s="220" t="s">
        <v>283</v>
      </c>
      <c r="O865" s="221" t="s">
        <v>15</v>
      </c>
      <c r="P865" s="221" t="s">
        <v>15</v>
      </c>
      <c r="Q865" s="221" t="s">
        <v>15</v>
      </c>
      <c r="R865" s="221" t="s">
        <v>15</v>
      </c>
      <c r="S865" s="221" t="s">
        <v>16</v>
      </c>
      <c r="T865" s="221" t="s">
        <v>330</v>
      </c>
      <c r="U865" s="221" t="s">
        <v>250</v>
      </c>
      <c r="V865" s="221" t="s">
        <v>283</v>
      </c>
      <c r="W865" s="222" t="s">
        <v>283</v>
      </c>
      <c r="X865" s="222" t="s">
        <v>283</v>
      </c>
      <c r="Y865" s="223" t="s">
        <v>283</v>
      </c>
    </row>
    <row r="866" spans="1:25">
      <c r="A866" s="217">
        <v>16</v>
      </c>
      <c r="B866" s="218" t="str">
        <f>VLOOKUP(Tabel10[[#This Row],[Code]],Ruimtegroepen[[Code]:[Ruimte omschrijving]],2,FALSE)</f>
        <v>Leslokalen</v>
      </c>
      <c r="C866" s="219" t="s">
        <v>1003</v>
      </c>
      <c r="D866" s="218" t="s">
        <v>13</v>
      </c>
      <c r="E866" s="219" t="s">
        <v>99</v>
      </c>
      <c r="F866" s="219" t="s">
        <v>1005</v>
      </c>
      <c r="G866" s="224" t="s">
        <v>283</v>
      </c>
      <c r="H866" s="220" t="s">
        <v>15</v>
      </c>
      <c r="I866" s="220" t="s">
        <v>283</v>
      </c>
      <c r="J866" s="220" t="s">
        <v>283</v>
      </c>
      <c r="K866" s="220" t="s">
        <v>283</v>
      </c>
      <c r="L866" s="220" t="s">
        <v>283</v>
      </c>
      <c r="M866" s="220" t="s">
        <v>283</v>
      </c>
      <c r="N866" s="220" t="s">
        <v>283</v>
      </c>
      <c r="O866" s="221" t="s">
        <v>283</v>
      </c>
      <c r="P866" s="221" t="s">
        <v>283</v>
      </c>
      <c r="Q866" s="221" t="s">
        <v>283</v>
      </c>
      <c r="R866" s="221" t="s">
        <v>283</v>
      </c>
      <c r="S866" s="221" t="s">
        <v>283</v>
      </c>
      <c r="T866" s="221" t="s">
        <v>283</v>
      </c>
      <c r="U866" s="221" t="s">
        <v>283</v>
      </c>
      <c r="V866" s="221" t="s">
        <v>283</v>
      </c>
      <c r="W866" s="222" t="s">
        <v>283</v>
      </c>
      <c r="X866" s="222" t="s">
        <v>283</v>
      </c>
      <c r="Y866" s="223" t="s">
        <v>283</v>
      </c>
    </row>
    <row r="867" spans="1:25">
      <c r="A867" s="217">
        <v>16</v>
      </c>
      <c r="B867" s="218" t="str">
        <f>VLOOKUP(Tabel10[[#This Row],[Code]],Ruimtegroepen[[Code]:[Ruimte omschrijving]],2,FALSE)</f>
        <v>Leslokalen</v>
      </c>
      <c r="C867" s="219" t="s">
        <v>1003</v>
      </c>
      <c r="D867" s="218" t="s">
        <v>13</v>
      </c>
      <c r="E867" s="219" t="s">
        <v>1313</v>
      </c>
      <c r="F867" s="219" t="s">
        <v>1376</v>
      </c>
      <c r="G867" s="224" t="s">
        <v>283</v>
      </c>
      <c r="H867" s="220" t="s">
        <v>283</v>
      </c>
      <c r="I867" s="220" t="s">
        <v>283</v>
      </c>
      <c r="J867" s="220" t="s">
        <v>15</v>
      </c>
      <c r="K867" s="220" t="s">
        <v>16</v>
      </c>
      <c r="L867" s="220" t="s">
        <v>283</v>
      </c>
      <c r="M867" s="220" t="s">
        <v>283</v>
      </c>
      <c r="N867" s="220" t="s">
        <v>283</v>
      </c>
      <c r="O867" s="221" t="s">
        <v>15</v>
      </c>
      <c r="P867" s="221" t="s">
        <v>15</v>
      </c>
      <c r="Q867" s="221" t="s">
        <v>15</v>
      </c>
      <c r="R867" s="221" t="s">
        <v>15</v>
      </c>
      <c r="S867" s="221" t="s">
        <v>16</v>
      </c>
      <c r="T867" s="221" t="s">
        <v>330</v>
      </c>
      <c r="U867" s="221" t="s">
        <v>250</v>
      </c>
      <c r="V867" s="221" t="s">
        <v>283</v>
      </c>
      <c r="W867" s="222" t="s">
        <v>283</v>
      </c>
      <c r="X867" s="222" t="s">
        <v>283</v>
      </c>
      <c r="Y867" s="223" t="s">
        <v>283</v>
      </c>
    </row>
    <row r="868" spans="1:25">
      <c r="A868" s="217">
        <v>16</v>
      </c>
      <c r="B868" s="218" t="str">
        <f>VLOOKUP(Tabel10[[#This Row],[Code]],Ruimtegroepen[[Code]:[Ruimte omschrijving]],2,FALSE)</f>
        <v>Leslokalen</v>
      </c>
      <c r="C868" s="219" t="s">
        <v>1008</v>
      </c>
      <c r="D868" s="218" t="s">
        <v>0</v>
      </c>
      <c r="E868" s="219" t="s">
        <v>100</v>
      </c>
      <c r="F868" s="219" t="s">
        <v>1009</v>
      </c>
      <c r="G868" s="224" t="s">
        <v>283</v>
      </c>
      <c r="H868" s="220" t="s">
        <v>283</v>
      </c>
      <c r="I868" s="220" t="s">
        <v>16</v>
      </c>
      <c r="J868" s="220" t="s">
        <v>283</v>
      </c>
      <c r="K868" s="220" t="s">
        <v>283</v>
      </c>
      <c r="L868" s="220" t="s">
        <v>283</v>
      </c>
      <c r="M868" s="220" t="s">
        <v>283</v>
      </c>
      <c r="N868" s="220" t="s">
        <v>283</v>
      </c>
      <c r="O868" s="221" t="s">
        <v>16</v>
      </c>
      <c r="P868" s="221" t="s">
        <v>16</v>
      </c>
      <c r="Q868" s="221" t="s">
        <v>16</v>
      </c>
      <c r="R868" s="221" t="s">
        <v>16</v>
      </c>
      <c r="S868" s="221" t="s">
        <v>16</v>
      </c>
      <c r="T868" s="221" t="s">
        <v>330</v>
      </c>
      <c r="U868" s="221" t="s">
        <v>250</v>
      </c>
      <c r="V868" s="221" t="s">
        <v>283</v>
      </c>
      <c r="W868" s="222" t="s">
        <v>283</v>
      </c>
      <c r="X868" s="222" t="s">
        <v>283</v>
      </c>
      <c r="Y868" s="223" t="s">
        <v>283</v>
      </c>
    </row>
    <row r="869" spans="1:25">
      <c r="A869" s="217">
        <v>16</v>
      </c>
      <c r="B869" s="218" t="str">
        <f>VLOOKUP(Tabel10[[#This Row],[Code]],Ruimtegroepen[[Code]:[Ruimte omschrijving]],2,FALSE)</f>
        <v>Leslokalen</v>
      </c>
      <c r="C869" s="219" t="s">
        <v>1008</v>
      </c>
      <c r="D869" s="218" t="s">
        <v>0</v>
      </c>
      <c r="E869" s="219" t="s">
        <v>99</v>
      </c>
      <c r="F869" s="219" t="s">
        <v>1010</v>
      </c>
      <c r="G869" s="224" t="s">
        <v>283</v>
      </c>
      <c r="H869" s="220" t="s">
        <v>16</v>
      </c>
      <c r="I869" s="220" t="s">
        <v>283</v>
      </c>
      <c r="J869" s="220" t="s">
        <v>283</v>
      </c>
      <c r="K869" s="220" t="s">
        <v>283</v>
      </c>
      <c r="L869" s="220" t="s">
        <v>283</v>
      </c>
      <c r="M869" s="220" t="s">
        <v>283</v>
      </c>
      <c r="N869" s="220" t="s">
        <v>283</v>
      </c>
      <c r="O869" s="221" t="s">
        <v>16</v>
      </c>
      <c r="P869" s="221" t="s">
        <v>16</v>
      </c>
      <c r="Q869" s="221" t="s">
        <v>16</v>
      </c>
      <c r="R869" s="221" t="s">
        <v>16</v>
      </c>
      <c r="S869" s="221" t="s">
        <v>16</v>
      </c>
      <c r="T869" s="221" t="s">
        <v>330</v>
      </c>
      <c r="U869" s="221" t="s">
        <v>250</v>
      </c>
      <c r="V869" s="221" t="s">
        <v>283</v>
      </c>
      <c r="W869" s="222" t="s">
        <v>283</v>
      </c>
      <c r="X869" s="222" t="s">
        <v>283</v>
      </c>
      <c r="Y869" s="223" t="s">
        <v>283</v>
      </c>
    </row>
    <row r="870" spans="1:25">
      <c r="A870" s="217">
        <v>16</v>
      </c>
      <c r="B870" s="218" t="str">
        <f>VLOOKUP(Tabel10[[#This Row],[Code]],Ruimtegroepen[[Code]:[Ruimte omschrijving]],2,FALSE)</f>
        <v>Leslokalen</v>
      </c>
      <c r="C870" s="219" t="s">
        <v>1008</v>
      </c>
      <c r="D870" s="218" t="s">
        <v>0</v>
      </c>
      <c r="E870" s="219" t="s">
        <v>101</v>
      </c>
      <c r="F870" s="219" t="s">
        <v>1011</v>
      </c>
      <c r="G870" s="224" t="s">
        <v>283</v>
      </c>
      <c r="H870" s="220" t="s">
        <v>283</v>
      </c>
      <c r="I870" s="220" t="s">
        <v>283</v>
      </c>
      <c r="J870" s="220" t="s">
        <v>362</v>
      </c>
      <c r="K870" s="220" t="s">
        <v>16</v>
      </c>
      <c r="L870" s="220" t="s">
        <v>283</v>
      </c>
      <c r="M870" s="220" t="s">
        <v>283</v>
      </c>
      <c r="N870" s="220" t="s">
        <v>283</v>
      </c>
      <c r="O870" s="221" t="s">
        <v>16</v>
      </c>
      <c r="P870" s="221" t="s">
        <v>16</v>
      </c>
      <c r="Q870" s="221" t="s">
        <v>16</v>
      </c>
      <c r="R870" s="221" t="s">
        <v>16</v>
      </c>
      <c r="S870" s="221" t="s">
        <v>16</v>
      </c>
      <c r="T870" s="221" t="s">
        <v>330</v>
      </c>
      <c r="U870" s="221" t="s">
        <v>250</v>
      </c>
      <c r="V870" s="221" t="s">
        <v>283</v>
      </c>
      <c r="W870" s="222" t="s">
        <v>283</v>
      </c>
      <c r="X870" s="222" t="s">
        <v>283</v>
      </c>
      <c r="Y870" s="223" t="s">
        <v>283</v>
      </c>
    </row>
    <row r="871" spans="1:25">
      <c r="A871" s="217">
        <v>16</v>
      </c>
      <c r="B871" s="218" t="str">
        <f>VLOOKUP(Tabel10[[#This Row],[Code]],Ruimtegroepen[[Code]:[Ruimte omschrijving]],2,FALSE)</f>
        <v>Leslokalen</v>
      </c>
      <c r="C871" s="219" t="s">
        <v>1008</v>
      </c>
      <c r="D871" s="218" t="s">
        <v>0</v>
      </c>
      <c r="E871" s="219" t="s">
        <v>102</v>
      </c>
      <c r="F871" s="219" t="s">
        <v>1012</v>
      </c>
      <c r="G871" s="224" t="s">
        <v>283</v>
      </c>
      <c r="H871" s="220" t="s">
        <v>283</v>
      </c>
      <c r="I871" s="220" t="s">
        <v>16</v>
      </c>
      <c r="J871" s="220" t="s">
        <v>283</v>
      </c>
      <c r="K871" s="220" t="s">
        <v>16</v>
      </c>
      <c r="L871" s="220" t="s">
        <v>283</v>
      </c>
      <c r="M871" s="220" t="s">
        <v>283</v>
      </c>
      <c r="N871" s="220" t="s">
        <v>283</v>
      </c>
      <c r="O871" s="221" t="s">
        <v>16</v>
      </c>
      <c r="P871" s="221" t="s">
        <v>16</v>
      </c>
      <c r="Q871" s="221" t="s">
        <v>16</v>
      </c>
      <c r="R871" s="221" t="s">
        <v>16</v>
      </c>
      <c r="S871" s="221" t="s">
        <v>16</v>
      </c>
      <c r="T871" s="221" t="s">
        <v>330</v>
      </c>
      <c r="U871" s="221" t="s">
        <v>250</v>
      </c>
      <c r="V871" s="221" t="s">
        <v>283</v>
      </c>
      <c r="W871" s="222" t="s">
        <v>283</v>
      </c>
      <c r="X871" s="222" t="s">
        <v>283</v>
      </c>
      <c r="Y871" s="223" t="s">
        <v>283</v>
      </c>
    </row>
    <row r="872" spans="1:25">
      <c r="A872" s="217">
        <v>16</v>
      </c>
      <c r="B872" s="218" t="str">
        <f>VLOOKUP(Tabel10[[#This Row],[Code]],Ruimtegroepen[[Code]:[Ruimte omschrijving]],2,FALSE)</f>
        <v>Leslokalen</v>
      </c>
      <c r="C872" s="219" t="s">
        <v>1008</v>
      </c>
      <c r="D872" s="218" t="s">
        <v>0</v>
      </c>
      <c r="E872" s="219" t="s">
        <v>99</v>
      </c>
      <c r="F872" s="219" t="s">
        <v>1010</v>
      </c>
      <c r="G872" s="224" t="s">
        <v>283</v>
      </c>
      <c r="H872" s="220" t="s">
        <v>16</v>
      </c>
      <c r="I872" s="220" t="s">
        <v>283</v>
      </c>
      <c r="J872" s="220" t="s">
        <v>283</v>
      </c>
      <c r="K872" s="220" t="s">
        <v>283</v>
      </c>
      <c r="L872" s="220" t="s">
        <v>283</v>
      </c>
      <c r="M872" s="220" t="s">
        <v>283</v>
      </c>
      <c r="N872" s="220" t="s">
        <v>283</v>
      </c>
      <c r="O872" s="221" t="s">
        <v>283</v>
      </c>
      <c r="P872" s="221" t="s">
        <v>283</v>
      </c>
      <c r="Q872" s="221" t="s">
        <v>283</v>
      </c>
      <c r="R872" s="221" t="s">
        <v>283</v>
      </c>
      <c r="S872" s="221" t="s">
        <v>283</v>
      </c>
      <c r="T872" s="221" t="s">
        <v>283</v>
      </c>
      <c r="U872" s="221" t="s">
        <v>283</v>
      </c>
      <c r="V872" s="221" t="s">
        <v>283</v>
      </c>
      <c r="W872" s="222" t="s">
        <v>283</v>
      </c>
      <c r="X872" s="222" t="s">
        <v>283</v>
      </c>
      <c r="Y872" s="223" t="s">
        <v>283</v>
      </c>
    </row>
    <row r="873" spans="1:25">
      <c r="A873" s="217">
        <v>16</v>
      </c>
      <c r="B873" s="218" t="str">
        <f>VLOOKUP(Tabel10[[#This Row],[Code]],Ruimtegroepen[[Code]:[Ruimte omschrijving]],2,FALSE)</f>
        <v>Leslokalen</v>
      </c>
      <c r="C873" s="219" t="s">
        <v>1008</v>
      </c>
      <c r="D873" s="218" t="s">
        <v>0</v>
      </c>
      <c r="E873" s="219" t="s">
        <v>1313</v>
      </c>
      <c r="F873" s="219" t="s">
        <v>1360</v>
      </c>
      <c r="G873" s="224" t="s">
        <v>283</v>
      </c>
      <c r="H873" s="220" t="s">
        <v>283</v>
      </c>
      <c r="I873" s="220" t="s">
        <v>16</v>
      </c>
      <c r="J873" s="220" t="s">
        <v>283</v>
      </c>
      <c r="K873" s="220" t="s">
        <v>16</v>
      </c>
      <c r="L873" s="220" t="s">
        <v>283</v>
      </c>
      <c r="M873" s="220" t="s">
        <v>283</v>
      </c>
      <c r="N873" s="220" t="s">
        <v>283</v>
      </c>
      <c r="O873" s="221" t="s">
        <v>16</v>
      </c>
      <c r="P873" s="221" t="s">
        <v>16</v>
      </c>
      <c r="Q873" s="221" t="s">
        <v>16</v>
      </c>
      <c r="R873" s="221" t="s">
        <v>16</v>
      </c>
      <c r="S873" s="221" t="s">
        <v>16</v>
      </c>
      <c r="T873" s="221" t="s">
        <v>330</v>
      </c>
      <c r="U873" s="221" t="s">
        <v>250</v>
      </c>
      <c r="V873" s="221" t="s">
        <v>283</v>
      </c>
      <c r="W873" s="222" t="s">
        <v>283</v>
      </c>
      <c r="X873" s="222" t="s">
        <v>283</v>
      </c>
      <c r="Y873" s="223" t="s">
        <v>283</v>
      </c>
    </row>
    <row r="874" spans="1:25">
      <c r="A874" s="217">
        <v>16</v>
      </c>
      <c r="B874" s="218" t="str">
        <f>VLOOKUP(Tabel10[[#This Row],[Code]],Ruimtegroepen[[Code]:[Ruimte omschrijving]],2,FALSE)</f>
        <v>Leslokalen</v>
      </c>
      <c r="C874" s="219" t="s">
        <v>1013</v>
      </c>
      <c r="D874" s="218" t="s">
        <v>27</v>
      </c>
      <c r="E874" s="219" t="s">
        <v>100</v>
      </c>
      <c r="F874" s="219" t="s">
        <v>1014</v>
      </c>
      <c r="G874" s="224" t="s">
        <v>283</v>
      </c>
      <c r="H874" s="220" t="s">
        <v>283</v>
      </c>
      <c r="I874" s="220" t="s">
        <v>15</v>
      </c>
      <c r="J874" s="220" t="s">
        <v>283</v>
      </c>
      <c r="K874" s="220" t="s">
        <v>283</v>
      </c>
      <c r="L874" s="220" t="s">
        <v>283</v>
      </c>
      <c r="M874" s="220" t="s">
        <v>283</v>
      </c>
      <c r="N874" s="220" t="s">
        <v>283</v>
      </c>
      <c r="O874" s="221" t="s">
        <v>15</v>
      </c>
      <c r="P874" s="221" t="s">
        <v>15</v>
      </c>
      <c r="Q874" s="221" t="s">
        <v>15</v>
      </c>
      <c r="R874" s="221" t="s">
        <v>283</v>
      </c>
      <c r="S874" s="221" t="s">
        <v>283</v>
      </c>
      <c r="T874" s="221" t="s">
        <v>283</v>
      </c>
      <c r="U874" s="221" t="s">
        <v>283</v>
      </c>
      <c r="V874" s="221" t="s">
        <v>283</v>
      </c>
      <c r="W874" s="222" t="s">
        <v>283</v>
      </c>
      <c r="X874" s="222" t="s">
        <v>283</v>
      </c>
      <c r="Y874" s="223" t="s">
        <v>283</v>
      </c>
    </row>
    <row r="875" spans="1:25">
      <c r="A875" s="217">
        <v>16</v>
      </c>
      <c r="B875" s="218" t="str">
        <f>VLOOKUP(Tabel10[[#This Row],[Code]],Ruimtegroepen[[Code]:[Ruimte omschrijving]],2,FALSE)</f>
        <v>Leslokalen</v>
      </c>
      <c r="C875" s="219" t="s">
        <v>1013</v>
      </c>
      <c r="D875" s="218" t="s">
        <v>27</v>
      </c>
      <c r="E875" s="219" t="s">
        <v>99</v>
      </c>
      <c r="F875" s="219" t="s">
        <v>1015</v>
      </c>
      <c r="G875" s="224" t="s">
        <v>283</v>
      </c>
      <c r="H875" s="220" t="s">
        <v>15</v>
      </c>
      <c r="I875" s="220" t="s">
        <v>283</v>
      </c>
      <c r="J875" s="220" t="s">
        <v>283</v>
      </c>
      <c r="K875" s="220" t="s">
        <v>283</v>
      </c>
      <c r="L875" s="220" t="s">
        <v>283</v>
      </c>
      <c r="M875" s="220" t="s">
        <v>283</v>
      </c>
      <c r="N875" s="220" t="s">
        <v>283</v>
      </c>
      <c r="O875" s="221" t="s">
        <v>15</v>
      </c>
      <c r="P875" s="221" t="s">
        <v>15</v>
      </c>
      <c r="Q875" s="221" t="s">
        <v>15</v>
      </c>
      <c r="R875" s="221" t="s">
        <v>283</v>
      </c>
      <c r="S875" s="221" t="s">
        <v>283</v>
      </c>
      <c r="T875" s="221" t="s">
        <v>283</v>
      </c>
      <c r="U875" s="221" t="s">
        <v>283</v>
      </c>
      <c r="V875" s="221" t="s">
        <v>283</v>
      </c>
      <c r="W875" s="222" t="s">
        <v>283</v>
      </c>
      <c r="X875" s="222" t="s">
        <v>283</v>
      </c>
      <c r="Y875" s="223" t="s">
        <v>283</v>
      </c>
    </row>
    <row r="876" spans="1:25">
      <c r="A876" s="217">
        <v>16</v>
      </c>
      <c r="B876" s="218" t="str">
        <f>VLOOKUP(Tabel10[[#This Row],[Code]],Ruimtegroepen[[Code]:[Ruimte omschrijving]],2,FALSE)</f>
        <v>Leslokalen</v>
      </c>
      <c r="C876" s="219" t="s">
        <v>1013</v>
      </c>
      <c r="D876" s="218" t="s">
        <v>27</v>
      </c>
      <c r="E876" s="219" t="s">
        <v>101</v>
      </c>
      <c r="F876" s="219" t="s">
        <v>1016</v>
      </c>
      <c r="G876" s="224" t="s">
        <v>283</v>
      </c>
      <c r="H876" s="220" t="s">
        <v>283</v>
      </c>
      <c r="I876" s="220" t="s">
        <v>15</v>
      </c>
      <c r="J876" s="220" t="s">
        <v>283</v>
      </c>
      <c r="K876" s="220" t="s">
        <v>283</v>
      </c>
      <c r="L876" s="220" t="s">
        <v>283</v>
      </c>
      <c r="M876" s="220" t="s">
        <v>283</v>
      </c>
      <c r="N876" s="220" t="s">
        <v>283</v>
      </c>
      <c r="O876" s="221" t="s">
        <v>15</v>
      </c>
      <c r="P876" s="221" t="s">
        <v>15</v>
      </c>
      <c r="Q876" s="221" t="s">
        <v>15</v>
      </c>
      <c r="R876" s="221" t="s">
        <v>283</v>
      </c>
      <c r="S876" s="221" t="s">
        <v>283</v>
      </c>
      <c r="T876" s="221" t="s">
        <v>283</v>
      </c>
      <c r="U876" s="221" t="s">
        <v>283</v>
      </c>
      <c r="V876" s="221" t="s">
        <v>283</v>
      </c>
      <c r="W876" s="222" t="s">
        <v>283</v>
      </c>
      <c r="X876" s="222" t="s">
        <v>283</v>
      </c>
      <c r="Y876" s="223" t="s">
        <v>283</v>
      </c>
    </row>
    <row r="877" spans="1:25">
      <c r="A877" s="217">
        <v>16</v>
      </c>
      <c r="B877" s="218" t="str">
        <f>VLOOKUP(Tabel10[[#This Row],[Code]],Ruimtegroepen[[Code]:[Ruimte omschrijving]],2,FALSE)</f>
        <v>Leslokalen</v>
      </c>
      <c r="C877" s="219" t="s">
        <v>1013</v>
      </c>
      <c r="D877" s="218" t="s">
        <v>27</v>
      </c>
      <c r="E877" s="219" t="s">
        <v>102</v>
      </c>
      <c r="F877" s="219" t="s">
        <v>1017</v>
      </c>
      <c r="G877" s="224" t="s">
        <v>283</v>
      </c>
      <c r="H877" s="220" t="s">
        <v>283</v>
      </c>
      <c r="I877" s="220" t="s">
        <v>15</v>
      </c>
      <c r="J877" s="220" t="s">
        <v>283</v>
      </c>
      <c r="K877" s="220" t="s">
        <v>283</v>
      </c>
      <c r="L877" s="220" t="s">
        <v>283</v>
      </c>
      <c r="M877" s="220" t="s">
        <v>283</v>
      </c>
      <c r="N877" s="220" t="s">
        <v>283</v>
      </c>
      <c r="O877" s="221" t="s">
        <v>15</v>
      </c>
      <c r="P877" s="221" t="s">
        <v>15</v>
      </c>
      <c r="Q877" s="221" t="s">
        <v>15</v>
      </c>
      <c r="R877" s="221" t="s">
        <v>283</v>
      </c>
      <c r="S877" s="221" t="s">
        <v>283</v>
      </c>
      <c r="T877" s="221" t="s">
        <v>283</v>
      </c>
      <c r="U877" s="221" t="s">
        <v>283</v>
      </c>
      <c r="V877" s="221" t="s">
        <v>283</v>
      </c>
      <c r="W877" s="222" t="s">
        <v>283</v>
      </c>
      <c r="X877" s="222" t="s">
        <v>283</v>
      </c>
      <c r="Y877" s="223" t="s">
        <v>283</v>
      </c>
    </row>
    <row r="878" spans="1:25">
      <c r="A878" s="217">
        <v>16</v>
      </c>
      <c r="B878" s="218" t="str">
        <f>VLOOKUP(Tabel10[[#This Row],[Code]],Ruimtegroepen[[Code]:[Ruimte omschrijving]],2,FALSE)</f>
        <v>Leslokalen</v>
      </c>
      <c r="C878" s="219" t="s">
        <v>1013</v>
      </c>
      <c r="D878" s="218" t="s">
        <v>27</v>
      </c>
      <c r="E878" s="219" t="s">
        <v>99</v>
      </c>
      <c r="F878" s="219" t="s">
        <v>1015</v>
      </c>
      <c r="G878" s="224" t="s">
        <v>283</v>
      </c>
      <c r="H878" s="220" t="s">
        <v>15</v>
      </c>
      <c r="I878" s="220" t="s">
        <v>283</v>
      </c>
      <c r="J878" s="220" t="s">
        <v>283</v>
      </c>
      <c r="K878" s="220" t="s">
        <v>283</v>
      </c>
      <c r="L878" s="220" t="s">
        <v>283</v>
      </c>
      <c r="M878" s="220" t="s">
        <v>283</v>
      </c>
      <c r="N878" s="220" t="s">
        <v>283</v>
      </c>
      <c r="O878" s="221" t="s">
        <v>15</v>
      </c>
      <c r="P878" s="221" t="s">
        <v>15</v>
      </c>
      <c r="Q878" s="221" t="s">
        <v>15</v>
      </c>
      <c r="R878" s="221" t="s">
        <v>283</v>
      </c>
      <c r="S878" s="221" t="s">
        <v>283</v>
      </c>
      <c r="T878" s="221" t="s">
        <v>283</v>
      </c>
      <c r="U878" s="221" t="s">
        <v>283</v>
      </c>
      <c r="V878" s="221" t="s">
        <v>283</v>
      </c>
      <c r="W878" s="222" t="s">
        <v>283</v>
      </c>
      <c r="X878" s="222" t="s">
        <v>283</v>
      </c>
      <c r="Y878" s="223" t="s">
        <v>283</v>
      </c>
    </row>
    <row r="879" spans="1:25">
      <c r="A879" s="217">
        <v>16</v>
      </c>
      <c r="B879" s="218" t="str">
        <f>VLOOKUP(Tabel10[[#This Row],[Code]],Ruimtegroepen[[Code]:[Ruimte omschrijving]],2,FALSE)</f>
        <v>Leslokalen</v>
      </c>
      <c r="C879" s="219" t="s">
        <v>1013</v>
      </c>
      <c r="D879" s="218" t="s">
        <v>27</v>
      </c>
      <c r="E879" s="219" t="s">
        <v>1313</v>
      </c>
      <c r="F879" s="219" t="s">
        <v>1393</v>
      </c>
      <c r="G879" s="224" t="s">
        <v>283</v>
      </c>
      <c r="H879" s="220" t="s">
        <v>283</v>
      </c>
      <c r="I879" s="220" t="s">
        <v>15</v>
      </c>
      <c r="J879" s="220" t="s">
        <v>283</v>
      </c>
      <c r="K879" s="220" t="s">
        <v>283</v>
      </c>
      <c r="L879" s="220" t="s">
        <v>283</v>
      </c>
      <c r="M879" s="220" t="s">
        <v>283</v>
      </c>
      <c r="N879" s="220" t="s">
        <v>283</v>
      </c>
      <c r="O879" s="221" t="s">
        <v>15</v>
      </c>
      <c r="P879" s="221" t="s">
        <v>15</v>
      </c>
      <c r="Q879" s="221" t="s">
        <v>15</v>
      </c>
      <c r="R879" s="221" t="s">
        <v>283</v>
      </c>
      <c r="S879" s="221" t="s">
        <v>283</v>
      </c>
      <c r="T879" s="221" t="s">
        <v>283</v>
      </c>
      <c r="U879" s="221" t="s">
        <v>283</v>
      </c>
      <c r="V879" s="221" t="s">
        <v>283</v>
      </c>
      <c r="W879" s="222" t="s">
        <v>283</v>
      </c>
      <c r="X879" s="222" t="s">
        <v>283</v>
      </c>
      <c r="Y879" s="223" t="s">
        <v>283</v>
      </c>
    </row>
    <row r="880" spans="1:25">
      <c r="A880" s="217">
        <v>16</v>
      </c>
      <c r="B880" s="218" t="str">
        <f>VLOOKUP(Tabel10[[#This Row],[Code]],Ruimtegroepen[[Code]:[Ruimte omschrijving]],2,FALSE)</f>
        <v>Leslokalen</v>
      </c>
      <c r="C880" s="219" t="s">
        <v>1018</v>
      </c>
      <c r="D880" s="218" t="s">
        <v>28</v>
      </c>
      <c r="E880" s="219" t="s">
        <v>100</v>
      </c>
      <c r="F880" s="219" t="s">
        <v>1019</v>
      </c>
      <c r="G880" s="224" t="s">
        <v>283</v>
      </c>
      <c r="H880" s="220" t="s">
        <v>283</v>
      </c>
      <c r="I880" s="220" t="s">
        <v>17</v>
      </c>
      <c r="J880" s="220" t="s">
        <v>283</v>
      </c>
      <c r="K880" s="220" t="s">
        <v>283</v>
      </c>
      <c r="L880" s="220" t="s">
        <v>283</v>
      </c>
      <c r="M880" s="220" t="s">
        <v>283</v>
      </c>
      <c r="N880" s="220" t="s">
        <v>283</v>
      </c>
      <c r="O880" s="221" t="s">
        <v>17</v>
      </c>
      <c r="P880" s="221" t="s">
        <v>17</v>
      </c>
      <c r="Q880" s="221" t="s">
        <v>15</v>
      </c>
      <c r="R880" s="221" t="s">
        <v>283</v>
      </c>
      <c r="S880" s="221" t="s">
        <v>283</v>
      </c>
      <c r="T880" s="221" t="s">
        <v>283</v>
      </c>
      <c r="U880" s="221" t="s">
        <v>283</v>
      </c>
      <c r="V880" s="221" t="s">
        <v>283</v>
      </c>
      <c r="W880" s="222" t="s">
        <v>283</v>
      </c>
      <c r="X880" s="222" t="s">
        <v>283</v>
      </c>
      <c r="Y880" s="223" t="s">
        <v>283</v>
      </c>
    </row>
    <row r="881" spans="1:25">
      <c r="A881" s="217">
        <v>16</v>
      </c>
      <c r="B881" s="218" t="str">
        <f>VLOOKUP(Tabel10[[#This Row],[Code]],Ruimtegroepen[[Code]:[Ruimte omschrijving]],2,FALSE)</f>
        <v>Leslokalen</v>
      </c>
      <c r="C881" s="219" t="s">
        <v>1018</v>
      </c>
      <c r="D881" s="218" t="s">
        <v>28</v>
      </c>
      <c r="E881" s="219" t="s">
        <v>99</v>
      </c>
      <c r="F881" s="219" t="s">
        <v>1020</v>
      </c>
      <c r="G881" s="224" t="s">
        <v>283</v>
      </c>
      <c r="H881" s="220" t="s">
        <v>17</v>
      </c>
      <c r="I881" s="220" t="s">
        <v>283</v>
      </c>
      <c r="J881" s="220" t="s">
        <v>283</v>
      </c>
      <c r="K881" s="220" t="s">
        <v>283</v>
      </c>
      <c r="L881" s="220" t="s">
        <v>283</v>
      </c>
      <c r="M881" s="220" t="s">
        <v>283</v>
      </c>
      <c r="N881" s="220" t="s">
        <v>283</v>
      </c>
      <c r="O881" s="221" t="s">
        <v>17</v>
      </c>
      <c r="P881" s="221" t="s">
        <v>17</v>
      </c>
      <c r="Q881" s="221" t="s">
        <v>15</v>
      </c>
      <c r="R881" s="221" t="s">
        <v>283</v>
      </c>
      <c r="S881" s="221" t="s">
        <v>283</v>
      </c>
      <c r="T881" s="221" t="s">
        <v>283</v>
      </c>
      <c r="U881" s="221" t="s">
        <v>283</v>
      </c>
      <c r="V881" s="221" t="s">
        <v>283</v>
      </c>
      <c r="W881" s="222" t="s">
        <v>283</v>
      </c>
      <c r="X881" s="222" t="s">
        <v>283</v>
      </c>
      <c r="Y881" s="223" t="s">
        <v>283</v>
      </c>
    </row>
    <row r="882" spans="1:25">
      <c r="A882" s="217">
        <v>16</v>
      </c>
      <c r="B882" s="218" t="str">
        <f>VLOOKUP(Tabel10[[#This Row],[Code]],Ruimtegroepen[[Code]:[Ruimte omschrijving]],2,FALSE)</f>
        <v>Leslokalen</v>
      </c>
      <c r="C882" s="219" t="s">
        <v>1018</v>
      </c>
      <c r="D882" s="218" t="s">
        <v>28</v>
      </c>
      <c r="E882" s="219" t="s">
        <v>101</v>
      </c>
      <c r="F882" s="219" t="s">
        <v>1021</v>
      </c>
      <c r="G882" s="224" t="s">
        <v>283</v>
      </c>
      <c r="H882" s="220" t="s">
        <v>283</v>
      </c>
      <c r="I882" s="220" t="s">
        <v>17</v>
      </c>
      <c r="J882" s="220" t="s">
        <v>283</v>
      </c>
      <c r="K882" s="220" t="s">
        <v>283</v>
      </c>
      <c r="L882" s="220" t="s">
        <v>283</v>
      </c>
      <c r="M882" s="220" t="s">
        <v>283</v>
      </c>
      <c r="N882" s="220" t="s">
        <v>283</v>
      </c>
      <c r="O882" s="221" t="s">
        <v>17</v>
      </c>
      <c r="P882" s="221" t="s">
        <v>17</v>
      </c>
      <c r="Q882" s="221" t="s">
        <v>15</v>
      </c>
      <c r="R882" s="221" t="s">
        <v>283</v>
      </c>
      <c r="S882" s="221" t="s">
        <v>283</v>
      </c>
      <c r="T882" s="221" t="s">
        <v>283</v>
      </c>
      <c r="U882" s="221" t="s">
        <v>283</v>
      </c>
      <c r="V882" s="221" t="s">
        <v>283</v>
      </c>
      <c r="W882" s="222" t="s">
        <v>283</v>
      </c>
      <c r="X882" s="222" t="s">
        <v>283</v>
      </c>
      <c r="Y882" s="223" t="s">
        <v>283</v>
      </c>
    </row>
    <row r="883" spans="1:25">
      <c r="A883" s="217">
        <v>16</v>
      </c>
      <c r="B883" s="218" t="str">
        <f>VLOOKUP(Tabel10[[#This Row],[Code]],Ruimtegroepen[[Code]:[Ruimte omschrijving]],2,FALSE)</f>
        <v>Leslokalen</v>
      </c>
      <c r="C883" s="219" t="s">
        <v>1018</v>
      </c>
      <c r="D883" s="218" t="s">
        <v>28</v>
      </c>
      <c r="E883" s="219" t="s">
        <v>102</v>
      </c>
      <c r="F883" s="219" t="s">
        <v>1022</v>
      </c>
      <c r="G883" s="224" t="s">
        <v>283</v>
      </c>
      <c r="H883" s="220" t="s">
        <v>283</v>
      </c>
      <c r="I883" s="220" t="s">
        <v>17</v>
      </c>
      <c r="J883" s="220" t="s">
        <v>283</v>
      </c>
      <c r="K883" s="220" t="s">
        <v>283</v>
      </c>
      <c r="L883" s="220" t="s">
        <v>283</v>
      </c>
      <c r="M883" s="220" t="s">
        <v>283</v>
      </c>
      <c r="N883" s="220" t="s">
        <v>283</v>
      </c>
      <c r="O883" s="221" t="s">
        <v>17</v>
      </c>
      <c r="P883" s="221" t="s">
        <v>17</v>
      </c>
      <c r="Q883" s="221" t="s">
        <v>15</v>
      </c>
      <c r="R883" s="221" t="s">
        <v>283</v>
      </c>
      <c r="S883" s="221" t="s">
        <v>283</v>
      </c>
      <c r="T883" s="221" t="s">
        <v>283</v>
      </c>
      <c r="U883" s="221" t="s">
        <v>283</v>
      </c>
      <c r="V883" s="221" t="s">
        <v>283</v>
      </c>
      <c r="W883" s="222" t="s">
        <v>283</v>
      </c>
      <c r="X883" s="222" t="s">
        <v>283</v>
      </c>
      <c r="Y883" s="223" t="s">
        <v>283</v>
      </c>
    </row>
    <row r="884" spans="1:25">
      <c r="A884" s="217">
        <v>16</v>
      </c>
      <c r="B884" s="218" t="str">
        <f>VLOOKUP(Tabel10[[#This Row],[Code]],Ruimtegroepen[[Code]:[Ruimte omschrijving]],2,FALSE)</f>
        <v>Leslokalen</v>
      </c>
      <c r="C884" s="219" t="s">
        <v>1018</v>
      </c>
      <c r="D884" s="218" t="s">
        <v>28</v>
      </c>
      <c r="E884" s="219" t="s">
        <v>99</v>
      </c>
      <c r="F884" s="219" t="s">
        <v>1020</v>
      </c>
      <c r="G884" s="224" t="s">
        <v>283</v>
      </c>
      <c r="H884" s="220" t="s">
        <v>17</v>
      </c>
      <c r="I884" s="220" t="s">
        <v>283</v>
      </c>
      <c r="J884" s="220" t="s">
        <v>283</v>
      </c>
      <c r="K884" s="220" t="s">
        <v>283</v>
      </c>
      <c r="L884" s="220" t="s">
        <v>283</v>
      </c>
      <c r="M884" s="220" t="s">
        <v>283</v>
      </c>
      <c r="N884" s="220" t="s">
        <v>283</v>
      </c>
      <c r="O884" s="221" t="s">
        <v>17</v>
      </c>
      <c r="P884" s="221" t="s">
        <v>17</v>
      </c>
      <c r="Q884" s="221" t="s">
        <v>15</v>
      </c>
      <c r="R884" s="221" t="s">
        <v>283</v>
      </c>
      <c r="S884" s="221" t="s">
        <v>283</v>
      </c>
      <c r="T884" s="221" t="s">
        <v>283</v>
      </c>
      <c r="U884" s="221" t="s">
        <v>283</v>
      </c>
      <c r="V884" s="221" t="s">
        <v>283</v>
      </c>
      <c r="W884" s="222" t="s">
        <v>283</v>
      </c>
      <c r="X884" s="222" t="s">
        <v>283</v>
      </c>
      <c r="Y884" s="223" t="s">
        <v>283</v>
      </c>
    </row>
    <row r="885" spans="1:25">
      <c r="A885" s="217">
        <v>16</v>
      </c>
      <c r="B885" s="218" t="str">
        <f>VLOOKUP(Tabel10[[#This Row],[Code]],Ruimtegroepen[[Code]:[Ruimte omschrijving]],2,FALSE)</f>
        <v>Leslokalen</v>
      </c>
      <c r="C885" s="219" t="s">
        <v>1018</v>
      </c>
      <c r="D885" s="218" t="s">
        <v>28</v>
      </c>
      <c r="E885" s="219" t="s">
        <v>1313</v>
      </c>
      <c r="F885" s="219" t="s">
        <v>1426</v>
      </c>
      <c r="G885" s="224" t="s">
        <v>283</v>
      </c>
      <c r="H885" s="220" t="s">
        <v>283</v>
      </c>
      <c r="I885" s="220" t="s">
        <v>17</v>
      </c>
      <c r="J885" s="220" t="s">
        <v>283</v>
      </c>
      <c r="K885" s="220" t="s">
        <v>283</v>
      </c>
      <c r="L885" s="220" t="s">
        <v>283</v>
      </c>
      <c r="M885" s="220" t="s">
        <v>283</v>
      </c>
      <c r="N885" s="220" t="s">
        <v>283</v>
      </c>
      <c r="O885" s="221" t="s">
        <v>17</v>
      </c>
      <c r="P885" s="221" t="s">
        <v>17</v>
      </c>
      <c r="Q885" s="221" t="s">
        <v>15</v>
      </c>
      <c r="R885" s="221" t="s">
        <v>283</v>
      </c>
      <c r="S885" s="221" t="s">
        <v>283</v>
      </c>
      <c r="T885" s="221" t="s">
        <v>283</v>
      </c>
      <c r="U885" s="221" t="s">
        <v>283</v>
      </c>
      <c r="V885" s="221" t="s">
        <v>283</v>
      </c>
      <c r="W885" s="222" t="s">
        <v>283</v>
      </c>
      <c r="X885" s="222" t="s">
        <v>283</v>
      </c>
      <c r="Y885" s="223" t="s">
        <v>283</v>
      </c>
    </row>
    <row r="886" spans="1:25">
      <c r="A886" s="217">
        <v>17</v>
      </c>
      <c r="B886" s="218" t="str">
        <f>VLOOKUP(Tabel10[[#This Row],[Code]],Ruimtegroepen[[Code]:[Ruimte omschrijving]],2,FALSE)</f>
        <v>Toestelberging</v>
      </c>
      <c r="C886" s="219" t="s">
        <v>1023</v>
      </c>
      <c r="D886" s="218" t="s">
        <v>29</v>
      </c>
      <c r="E886" s="219" t="s">
        <v>100</v>
      </c>
      <c r="F886" s="219" t="s">
        <v>1024</v>
      </c>
      <c r="G886" s="224" t="s">
        <v>283</v>
      </c>
      <c r="H886" s="220" t="s">
        <v>283</v>
      </c>
      <c r="I886" s="220" t="s">
        <v>20</v>
      </c>
      <c r="J886" s="220" t="s">
        <v>15</v>
      </c>
      <c r="K886" s="220" t="s">
        <v>283</v>
      </c>
      <c r="L886" s="220" t="s">
        <v>283</v>
      </c>
      <c r="M886" s="220" t="s">
        <v>283</v>
      </c>
      <c r="N886" s="220" t="s">
        <v>2</v>
      </c>
      <c r="O886" s="221" t="s">
        <v>2</v>
      </c>
      <c r="P886" s="221" t="s">
        <v>2</v>
      </c>
      <c r="Q886" s="221" t="s">
        <v>15</v>
      </c>
      <c r="R886" s="221" t="s">
        <v>15</v>
      </c>
      <c r="S886" s="221" t="s">
        <v>16</v>
      </c>
      <c r="T886" s="221" t="s">
        <v>330</v>
      </c>
      <c r="U886" s="221" t="s">
        <v>250</v>
      </c>
      <c r="V886" s="221" t="s">
        <v>2</v>
      </c>
      <c r="W886" s="222" t="s">
        <v>283</v>
      </c>
      <c r="X886" s="222" t="s">
        <v>283</v>
      </c>
      <c r="Y886" s="223" t="s">
        <v>283</v>
      </c>
    </row>
    <row r="887" spans="1:25">
      <c r="A887" s="217">
        <v>17</v>
      </c>
      <c r="B887" s="218" t="str">
        <f>VLOOKUP(Tabel10[[#This Row],[Code]],Ruimtegroepen[[Code]:[Ruimte omschrijving]],2,FALSE)</f>
        <v>Toestelberging</v>
      </c>
      <c r="C887" s="219" t="s">
        <v>1023</v>
      </c>
      <c r="D887" s="218" t="s">
        <v>29</v>
      </c>
      <c r="E887" s="219" t="s">
        <v>99</v>
      </c>
      <c r="F887" s="219" t="s">
        <v>1025</v>
      </c>
      <c r="G887" s="220" t="s">
        <v>20</v>
      </c>
      <c r="H887" s="220" t="s">
        <v>15</v>
      </c>
      <c r="I887" s="220" t="s">
        <v>283</v>
      </c>
      <c r="J887" s="220" t="s">
        <v>283</v>
      </c>
      <c r="K887" s="220" t="s">
        <v>283</v>
      </c>
      <c r="L887" s="220" t="s">
        <v>283</v>
      </c>
      <c r="M887" s="220" t="s">
        <v>283</v>
      </c>
      <c r="N887" s="220" t="s">
        <v>2</v>
      </c>
      <c r="O887" s="221" t="s">
        <v>2</v>
      </c>
      <c r="P887" s="221" t="s">
        <v>2</v>
      </c>
      <c r="Q887" s="221" t="s">
        <v>15</v>
      </c>
      <c r="R887" s="221" t="s">
        <v>15</v>
      </c>
      <c r="S887" s="221" t="s">
        <v>16</v>
      </c>
      <c r="T887" s="221" t="s">
        <v>330</v>
      </c>
      <c r="U887" s="221" t="s">
        <v>250</v>
      </c>
      <c r="V887" s="221" t="s">
        <v>2</v>
      </c>
      <c r="W887" s="222" t="s">
        <v>283</v>
      </c>
      <c r="X887" s="222" t="s">
        <v>283</v>
      </c>
      <c r="Y887" s="223" t="s">
        <v>283</v>
      </c>
    </row>
    <row r="888" spans="1:25">
      <c r="A888" s="217">
        <v>17</v>
      </c>
      <c r="B888" s="218" t="str">
        <f>VLOOKUP(Tabel10[[#This Row],[Code]],Ruimtegroepen[[Code]:[Ruimte omschrijving]],2,FALSE)</f>
        <v>Toestelberging</v>
      </c>
      <c r="C888" s="219" t="s">
        <v>1023</v>
      </c>
      <c r="D888" s="218" t="s">
        <v>29</v>
      </c>
      <c r="E888" s="219" t="s">
        <v>101</v>
      </c>
      <c r="F888" s="219" t="s">
        <v>1026</v>
      </c>
      <c r="G888" s="224" t="s">
        <v>283</v>
      </c>
      <c r="H888" s="220" t="s">
        <v>283</v>
      </c>
      <c r="I888" s="220" t="s">
        <v>20</v>
      </c>
      <c r="J888" s="220" t="s">
        <v>15</v>
      </c>
      <c r="K888" s="220" t="s">
        <v>284</v>
      </c>
      <c r="L888" s="220" t="s">
        <v>283</v>
      </c>
      <c r="M888" s="220" t="s">
        <v>283</v>
      </c>
      <c r="N888" s="220" t="s">
        <v>2</v>
      </c>
      <c r="O888" s="221" t="s">
        <v>2</v>
      </c>
      <c r="P888" s="221" t="s">
        <v>2</v>
      </c>
      <c r="Q888" s="221" t="s">
        <v>15</v>
      </c>
      <c r="R888" s="221" t="s">
        <v>15</v>
      </c>
      <c r="S888" s="221" t="s">
        <v>16</v>
      </c>
      <c r="T888" s="221" t="s">
        <v>330</v>
      </c>
      <c r="U888" s="221" t="s">
        <v>250</v>
      </c>
      <c r="V888" s="221" t="s">
        <v>2</v>
      </c>
      <c r="W888" s="222" t="s">
        <v>283</v>
      </c>
      <c r="X888" s="222" t="s">
        <v>283</v>
      </c>
      <c r="Y888" s="223" t="s">
        <v>283</v>
      </c>
    </row>
    <row r="889" spans="1:25">
      <c r="A889" s="217">
        <v>17</v>
      </c>
      <c r="B889" s="218" t="str">
        <f>VLOOKUP(Tabel10[[#This Row],[Code]],Ruimtegroepen[[Code]:[Ruimte omschrijving]],2,FALSE)</f>
        <v>Toestelberging</v>
      </c>
      <c r="C889" s="219" t="s">
        <v>1023</v>
      </c>
      <c r="D889" s="218" t="s">
        <v>29</v>
      </c>
      <c r="E889" s="219" t="s">
        <v>102</v>
      </c>
      <c r="F889" s="219" t="s">
        <v>1027</v>
      </c>
      <c r="G889" s="224" t="s">
        <v>283</v>
      </c>
      <c r="H889" s="220" t="s">
        <v>283</v>
      </c>
      <c r="I889" s="220" t="s">
        <v>20</v>
      </c>
      <c r="J889" s="220" t="s">
        <v>15</v>
      </c>
      <c r="K889" s="220" t="s">
        <v>284</v>
      </c>
      <c r="L889" s="220" t="s">
        <v>283</v>
      </c>
      <c r="M889" s="220" t="s">
        <v>283</v>
      </c>
      <c r="N889" s="220" t="s">
        <v>2</v>
      </c>
      <c r="O889" s="221" t="s">
        <v>2</v>
      </c>
      <c r="P889" s="221" t="s">
        <v>2</v>
      </c>
      <c r="Q889" s="221" t="s">
        <v>15</v>
      </c>
      <c r="R889" s="221" t="s">
        <v>15</v>
      </c>
      <c r="S889" s="221" t="s">
        <v>16</v>
      </c>
      <c r="T889" s="221" t="s">
        <v>330</v>
      </c>
      <c r="U889" s="221" t="s">
        <v>250</v>
      </c>
      <c r="V889" s="221" t="s">
        <v>2</v>
      </c>
      <c r="W889" s="222" t="s">
        <v>283</v>
      </c>
      <c r="X889" s="222" t="s">
        <v>283</v>
      </c>
      <c r="Y889" s="223" t="s">
        <v>283</v>
      </c>
    </row>
    <row r="890" spans="1:25">
      <c r="A890" s="217">
        <v>17</v>
      </c>
      <c r="B890" s="218" t="str">
        <f>VLOOKUP(Tabel10[[#This Row],[Code]],Ruimtegroepen[[Code]:[Ruimte omschrijving]],2,FALSE)</f>
        <v>Toestelberging</v>
      </c>
      <c r="C890" s="219" t="s">
        <v>1023</v>
      </c>
      <c r="D890" s="218" t="s">
        <v>29</v>
      </c>
      <c r="E890" s="219" t="s">
        <v>99</v>
      </c>
      <c r="F890" s="219" t="s">
        <v>1025</v>
      </c>
      <c r="G890" s="224" t="s">
        <v>283</v>
      </c>
      <c r="H890" s="220" t="s">
        <v>2</v>
      </c>
      <c r="I890" s="220" t="s">
        <v>283</v>
      </c>
      <c r="J890" s="220" t="s">
        <v>283</v>
      </c>
      <c r="K890" s="220" t="s">
        <v>283</v>
      </c>
      <c r="L890" s="220" t="s">
        <v>283</v>
      </c>
      <c r="M890" s="220" t="s">
        <v>283</v>
      </c>
      <c r="N890" s="220" t="s">
        <v>2</v>
      </c>
      <c r="O890" s="221" t="s">
        <v>2</v>
      </c>
      <c r="P890" s="221" t="s">
        <v>2</v>
      </c>
      <c r="Q890" s="221" t="s">
        <v>15</v>
      </c>
      <c r="R890" s="221" t="s">
        <v>15</v>
      </c>
      <c r="S890" s="221" t="s">
        <v>16</v>
      </c>
      <c r="T890" s="221" t="s">
        <v>330</v>
      </c>
      <c r="U890" s="221" t="s">
        <v>250</v>
      </c>
      <c r="V890" s="221" t="s">
        <v>2</v>
      </c>
      <c r="W890" s="222" t="s">
        <v>283</v>
      </c>
      <c r="X890" s="222" t="s">
        <v>283</v>
      </c>
      <c r="Y890" s="223" t="s">
        <v>283</v>
      </c>
    </row>
    <row r="891" spans="1:25">
      <c r="A891" s="217">
        <v>17</v>
      </c>
      <c r="B891" s="218" t="str">
        <f>VLOOKUP(Tabel10[[#This Row],[Code]],Ruimtegroepen[[Code]:[Ruimte omschrijving]],2,FALSE)</f>
        <v>Toestelberging</v>
      </c>
      <c r="C891" s="219" t="s">
        <v>1023</v>
      </c>
      <c r="D891" s="218" t="s">
        <v>29</v>
      </c>
      <c r="E891" s="219" t="s">
        <v>1313</v>
      </c>
      <c r="F891" s="219" t="s">
        <v>1494</v>
      </c>
      <c r="G891" s="224" t="s">
        <v>283</v>
      </c>
      <c r="H891" s="220" t="s">
        <v>283</v>
      </c>
      <c r="I891" s="220" t="s">
        <v>20</v>
      </c>
      <c r="J891" s="220" t="s">
        <v>15</v>
      </c>
      <c r="K891" s="220" t="s">
        <v>284</v>
      </c>
      <c r="L891" s="220" t="s">
        <v>283</v>
      </c>
      <c r="M891" s="220" t="s">
        <v>283</v>
      </c>
      <c r="N891" s="220" t="s">
        <v>2</v>
      </c>
      <c r="O891" s="221" t="s">
        <v>2</v>
      </c>
      <c r="P891" s="221" t="s">
        <v>2</v>
      </c>
      <c r="Q891" s="221" t="s">
        <v>15</v>
      </c>
      <c r="R891" s="221" t="s">
        <v>15</v>
      </c>
      <c r="S891" s="221" t="s">
        <v>16</v>
      </c>
      <c r="T891" s="221" t="s">
        <v>330</v>
      </c>
      <c r="U891" s="221" t="s">
        <v>250</v>
      </c>
      <c r="V891" s="221" t="s">
        <v>2</v>
      </c>
      <c r="W891" s="222" t="s">
        <v>283</v>
      </c>
      <c r="X891" s="222" t="s">
        <v>283</v>
      </c>
      <c r="Y891" s="223" t="s">
        <v>283</v>
      </c>
    </row>
    <row r="892" spans="1:25">
      <c r="A892" s="217">
        <v>17</v>
      </c>
      <c r="B892" s="218" t="str">
        <f>VLOOKUP(Tabel10[[#This Row],[Code]],Ruimtegroepen[[Code]:[Ruimte omschrijving]],2,FALSE)</f>
        <v>Toestelberging</v>
      </c>
      <c r="C892" s="219" t="s">
        <v>1028</v>
      </c>
      <c r="D892" s="218" t="s">
        <v>1</v>
      </c>
      <c r="E892" s="219" t="s">
        <v>100</v>
      </c>
      <c r="F892" s="219" t="s">
        <v>1029</v>
      </c>
      <c r="G892" s="224" t="s">
        <v>283</v>
      </c>
      <c r="H892" s="220" t="s">
        <v>283</v>
      </c>
      <c r="I892" s="220" t="s">
        <v>20</v>
      </c>
      <c r="J892" s="220" t="s">
        <v>15</v>
      </c>
      <c r="K892" s="220" t="s">
        <v>283</v>
      </c>
      <c r="L892" s="220" t="s">
        <v>283</v>
      </c>
      <c r="M892" s="220" t="s">
        <v>283</v>
      </c>
      <c r="N892" s="220" t="s">
        <v>283</v>
      </c>
      <c r="O892" s="221" t="s">
        <v>2</v>
      </c>
      <c r="P892" s="221" t="s">
        <v>2</v>
      </c>
      <c r="Q892" s="221" t="s">
        <v>15</v>
      </c>
      <c r="R892" s="221" t="s">
        <v>15</v>
      </c>
      <c r="S892" s="221" t="s">
        <v>16</v>
      </c>
      <c r="T892" s="221" t="s">
        <v>330</v>
      </c>
      <c r="U892" s="221" t="s">
        <v>250</v>
      </c>
      <c r="V892" s="221" t="s">
        <v>283</v>
      </c>
      <c r="W892" s="222" t="s">
        <v>283</v>
      </c>
      <c r="X892" s="222" t="s">
        <v>283</v>
      </c>
      <c r="Y892" s="223" t="s">
        <v>283</v>
      </c>
    </row>
    <row r="893" spans="1:25">
      <c r="A893" s="217">
        <v>17</v>
      </c>
      <c r="B893" s="218" t="str">
        <f>VLOOKUP(Tabel10[[#This Row],[Code]],Ruimtegroepen[[Code]:[Ruimte omschrijving]],2,FALSE)</f>
        <v>Toestelberging</v>
      </c>
      <c r="C893" s="219" t="s">
        <v>1028</v>
      </c>
      <c r="D893" s="218" t="s">
        <v>1</v>
      </c>
      <c r="E893" s="219" t="s">
        <v>99</v>
      </c>
      <c r="F893" s="219" t="s">
        <v>1030</v>
      </c>
      <c r="G893" s="220" t="s">
        <v>20</v>
      </c>
      <c r="H893" s="220" t="s">
        <v>15</v>
      </c>
      <c r="I893" s="220" t="s">
        <v>283</v>
      </c>
      <c r="J893" s="220" t="s">
        <v>283</v>
      </c>
      <c r="K893" s="220" t="s">
        <v>283</v>
      </c>
      <c r="L893" s="220" t="s">
        <v>283</v>
      </c>
      <c r="M893" s="220" t="s">
        <v>283</v>
      </c>
      <c r="N893" s="220" t="s">
        <v>283</v>
      </c>
      <c r="O893" s="221" t="s">
        <v>2</v>
      </c>
      <c r="P893" s="221" t="s">
        <v>2</v>
      </c>
      <c r="Q893" s="221" t="s">
        <v>15</v>
      </c>
      <c r="R893" s="221" t="s">
        <v>15</v>
      </c>
      <c r="S893" s="221" t="s">
        <v>16</v>
      </c>
      <c r="T893" s="221" t="s">
        <v>330</v>
      </c>
      <c r="U893" s="221" t="s">
        <v>250</v>
      </c>
      <c r="V893" s="221" t="s">
        <v>283</v>
      </c>
      <c r="W893" s="222" t="s">
        <v>283</v>
      </c>
      <c r="X893" s="222" t="s">
        <v>283</v>
      </c>
      <c r="Y893" s="223" t="s">
        <v>283</v>
      </c>
    </row>
    <row r="894" spans="1:25">
      <c r="A894" s="217">
        <v>17</v>
      </c>
      <c r="B894" s="218" t="str">
        <f>VLOOKUP(Tabel10[[#This Row],[Code]],Ruimtegroepen[[Code]:[Ruimte omschrijving]],2,FALSE)</f>
        <v>Toestelberging</v>
      </c>
      <c r="C894" s="219" t="s">
        <v>1028</v>
      </c>
      <c r="D894" s="218" t="s">
        <v>1</v>
      </c>
      <c r="E894" s="219" t="s">
        <v>101</v>
      </c>
      <c r="F894" s="219" t="s">
        <v>1031</v>
      </c>
      <c r="G894" s="224" t="s">
        <v>283</v>
      </c>
      <c r="H894" s="220" t="s">
        <v>283</v>
      </c>
      <c r="I894" s="220" t="s">
        <v>20</v>
      </c>
      <c r="J894" s="220" t="s">
        <v>15</v>
      </c>
      <c r="K894" s="220" t="s">
        <v>284</v>
      </c>
      <c r="L894" s="220" t="s">
        <v>283</v>
      </c>
      <c r="M894" s="220" t="s">
        <v>283</v>
      </c>
      <c r="N894" s="220" t="s">
        <v>283</v>
      </c>
      <c r="O894" s="221" t="s">
        <v>2</v>
      </c>
      <c r="P894" s="221" t="s">
        <v>2</v>
      </c>
      <c r="Q894" s="221" t="s">
        <v>15</v>
      </c>
      <c r="R894" s="221" t="s">
        <v>15</v>
      </c>
      <c r="S894" s="221" t="s">
        <v>16</v>
      </c>
      <c r="T894" s="221" t="s">
        <v>330</v>
      </c>
      <c r="U894" s="221" t="s">
        <v>250</v>
      </c>
      <c r="V894" s="221" t="s">
        <v>283</v>
      </c>
      <c r="W894" s="222" t="s">
        <v>283</v>
      </c>
      <c r="X894" s="222" t="s">
        <v>283</v>
      </c>
      <c r="Y894" s="223" t="s">
        <v>283</v>
      </c>
    </row>
    <row r="895" spans="1:25">
      <c r="A895" s="217">
        <v>17</v>
      </c>
      <c r="B895" s="218" t="str">
        <f>VLOOKUP(Tabel10[[#This Row],[Code]],Ruimtegroepen[[Code]:[Ruimte omschrijving]],2,FALSE)</f>
        <v>Toestelberging</v>
      </c>
      <c r="C895" s="219" t="s">
        <v>1028</v>
      </c>
      <c r="D895" s="218" t="s">
        <v>1</v>
      </c>
      <c r="E895" s="219" t="s">
        <v>102</v>
      </c>
      <c r="F895" s="219" t="s">
        <v>1032</v>
      </c>
      <c r="G895" s="224" t="s">
        <v>283</v>
      </c>
      <c r="H895" s="220" t="s">
        <v>283</v>
      </c>
      <c r="I895" s="220" t="s">
        <v>20</v>
      </c>
      <c r="J895" s="220" t="s">
        <v>15</v>
      </c>
      <c r="K895" s="220" t="s">
        <v>284</v>
      </c>
      <c r="L895" s="220" t="s">
        <v>283</v>
      </c>
      <c r="M895" s="220" t="s">
        <v>283</v>
      </c>
      <c r="N895" s="220" t="s">
        <v>283</v>
      </c>
      <c r="O895" s="221" t="s">
        <v>2</v>
      </c>
      <c r="P895" s="221" t="s">
        <v>2</v>
      </c>
      <c r="Q895" s="221" t="s">
        <v>15</v>
      </c>
      <c r="R895" s="221" t="s">
        <v>15</v>
      </c>
      <c r="S895" s="221" t="s">
        <v>16</v>
      </c>
      <c r="T895" s="221" t="s">
        <v>330</v>
      </c>
      <c r="U895" s="221" t="s">
        <v>250</v>
      </c>
      <c r="V895" s="221" t="s">
        <v>283</v>
      </c>
      <c r="W895" s="222" t="s">
        <v>283</v>
      </c>
      <c r="X895" s="222" t="s">
        <v>283</v>
      </c>
      <c r="Y895" s="223" t="s">
        <v>283</v>
      </c>
    </row>
    <row r="896" spans="1:25">
      <c r="A896" s="217">
        <v>17</v>
      </c>
      <c r="B896" s="218" t="str">
        <f>VLOOKUP(Tabel10[[#This Row],[Code]],Ruimtegroepen[[Code]:[Ruimte omschrijving]],2,FALSE)</f>
        <v>Toestelberging</v>
      </c>
      <c r="C896" s="219" t="s">
        <v>1028</v>
      </c>
      <c r="D896" s="218" t="s">
        <v>1</v>
      </c>
      <c r="E896" s="219" t="s">
        <v>99</v>
      </c>
      <c r="F896" s="219" t="s">
        <v>1030</v>
      </c>
      <c r="G896" s="224" t="s">
        <v>283</v>
      </c>
      <c r="H896" s="220" t="s">
        <v>2</v>
      </c>
      <c r="I896" s="220" t="s">
        <v>283</v>
      </c>
      <c r="J896" s="220" t="s">
        <v>283</v>
      </c>
      <c r="K896" s="220" t="s">
        <v>283</v>
      </c>
      <c r="L896" s="220" t="s">
        <v>283</v>
      </c>
      <c r="M896" s="220" t="s">
        <v>283</v>
      </c>
      <c r="N896" s="220" t="s">
        <v>283</v>
      </c>
      <c r="O896" s="221" t="s">
        <v>2</v>
      </c>
      <c r="P896" s="221" t="s">
        <v>2</v>
      </c>
      <c r="Q896" s="221" t="s">
        <v>15</v>
      </c>
      <c r="R896" s="221" t="s">
        <v>15</v>
      </c>
      <c r="S896" s="221" t="s">
        <v>16</v>
      </c>
      <c r="T896" s="221" t="s">
        <v>330</v>
      </c>
      <c r="U896" s="221" t="s">
        <v>250</v>
      </c>
      <c r="V896" s="221" t="s">
        <v>283</v>
      </c>
      <c r="W896" s="222" t="s">
        <v>283</v>
      </c>
      <c r="X896" s="222" t="s">
        <v>283</v>
      </c>
      <c r="Y896" s="223" t="s">
        <v>283</v>
      </c>
    </row>
    <row r="897" spans="1:25">
      <c r="A897" s="217">
        <v>17</v>
      </c>
      <c r="B897" s="218" t="str">
        <f>VLOOKUP(Tabel10[[#This Row],[Code]],Ruimtegroepen[[Code]:[Ruimte omschrijving]],2,FALSE)</f>
        <v>Toestelberging</v>
      </c>
      <c r="C897" s="219" t="s">
        <v>1028</v>
      </c>
      <c r="D897" s="218" t="s">
        <v>1</v>
      </c>
      <c r="E897" s="219" t="s">
        <v>1313</v>
      </c>
      <c r="F897" s="219" t="s">
        <v>1478</v>
      </c>
      <c r="G897" s="224" t="s">
        <v>283</v>
      </c>
      <c r="H897" s="220" t="s">
        <v>283</v>
      </c>
      <c r="I897" s="220" t="s">
        <v>20</v>
      </c>
      <c r="J897" s="220" t="s">
        <v>15</v>
      </c>
      <c r="K897" s="220" t="s">
        <v>284</v>
      </c>
      <c r="L897" s="220" t="s">
        <v>283</v>
      </c>
      <c r="M897" s="220" t="s">
        <v>283</v>
      </c>
      <c r="N897" s="220" t="s">
        <v>283</v>
      </c>
      <c r="O897" s="221" t="s">
        <v>2</v>
      </c>
      <c r="P897" s="221" t="s">
        <v>2</v>
      </c>
      <c r="Q897" s="221" t="s">
        <v>15</v>
      </c>
      <c r="R897" s="221" t="s">
        <v>15</v>
      </c>
      <c r="S897" s="221" t="s">
        <v>16</v>
      </c>
      <c r="T897" s="221" t="s">
        <v>330</v>
      </c>
      <c r="U897" s="221" t="s">
        <v>250</v>
      </c>
      <c r="V897" s="221" t="s">
        <v>283</v>
      </c>
      <c r="W897" s="222" t="s">
        <v>283</v>
      </c>
      <c r="X897" s="222" t="s">
        <v>283</v>
      </c>
      <c r="Y897" s="223" t="s">
        <v>283</v>
      </c>
    </row>
    <row r="898" spans="1:25">
      <c r="A898" s="217">
        <v>17</v>
      </c>
      <c r="B898" s="218" t="str">
        <f>VLOOKUP(Tabel10[[#This Row],[Code]],Ruimtegroepen[[Code]:[Ruimte omschrijving]],2,FALSE)</f>
        <v>Toestelberging</v>
      </c>
      <c r="C898" s="219" t="s">
        <v>1033</v>
      </c>
      <c r="D898" s="218" t="s">
        <v>21</v>
      </c>
      <c r="E898" s="219" t="s">
        <v>100</v>
      </c>
      <c r="F898" s="219" t="s">
        <v>1034</v>
      </c>
      <c r="G898" s="224" t="s">
        <v>283</v>
      </c>
      <c r="H898" s="220" t="s">
        <v>283</v>
      </c>
      <c r="I898" s="220" t="s">
        <v>18</v>
      </c>
      <c r="J898" s="220" t="s">
        <v>15</v>
      </c>
      <c r="K898" s="220" t="s">
        <v>283</v>
      </c>
      <c r="L898" s="220" t="s">
        <v>283</v>
      </c>
      <c r="M898" s="220" t="s">
        <v>283</v>
      </c>
      <c r="N898" s="220" t="s">
        <v>283</v>
      </c>
      <c r="O898" s="221" t="s">
        <v>20</v>
      </c>
      <c r="P898" s="221" t="s">
        <v>20</v>
      </c>
      <c r="Q898" s="221" t="s">
        <v>15</v>
      </c>
      <c r="R898" s="221" t="s">
        <v>15</v>
      </c>
      <c r="S898" s="221" t="s">
        <v>16</v>
      </c>
      <c r="T898" s="221" t="s">
        <v>330</v>
      </c>
      <c r="U898" s="221" t="s">
        <v>250</v>
      </c>
      <c r="V898" s="221" t="s">
        <v>283</v>
      </c>
      <c r="W898" s="222" t="s">
        <v>283</v>
      </c>
      <c r="X898" s="222" t="s">
        <v>283</v>
      </c>
      <c r="Y898" s="223" t="s">
        <v>283</v>
      </c>
    </row>
    <row r="899" spans="1:25">
      <c r="A899" s="217">
        <v>17</v>
      </c>
      <c r="B899" s="218" t="str">
        <f>VLOOKUP(Tabel10[[#This Row],[Code]],Ruimtegroepen[[Code]:[Ruimte omschrijving]],2,FALSE)</f>
        <v>Toestelberging</v>
      </c>
      <c r="C899" s="219" t="s">
        <v>1033</v>
      </c>
      <c r="D899" s="218" t="s">
        <v>21</v>
      </c>
      <c r="E899" s="219" t="s">
        <v>99</v>
      </c>
      <c r="F899" s="219" t="s">
        <v>1035</v>
      </c>
      <c r="G899" s="220" t="s">
        <v>18</v>
      </c>
      <c r="H899" s="220" t="s">
        <v>15</v>
      </c>
      <c r="I899" s="220" t="s">
        <v>283</v>
      </c>
      <c r="J899" s="220" t="s">
        <v>283</v>
      </c>
      <c r="K899" s="220" t="s">
        <v>283</v>
      </c>
      <c r="L899" s="220" t="s">
        <v>283</v>
      </c>
      <c r="M899" s="220" t="s">
        <v>283</v>
      </c>
      <c r="N899" s="220" t="s">
        <v>283</v>
      </c>
      <c r="O899" s="221" t="s">
        <v>20</v>
      </c>
      <c r="P899" s="221" t="s">
        <v>20</v>
      </c>
      <c r="Q899" s="221" t="s">
        <v>15</v>
      </c>
      <c r="R899" s="221" t="s">
        <v>15</v>
      </c>
      <c r="S899" s="221" t="s">
        <v>16</v>
      </c>
      <c r="T899" s="221" t="s">
        <v>330</v>
      </c>
      <c r="U899" s="221" t="s">
        <v>250</v>
      </c>
      <c r="V899" s="221" t="s">
        <v>283</v>
      </c>
      <c r="W899" s="222" t="s">
        <v>283</v>
      </c>
      <c r="X899" s="222" t="s">
        <v>283</v>
      </c>
      <c r="Y899" s="223" t="s">
        <v>283</v>
      </c>
    </row>
    <row r="900" spans="1:25">
      <c r="A900" s="217">
        <v>17</v>
      </c>
      <c r="B900" s="218" t="str">
        <f>VLOOKUP(Tabel10[[#This Row],[Code]],Ruimtegroepen[[Code]:[Ruimte omschrijving]],2,FALSE)</f>
        <v>Toestelberging</v>
      </c>
      <c r="C900" s="219" t="s">
        <v>1033</v>
      </c>
      <c r="D900" s="218" t="s">
        <v>21</v>
      </c>
      <c r="E900" s="219" t="s">
        <v>101</v>
      </c>
      <c r="F900" s="219" t="s">
        <v>1036</v>
      </c>
      <c r="G900" s="224" t="s">
        <v>283</v>
      </c>
      <c r="H900" s="220" t="s">
        <v>283</v>
      </c>
      <c r="I900" s="220" t="s">
        <v>18</v>
      </c>
      <c r="J900" s="220" t="s">
        <v>15</v>
      </c>
      <c r="K900" s="220" t="s">
        <v>284</v>
      </c>
      <c r="L900" s="220" t="s">
        <v>283</v>
      </c>
      <c r="M900" s="220" t="s">
        <v>283</v>
      </c>
      <c r="N900" s="220" t="s">
        <v>283</v>
      </c>
      <c r="O900" s="221" t="s">
        <v>20</v>
      </c>
      <c r="P900" s="221" t="s">
        <v>20</v>
      </c>
      <c r="Q900" s="221" t="s">
        <v>15</v>
      </c>
      <c r="R900" s="221" t="s">
        <v>15</v>
      </c>
      <c r="S900" s="221" t="s">
        <v>16</v>
      </c>
      <c r="T900" s="221" t="s">
        <v>330</v>
      </c>
      <c r="U900" s="221" t="s">
        <v>250</v>
      </c>
      <c r="V900" s="221" t="s">
        <v>283</v>
      </c>
      <c r="W900" s="222" t="s">
        <v>283</v>
      </c>
      <c r="X900" s="222" t="s">
        <v>283</v>
      </c>
      <c r="Y900" s="223" t="s">
        <v>283</v>
      </c>
    </row>
    <row r="901" spans="1:25">
      <c r="A901" s="217">
        <v>17</v>
      </c>
      <c r="B901" s="218" t="str">
        <f>VLOOKUP(Tabel10[[#This Row],[Code]],Ruimtegroepen[[Code]:[Ruimte omschrijving]],2,FALSE)</f>
        <v>Toestelberging</v>
      </c>
      <c r="C901" s="219" t="s">
        <v>1033</v>
      </c>
      <c r="D901" s="218" t="s">
        <v>21</v>
      </c>
      <c r="E901" s="219" t="s">
        <v>102</v>
      </c>
      <c r="F901" s="219" t="s">
        <v>1037</v>
      </c>
      <c r="G901" s="224" t="s">
        <v>283</v>
      </c>
      <c r="H901" s="220" t="s">
        <v>283</v>
      </c>
      <c r="I901" s="220" t="s">
        <v>18</v>
      </c>
      <c r="J901" s="220" t="s">
        <v>15</v>
      </c>
      <c r="K901" s="220" t="s">
        <v>284</v>
      </c>
      <c r="L901" s="220" t="s">
        <v>283</v>
      </c>
      <c r="M901" s="220" t="s">
        <v>283</v>
      </c>
      <c r="N901" s="220" t="s">
        <v>283</v>
      </c>
      <c r="O901" s="221" t="s">
        <v>20</v>
      </c>
      <c r="P901" s="221" t="s">
        <v>20</v>
      </c>
      <c r="Q901" s="221" t="s">
        <v>15</v>
      </c>
      <c r="R901" s="221" t="s">
        <v>15</v>
      </c>
      <c r="S901" s="221" t="s">
        <v>16</v>
      </c>
      <c r="T901" s="221" t="s">
        <v>330</v>
      </c>
      <c r="U901" s="221" t="s">
        <v>250</v>
      </c>
      <c r="V901" s="221" t="s">
        <v>283</v>
      </c>
      <c r="W901" s="222" t="s">
        <v>283</v>
      </c>
      <c r="X901" s="222" t="s">
        <v>283</v>
      </c>
      <c r="Y901" s="223" t="s">
        <v>283</v>
      </c>
    </row>
    <row r="902" spans="1:25">
      <c r="A902" s="217">
        <v>17</v>
      </c>
      <c r="B902" s="218" t="str">
        <f>VLOOKUP(Tabel10[[#This Row],[Code]],Ruimtegroepen[[Code]:[Ruimte omschrijving]],2,FALSE)</f>
        <v>Toestelberging</v>
      </c>
      <c r="C902" s="219" t="s">
        <v>1033</v>
      </c>
      <c r="D902" s="218" t="s">
        <v>21</v>
      </c>
      <c r="E902" s="219" t="s">
        <v>99</v>
      </c>
      <c r="F902" s="219" t="s">
        <v>1035</v>
      </c>
      <c r="G902" s="224" t="s">
        <v>283</v>
      </c>
      <c r="H902" s="220" t="s">
        <v>20</v>
      </c>
      <c r="I902" s="220" t="s">
        <v>283</v>
      </c>
      <c r="J902" s="220" t="s">
        <v>283</v>
      </c>
      <c r="K902" s="220" t="s">
        <v>283</v>
      </c>
      <c r="L902" s="220" t="s">
        <v>283</v>
      </c>
      <c r="M902" s="220" t="s">
        <v>283</v>
      </c>
      <c r="N902" s="220" t="s">
        <v>283</v>
      </c>
      <c r="O902" s="221" t="s">
        <v>20</v>
      </c>
      <c r="P902" s="221" t="s">
        <v>20</v>
      </c>
      <c r="Q902" s="221" t="s">
        <v>15</v>
      </c>
      <c r="R902" s="221" t="s">
        <v>15</v>
      </c>
      <c r="S902" s="221" t="s">
        <v>16</v>
      </c>
      <c r="T902" s="221" t="s">
        <v>330</v>
      </c>
      <c r="U902" s="221" t="s">
        <v>250</v>
      </c>
      <c r="V902" s="221" t="s">
        <v>283</v>
      </c>
      <c r="W902" s="222" t="s">
        <v>283</v>
      </c>
      <c r="X902" s="222" t="s">
        <v>283</v>
      </c>
      <c r="Y902" s="223" t="s">
        <v>283</v>
      </c>
    </row>
    <row r="903" spans="1:25">
      <c r="A903" s="217">
        <v>17</v>
      </c>
      <c r="B903" s="218" t="str">
        <f>VLOOKUP(Tabel10[[#This Row],[Code]],Ruimtegroepen[[Code]:[Ruimte omschrijving]],2,FALSE)</f>
        <v>Toestelberging</v>
      </c>
      <c r="C903" s="219" t="s">
        <v>1033</v>
      </c>
      <c r="D903" s="218" t="s">
        <v>21</v>
      </c>
      <c r="E903" s="219" t="s">
        <v>1313</v>
      </c>
      <c r="F903" s="219" t="s">
        <v>1461</v>
      </c>
      <c r="G903" s="224" t="s">
        <v>283</v>
      </c>
      <c r="H903" s="220" t="s">
        <v>283</v>
      </c>
      <c r="I903" s="220" t="s">
        <v>18</v>
      </c>
      <c r="J903" s="220" t="s">
        <v>15</v>
      </c>
      <c r="K903" s="220" t="s">
        <v>284</v>
      </c>
      <c r="L903" s="220" t="s">
        <v>283</v>
      </c>
      <c r="M903" s="220" t="s">
        <v>283</v>
      </c>
      <c r="N903" s="220" t="s">
        <v>283</v>
      </c>
      <c r="O903" s="221" t="s">
        <v>20</v>
      </c>
      <c r="P903" s="221" t="s">
        <v>20</v>
      </c>
      <c r="Q903" s="221" t="s">
        <v>15</v>
      </c>
      <c r="R903" s="221" t="s">
        <v>15</v>
      </c>
      <c r="S903" s="221" t="s">
        <v>16</v>
      </c>
      <c r="T903" s="221" t="s">
        <v>330</v>
      </c>
      <c r="U903" s="221" t="s">
        <v>250</v>
      </c>
      <c r="V903" s="221" t="s">
        <v>283</v>
      </c>
      <c r="W903" s="222" t="s">
        <v>283</v>
      </c>
      <c r="X903" s="222" t="s">
        <v>283</v>
      </c>
      <c r="Y903" s="223" t="s">
        <v>283</v>
      </c>
    </row>
    <row r="904" spans="1:25">
      <c r="A904" s="217">
        <v>17</v>
      </c>
      <c r="B904" s="218" t="str">
        <f>VLOOKUP(Tabel10[[#This Row],[Code]],Ruimtegroepen[[Code]:[Ruimte omschrijving]],2,FALSE)</f>
        <v>Toestelberging</v>
      </c>
      <c r="C904" s="219" t="s">
        <v>1038</v>
      </c>
      <c r="D904" s="218" t="s">
        <v>12</v>
      </c>
      <c r="E904" s="219" t="s">
        <v>100</v>
      </c>
      <c r="F904" s="219" t="s">
        <v>1039</v>
      </c>
      <c r="G904" s="224" t="s">
        <v>283</v>
      </c>
      <c r="H904" s="220" t="s">
        <v>283</v>
      </c>
      <c r="I904" s="220" t="s">
        <v>17</v>
      </c>
      <c r="J904" s="220" t="s">
        <v>15</v>
      </c>
      <c r="K904" s="220" t="s">
        <v>283</v>
      </c>
      <c r="L904" s="220" t="s">
        <v>283</v>
      </c>
      <c r="M904" s="220" t="s">
        <v>283</v>
      </c>
      <c r="N904" s="220" t="s">
        <v>283</v>
      </c>
      <c r="O904" s="221" t="s">
        <v>18</v>
      </c>
      <c r="P904" s="221" t="s">
        <v>18</v>
      </c>
      <c r="Q904" s="221" t="s">
        <v>15</v>
      </c>
      <c r="R904" s="221" t="s">
        <v>15</v>
      </c>
      <c r="S904" s="221" t="s">
        <v>16</v>
      </c>
      <c r="T904" s="221" t="s">
        <v>330</v>
      </c>
      <c r="U904" s="221" t="s">
        <v>250</v>
      </c>
      <c r="V904" s="221" t="s">
        <v>283</v>
      </c>
      <c r="W904" s="222" t="s">
        <v>283</v>
      </c>
      <c r="X904" s="222" t="s">
        <v>283</v>
      </c>
      <c r="Y904" s="223" t="s">
        <v>283</v>
      </c>
    </row>
    <row r="905" spans="1:25">
      <c r="A905" s="217">
        <v>17</v>
      </c>
      <c r="B905" s="218" t="str">
        <f>VLOOKUP(Tabel10[[#This Row],[Code]],Ruimtegroepen[[Code]:[Ruimte omschrijving]],2,FALSE)</f>
        <v>Toestelberging</v>
      </c>
      <c r="C905" s="219" t="s">
        <v>1038</v>
      </c>
      <c r="D905" s="218" t="s">
        <v>12</v>
      </c>
      <c r="E905" s="219" t="s">
        <v>99</v>
      </c>
      <c r="F905" s="219" t="s">
        <v>1040</v>
      </c>
      <c r="G905" s="220" t="s">
        <v>17</v>
      </c>
      <c r="H905" s="220" t="s">
        <v>15</v>
      </c>
      <c r="I905" s="220" t="s">
        <v>283</v>
      </c>
      <c r="J905" s="220" t="s">
        <v>283</v>
      </c>
      <c r="K905" s="220" t="s">
        <v>283</v>
      </c>
      <c r="L905" s="220" t="s">
        <v>283</v>
      </c>
      <c r="M905" s="220" t="s">
        <v>283</v>
      </c>
      <c r="N905" s="220" t="s">
        <v>283</v>
      </c>
      <c r="O905" s="221" t="s">
        <v>18</v>
      </c>
      <c r="P905" s="221" t="s">
        <v>18</v>
      </c>
      <c r="Q905" s="221" t="s">
        <v>15</v>
      </c>
      <c r="R905" s="221" t="s">
        <v>15</v>
      </c>
      <c r="S905" s="221" t="s">
        <v>16</v>
      </c>
      <c r="T905" s="221" t="s">
        <v>330</v>
      </c>
      <c r="U905" s="221" t="s">
        <v>250</v>
      </c>
      <c r="V905" s="221" t="s">
        <v>283</v>
      </c>
      <c r="W905" s="222" t="s">
        <v>283</v>
      </c>
      <c r="X905" s="222" t="s">
        <v>283</v>
      </c>
      <c r="Y905" s="223" t="s">
        <v>283</v>
      </c>
    </row>
    <row r="906" spans="1:25">
      <c r="A906" s="217">
        <v>17</v>
      </c>
      <c r="B906" s="218" t="str">
        <f>VLOOKUP(Tabel10[[#This Row],[Code]],Ruimtegroepen[[Code]:[Ruimte omschrijving]],2,FALSE)</f>
        <v>Toestelberging</v>
      </c>
      <c r="C906" s="219" t="s">
        <v>1038</v>
      </c>
      <c r="D906" s="218" t="s">
        <v>12</v>
      </c>
      <c r="E906" s="219" t="s">
        <v>101</v>
      </c>
      <c r="F906" s="219" t="s">
        <v>1041</v>
      </c>
      <c r="G906" s="224" t="s">
        <v>283</v>
      </c>
      <c r="H906" s="220" t="s">
        <v>283</v>
      </c>
      <c r="I906" s="220" t="s">
        <v>17</v>
      </c>
      <c r="J906" s="220" t="s">
        <v>15</v>
      </c>
      <c r="K906" s="220" t="s">
        <v>284</v>
      </c>
      <c r="L906" s="220" t="s">
        <v>283</v>
      </c>
      <c r="M906" s="220" t="s">
        <v>283</v>
      </c>
      <c r="N906" s="220" t="s">
        <v>283</v>
      </c>
      <c r="O906" s="221" t="s">
        <v>18</v>
      </c>
      <c r="P906" s="221" t="s">
        <v>18</v>
      </c>
      <c r="Q906" s="221" t="s">
        <v>15</v>
      </c>
      <c r="R906" s="221" t="s">
        <v>15</v>
      </c>
      <c r="S906" s="221" t="s">
        <v>16</v>
      </c>
      <c r="T906" s="221" t="s">
        <v>330</v>
      </c>
      <c r="U906" s="221" t="s">
        <v>250</v>
      </c>
      <c r="V906" s="221" t="s">
        <v>283</v>
      </c>
      <c r="W906" s="222" t="s">
        <v>283</v>
      </c>
      <c r="X906" s="222" t="s">
        <v>283</v>
      </c>
      <c r="Y906" s="223" t="s">
        <v>283</v>
      </c>
    </row>
    <row r="907" spans="1:25">
      <c r="A907" s="217">
        <v>17</v>
      </c>
      <c r="B907" s="218" t="str">
        <f>VLOOKUP(Tabel10[[#This Row],[Code]],Ruimtegroepen[[Code]:[Ruimte omschrijving]],2,FALSE)</f>
        <v>Toestelberging</v>
      </c>
      <c r="C907" s="219" t="s">
        <v>1038</v>
      </c>
      <c r="D907" s="218" t="s">
        <v>12</v>
      </c>
      <c r="E907" s="219" t="s">
        <v>102</v>
      </c>
      <c r="F907" s="219" t="s">
        <v>1042</v>
      </c>
      <c r="G907" s="224" t="s">
        <v>283</v>
      </c>
      <c r="H907" s="220" t="s">
        <v>283</v>
      </c>
      <c r="I907" s="220" t="s">
        <v>17</v>
      </c>
      <c r="J907" s="220" t="s">
        <v>15</v>
      </c>
      <c r="K907" s="220" t="s">
        <v>284</v>
      </c>
      <c r="L907" s="220" t="s">
        <v>283</v>
      </c>
      <c r="M907" s="220" t="s">
        <v>283</v>
      </c>
      <c r="N907" s="220" t="s">
        <v>283</v>
      </c>
      <c r="O907" s="221" t="s">
        <v>18</v>
      </c>
      <c r="P907" s="221" t="s">
        <v>18</v>
      </c>
      <c r="Q907" s="221" t="s">
        <v>15</v>
      </c>
      <c r="R907" s="221" t="s">
        <v>15</v>
      </c>
      <c r="S907" s="221" t="s">
        <v>16</v>
      </c>
      <c r="T907" s="221" t="s">
        <v>330</v>
      </c>
      <c r="U907" s="221" t="s">
        <v>250</v>
      </c>
      <c r="V907" s="221" t="s">
        <v>283</v>
      </c>
      <c r="W907" s="222" t="s">
        <v>283</v>
      </c>
      <c r="X907" s="222" t="s">
        <v>283</v>
      </c>
      <c r="Y907" s="223" t="s">
        <v>283</v>
      </c>
    </row>
    <row r="908" spans="1:25">
      <c r="A908" s="217">
        <v>17</v>
      </c>
      <c r="B908" s="218" t="str">
        <f>VLOOKUP(Tabel10[[#This Row],[Code]],Ruimtegroepen[[Code]:[Ruimte omschrijving]],2,FALSE)</f>
        <v>Toestelberging</v>
      </c>
      <c r="C908" s="219" t="s">
        <v>1038</v>
      </c>
      <c r="D908" s="218" t="s">
        <v>12</v>
      </c>
      <c r="E908" s="219" t="s">
        <v>99</v>
      </c>
      <c r="F908" s="219" t="s">
        <v>1040</v>
      </c>
      <c r="G908" s="224" t="s">
        <v>283</v>
      </c>
      <c r="H908" s="220" t="s">
        <v>18</v>
      </c>
      <c r="I908" s="220" t="s">
        <v>283</v>
      </c>
      <c r="J908" s="220" t="s">
        <v>283</v>
      </c>
      <c r="K908" s="220" t="s">
        <v>283</v>
      </c>
      <c r="L908" s="220" t="s">
        <v>283</v>
      </c>
      <c r="M908" s="220" t="s">
        <v>283</v>
      </c>
      <c r="N908" s="220" t="s">
        <v>283</v>
      </c>
      <c r="O908" s="221" t="s">
        <v>18</v>
      </c>
      <c r="P908" s="221" t="s">
        <v>18</v>
      </c>
      <c r="Q908" s="221" t="s">
        <v>15</v>
      </c>
      <c r="R908" s="221" t="s">
        <v>15</v>
      </c>
      <c r="S908" s="221" t="s">
        <v>16</v>
      </c>
      <c r="T908" s="221" t="s">
        <v>330</v>
      </c>
      <c r="U908" s="221" t="s">
        <v>250</v>
      </c>
      <c r="V908" s="221" t="s">
        <v>283</v>
      </c>
      <c r="W908" s="222" t="s">
        <v>283</v>
      </c>
      <c r="X908" s="222" t="s">
        <v>283</v>
      </c>
      <c r="Y908" s="223" t="s">
        <v>283</v>
      </c>
    </row>
    <row r="909" spans="1:25">
      <c r="A909" s="217">
        <v>17</v>
      </c>
      <c r="B909" s="218" t="str">
        <f>VLOOKUP(Tabel10[[#This Row],[Code]],Ruimtegroepen[[Code]:[Ruimte omschrijving]],2,FALSE)</f>
        <v>Toestelberging</v>
      </c>
      <c r="C909" s="219" t="s">
        <v>1038</v>
      </c>
      <c r="D909" s="218" t="s">
        <v>12</v>
      </c>
      <c r="E909" s="219" t="s">
        <v>1313</v>
      </c>
      <c r="F909" s="219" t="s">
        <v>1443</v>
      </c>
      <c r="G909" s="224" t="s">
        <v>283</v>
      </c>
      <c r="H909" s="220" t="s">
        <v>283</v>
      </c>
      <c r="I909" s="220" t="s">
        <v>17</v>
      </c>
      <c r="J909" s="220" t="s">
        <v>15</v>
      </c>
      <c r="K909" s="220" t="s">
        <v>284</v>
      </c>
      <c r="L909" s="220" t="s">
        <v>283</v>
      </c>
      <c r="M909" s="220" t="s">
        <v>283</v>
      </c>
      <c r="N909" s="220" t="s">
        <v>283</v>
      </c>
      <c r="O909" s="221" t="s">
        <v>18</v>
      </c>
      <c r="P909" s="221" t="s">
        <v>18</v>
      </c>
      <c r="Q909" s="221" t="s">
        <v>15</v>
      </c>
      <c r="R909" s="221" t="s">
        <v>15</v>
      </c>
      <c r="S909" s="221" t="s">
        <v>16</v>
      </c>
      <c r="T909" s="221" t="s">
        <v>330</v>
      </c>
      <c r="U909" s="221" t="s">
        <v>250</v>
      </c>
      <c r="V909" s="221" t="s">
        <v>283</v>
      </c>
      <c r="W909" s="222" t="s">
        <v>283</v>
      </c>
      <c r="X909" s="222" t="s">
        <v>283</v>
      </c>
      <c r="Y909" s="223" t="s">
        <v>283</v>
      </c>
    </row>
    <row r="910" spans="1:25">
      <c r="A910" s="217">
        <v>17</v>
      </c>
      <c r="B910" s="218" t="str">
        <f>VLOOKUP(Tabel10[[#This Row],[Code]],Ruimtegroepen[[Code]:[Ruimte omschrijving]],2,FALSE)</f>
        <v>Toestelberging</v>
      </c>
      <c r="C910" s="219" t="s">
        <v>1043</v>
      </c>
      <c r="D910" s="218" t="s">
        <v>14</v>
      </c>
      <c r="E910" s="219" t="s">
        <v>100</v>
      </c>
      <c r="F910" s="219" t="s">
        <v>1044</v>
      </c>
      <c r="G910" s="224" t="s">
        <v>283</v>
      </c>
      <c r="H910" s="220" t="s">
        <v>283</v>
      </c>
      <c r="I910" s="220" t="s">
        <v>15</v>
      </c>
      <c r="J910" s="220" t="s">
        <v>15</v>
      </c>
      <c r="K910" s="220" t="s">
        <v>283</v>
      </c>
      <c r="L910" s="220" t="s">
        <v>283</v>
      </c>
      <c r="M910" s="220" t="s">
        <v>283</v>
      </c>
      <c r="N910" s="220" t="s">
        <v>283</v>
      </c>
      <c r="O910" s="221" t="s">
        <v>17</v>
      </c>
      <c r="P910" s="221" t="s">
        <v>17</v>
      </c>
      <c r="Q910" s="221" t="s">
        <v>15</v>
      </c>
      <c r="R910" s="221" t="s">
        <v>15</v>
      </c>
      <c r="S910" s="221" t="s">
        <v>16</v>
      </c>
      <c r="T910" s="221" t="s">
        <v>330</v>
      </c>
      <c r="U910" s="221" t="s">
        <v>250</v>
      </c>
      <c r="V910" s="221" t="s">
        <v>283</v>
      </c>
      <c r="W910" s="222" t="s">
        <v>283</v>
      </c>
      <c r="X910" s="222" t="s">
        <v>283</v>
      </c>
      <c r="Y910" s="223" t="s">
        <v>283</v>
      </c>
    </row>
    <row r="911" spans="1:25">
      <c r="A911" s="217">
        <v>17</v>
      </c>
      <c r="B911" s="218" t="str">
        <f>VLOOKUP(Tabel10[[#This Row],[Code]],Ruimtegroepen[[Code]:[Ruimte omschrijving]],2,FALSE)</f>
        <v>Toestelberging</v>
      </c>
      <c r="C911" s="219" t="s">
        <v>1043</v>
      </c>
      <c r="D911" s="218" t="s">
        <v>14</v>
      </c>
      <c r="E911" s="219" t="s">
        <v>99</v>
      </c>
      <c r="F911" s="219" t="s">
        <v>1045</v>
      </c>
      <c r="G911" s="220" t="s">
        <v>15</v>
      </c>
      <c r="H911" s="220" t="s">
        <v>15</v>
      </c>
      <c r="I911" s="220" t="s">
        <v>283</v>
      </c>
      <c r="J911" s="220" t="s">
        <v>283</v>
      </c>
      <c r="K911" s="220" t="s">
        <v>283</v>
      </c>
      <c r="L911" s="220" t="s">
        <v>283</v>
      </c>
      <c r="M911" s="220" t="s">
        <v>283</v>
      </c>
      <c r="N911" s="220" t="s">
        <v>283</v>
      </c>
      <c r="O911" s="221" t="s">
        <v>17</v>
      </c>
      <c r="P911" s="221" t="s">
        <v>17</v>
      </c>
      <c r="Q911" s="221" t="s">
        <v>15</v>
      </c>
      <c r="R911" s="221" t="s">
        <v>15</v>
      </c>
      <c r="S911" s="221" t="s">
        <v>16</v>
      </c>
      <c r="T911" s="221" t="s">
        <v>330</v>
      </c>
      <c r="U911" s="221" t="s">
        <v>250</v>
      </c>
      <c r="V911" s="221" t="s">
        <v>283</v>
      </c>
      <c r="W911" s="222" t="s">
        <v>283</v>
      </c>
      <c r="X911" s="222" t="s">
        <v>283</v>
      </c>
      <c r="Y911" s="223" t="s">
        <v>283</v>
      </c>
    </row>
    <row r="912" spans="1:25">
      <c r="A912" s="217">
        <v>17</v>
      </c>
      <c r="B912" s="218" t="str">
        <f>VLOOKUP(Tabel10[[#This Row],[Code]],Ruimtegroepen[[Code]:[Ruimte omschrijving]],2,FALSE)</f>
        <v>Toestelberging</v>
      </c>
      <c r="C912" s="219" t="s">
        <v>1043</v>
      </c>
      <c r="D912" s="218" t="s">
        <v>14</v>
      </c>
      <c r="E912" s="219" t="s">
        <v>101</v>
      </c>
      <c r="F912" s="219" t="s">
        <v>1046</v>
      </c>
      <c r="G912" s="224" t="s">
        <v>283</v>
      </c>
      <c r="H912" s="220" t="s">
        <v>283</v>
      </c>
      <c r="I912" s="220" t="s">
        <v>15</v>
      </c>
      <c r="J912" s="220" t="s">
        <v>15</v>
      </c>
      <c r="K912" s="220" t="s">
        <v>284</v>
      </c>
      <c r="L912" s="220" t="s">
        <v>283</v>
      </c>
      <c r="M912" s="220" t="s">
        <v>283</v>
      </c>
      <c r="N912" s="220" t="s">
        <v>283</v>
      </c>
      <c r="O912" s="221" t="s">
        <v>17</v>
      </c>
      <c r="P912" s="221" t="s">
        <v>17</v>
      </c>
      <c r="Q912" s="221" t="s">
        <v>15</v>
      </c>
      <c r="R912" s="221" t="s">
        <v>15</v>
      </c>
      <c r="S912" s="221" t="s">
        <v>16</v>
      </c>
      <c r="T912" s="221" t="s">
        <v>330</v>
      </c>
      <c r="U912" s="221" t="s">
        <v>250</v>
      </c>
      <c r="V912" s="221" t="s">
        <v>283</v>
      </c>
      <c r="W912" s="222" t="s">
        <v>283</v>
      </c>
      <c r="X912" s="222" t="s">
        <v>283</v>
      </c>
      <c r="Y912" s="223" t="s">
        <v>283</v>
      </c>
    </row>
    <row r="913" spans="1:25">
      <c r="A913" s="217">
        <v>17</v>
      </c>
      <c r="B913" s="218" t="str">
        <f>VLOOKUP(Tabel10[[#This Row],[Code]],Ruimtegroepen[[Code]:[Ruimte omschrijving]],2,FALSE)</f>
        <v>Toestelberging</v>
      </c>
      <c r="C913" s="219" t="s">
        <v>1043</v>
      </c>
      <c r="D913" s="218" t="s">
        <v>14</v>
      </c>
      <c r="E913" s="219" t="s">
        <v>102</v>
      </c>
      <c r="F913" s="219" t="s">
        <v>1047</v>
      </c>
      <c r="G913" s="224" t="s">
        <v>283</v>
      </c>
      <c r="H913" s="220" t="s">
        <v>283</v>
      </c>
      <c r="I913" s="220" t="s">
        <v>15</v>
      </c>
      <c r="J913" s="220" t="s">
        <v>15</v>
      </c>
      <c r="K913" s="220" t="s">
        <v>284</v>
      </c>
      <c r="L913" s="220" t="s">
        <v>283</v>
      </c>
      <c r="M913" s="220" t="s">
        <v>283</v>
      </c>
      <c r="N913" s="220" t="s">
        <v>283</v>
      </c>
      <c r="O913" s="221" t="s">
        <v>17</v>
      </c>
      <c r="P913" s="221" t="s">
        <v>17</v>
      </c>
      <c r="Q913" s="221" t="s">
        <v>15</v>
      </c>
      <c r="R913" s="221" t="s">
        <v>15</v>
      </c>
      <c r="S913" s="221" t="s">
        <v>16</v>
      </c>
      <c r="T913" s="221" t="s">
        <v>330</v>
      </c>
      <c r="U913" s="221" t="s">
        <v>250</v>
      </c>
      <c r="V913" s="221" t="s">
        <v>283</v>
      </c>
      <c r="W913" s="222" t="s">
        <v>283</v>
      </c>
      <c r="X913" s="222" t="s">
        <v>283</v>
      </c>
      <c r="Y913" s="223" t="s">
        <v>283</v>
      </c>
    </row>
    <row r="914" spans="1:25">
      <c r="A914" s="217">
        <v>17</v>
      </c>
      <c r="B914" s="218" t="str">
        <f>VLOOKUP(Tabel10[[#This Row],[Code]],Ruimtegroepen[[Code]:[Ruimte omschrijving]],2,FALSE)</f>
        <v>Toestelberging</v>
      </c>
      <c r="C914" s="219" t="s">
        <v>1043</v>
      </c>
      <c r="D914" s="218" t="s">
        <v>14</v>
      </c>
      <c r="E914" s="219" t="s">
        <v>99</v>
      </c>
      <c r="F914" s="219" t="s">
        <v>1045</v>
      </c>
      <c r="G914" s="224" t="s">
        <v>283</v>
      </c>
      <c r="H914" s="220" t="s">
        <v>17</v>
      </c>
      <c r="I914" s="220" t="s">
        <v>283</v>
      </c>
      <c r="J914" s="220" t="s">
        <v>283</v>
      </c>
      <c r="K914" s="220" t="s">
        <v>283</v>
      </c>
      <c r="L914" s="220" t="s">
        <v>283</v>
      </c>
      <c r="M914" s="220" t="s">
        <v>283</v>
      </c>
      <c r="N914" s="220" t="s">
        <v>283</v>
      </c>
      <c r="O914" s="221" t="s">
        <v>17</v>
      </c>
      <c r="P914" s="221" t="s">
        <v>17</v>
      </c>
      <c r="Q914" s="221" t="s">
        <v>15</v>
      </c>
      <c r="R914" s="221" t="s">
        <v>15</v>
      </c>
      <c r="S914" s="221" t="s">
        <v>16</v>
      </c>
      <c r="T914" s="221" t="s">
        <v>330</v>
      </c>
      <c r="U914" s="221" t="s">
        <v>250</v>
      </c>
      <c r="V914" s="221" t="s">
        <v>283</v>
      </c>
      <c r="W914" s="222" t="s">
        <v>283</v>
      </c>
      <c r="X914" s="222" t="s">
        <v>283</v>
      </c>
      <c r="Y914" s="223" t="s">
        <v>283</v>
      </c>
    </row>
    <row r="915" spans="1:25">
      <c r="A915" s="217">
        <v>17</v>
      </c>
      <c r="B915" s="218" t="str">
        <f>VLOOKUP(Tabel10[[#This Row],[Code]],Ruimtegroepen[[Code]:[Ruimte omschrijving]],2,FALSE)</f>
        <v>Toestelberging</v>
      </c>
      <c r="C915" s="219" t="s">
        <v>1043</v>
      </c>
      <c r="D915" s="218" t="s">
        <v>14</v>
      </c>
      <c r="E915" s="219" t="s">
        <v>1313</v>
      </c>
      <c r="F915" s="219" t="s">
        <v>1410</v>
      </c>
      <c r="G915" s="224" t="s">
        <v>283</v>
      </c>
      <c r="H915" s="220" t="s">
        <v>283</v>
      </c>
      <c r="I915" s="220" t="s">
        <v>15</v>
      </c>
      <c r="J915" s="220" t="s">
        <v>15</v>
      </c>
      <c r="K915" s="220" t="s">
        <v>284</v>
      </c>
      <c r="L915" s="220" t="s">
        <v>283</v>
      </c>
      <c r="M915" s="220" t="s">
        <v>283</v>
      </c>
      <c r="N915" s="220" t="s">
        <v>283</v>
      </c>
      <c r="O915" s="221" t="s">
        <v>17</v>
      </c>
      <c r="P915" s="221" t="s">
        <v>17</v>
      </c>
      <c r="Q915" s="221" t="s">
        <v>15</v>
      </c>
      <c r="R915" s="221" t="s">
        <v>15</v>
      </c>
      <c r="S915" s="221" t="s">
        <v>16</v>
      </c>
      <c r="T915" s="221" t="s">
        <v>330</v>
      </c>
      <c r="U915" s="221" t="s">
        <v>250</v>
      </c>
      <c r="V915" s="221" t="s">
        <v>283</v>
      </c>
      <c r="W915" s="222" t="s">
        <v>283</v>
      </c>
      <c r="X915" s="222" t="s">
        <v>283</v>
      </c>
      <c r="Y915" s="223" t="s">
        <v>283</v>
      </c>
    </row>
    <row r="916" spans="1:25">
      <c r="A916" s="217">
        <v>17</v>
      </c>
      <c r="B916" s="218" t="str">
        <f>VLOOKUP(Tabel10[[#This Row],[Code]],Ruimtegroepen[[Code]:[Ruimte omschrijving]],2,FALSE)</f>
        <v>Toestelberging</v>
      </c>
      <c r="C916" s="219" t="s">
        <v>1048</v>
      </c>
      <c r="D916" s="218" t="s">
        <v>13</v>
      </c>
      <c r="E916" s="219" t="s">
        <v>100</v>
      </c>
      <c r="F916" s="219" t="s">
        <v>1049</v>
      </c>
      <c r="G916" s="224" t="s">
        <v>283</v>
      </c>
      <c r="H916" s="220" t="s">
        <v>283</v>
      </c>
      <c r="I916" s="220" t="s">
        <v>283</v>
      </c>
      <c r="J916" s="220" t="s">
        <v>15</v>
      </c>
      <c r="K916" s="220" t="s">
        <v>283</v>
      </c>
      <c r="L916" s="220" t="s">
        <v>283</v>
      </c>
      <c r="M916" s="220" t="s">
        <v>283</v>
      </c>
      <c r="N916" s="220" t="s">
        <v>283</v>
      </c>
      <c r="O916" s="221" t="s">
        <v>15</v>
      </c>
      <c r="P916" s="221" t="s">
        <v>15</v>
      </c>
      <c r="Q916" s="221" t="s">
        <v>15</v>
      </c>
      <c r="R916" s="221" t="s">
        <v>15</v>
      </c>
      <c r="S916" s="221" t="s">
        <v>16</v>
      </c>
      <c r="T916" s="221" t="s">
        <v>330</v>
      </c>
      <c r="U916" s="221" t="s">
        <v>250</v>
      </c>
      <c r="V916" s="221" t="s">
        <v>283</v>
      </c>
      <c r="W916" s="222" t="s">
        <v>283</v>
      </c>
      <c r="X916" s="222" t="s">
        <v>283</v>
      </c>
      <c r="Y916" s="223" t="s">
        <v>283</v>
      </c>
    </row>
    <row r="917" spans="1:25">
      <c r="A917" s="217">
        <v>17</v>
      </c>
      <c r="B917" s="218" t="str">
        <f>VLOOKUP(Tabel10[[#This Row],[Code]],Ruimtegroepen[[Code]:[Ruimte omschrijving]],2,FALSE)</f>
        <v>Toestelberging</v>
      </c>
      <c r="C917" s="219" t="s">
        <v>1048</v>
      </c>
      <c r="D917" s="218" t="s">
        <v>13</v>
      </c>
      <c r="E917" s="219" t="s">
        <v>99</v>
      </c>
      <c r="F917" s="219" t="s">
        <v>1050</v>
      </c>
      <c r="G917" s="224" t="s">
        <v>283</v>
      </c>
      <c r="H917" s="220" t="s">
        <v>15</v>
      </c>
      <c r="I917" s="220" t="s">
        <v>283</v>
      </c>
      <c r="J917" s="220" t="s">
        <v>283</v>
      </c>
      <c r="K917" s="220" t="s">
        <v>283</v>
      </c>
      <c r="L917" s="220" t="s">
        <v>283</v>
      </c>
      <c r="M917" s="220" t="s">
        <v>283</v>
      </c>
      <c r="N917" s="220" t="s">
        <v>283</v>
      </c>
      <c r="O917" s="221" t="s">
        <v>15</v>
      </c>
      <c r="P917" s="221" t="s">
        <v>15</v>
      </c>
      <c r="Q917" s="221" t="s">
        <v>15</v>
      </c>
      <c r="R917" s="221" t="s">
        <v>15</v>
      </c>
      <c r="S917" s="221" t="s">
        <v>16</v>
      </c>
      <c r="T917" s="221" t="s">
        <v>330</v>
      </c>
      <c r="U917" s="221" t="s">
        <v>250</v>
      </c>
      <c r="V917" s="221" t="s">
        <v>283</v>
      </c>
      <c r="W917" s="222" t="s">
        <v>283</v>
      </c>
      <c r="X917" s="222" t="s">
        <v>283</v>
      </c>
      <c r="Y917" s="223" t="s">
        <v>283</v>
      </c>
    </row>
    <row r="918" spans="1:25">
      <c r="A918" s="217">
        <v>17</v>
      </c>
      <c r="B918" s="218" t="str">
        <f>VLOOKUP(Tabel10[[#This Row],[Code]],Ruimtegroepen[[Code]:[Ruimte omschrijving]],2,FALSE)</f>
        <v>Toestelberging</v>
      </c>
      <c r="C918" s="219" t="s">
        <v>1048</v>
      </c>
      <c r="D918" s="218" t="s">
        <v>13</v>
      </c>
      <c r="E918" s="219" t="s">
        <v>101</v>
      </c>
      <c r="F918" s="219" t="s">
        <v>1051</v>
      </c>
      <c r="G918" s="224" t="s">
        <v>283</v>
      </c>
      <c r="H918" s="220" t="s">
        <v>283</v>
      </c>
      <c r="I918" s="220" t="s">
        <v>283</v>
      </c>
      <c r="J918" s="220" t="s">
        <v>15</v>
      </c>
      <c r="K918" s="220" t="s">
        <v>284</v>
      </c>
      <c r="L918" s="220" t="s">
        <v>283</v>
      </c>
      <c r="M918" s="220" t="s">
        <v>283</v>
      </c>
      <c r="N918" s="220" t="s">
        <v>283</v>
      </c>
      <c r="O918" s="221" t="s">
        <v>15</v>
      </c>
      <c r="P918" s="221" t="s">
        <v>15</v>
      </c>
      <c r="Q918" s="221" t="s">
        <v>15</v>
      </c>
      <c r="R918" s="221" t="s">
        <v>15</v>
      </c>
      <c r="S918" s="221" t="s">
        <v>16</v>
      </c>
      <c r="T918" s="221" t="s">
        <v>330</v>
      </c>
      <c r="U918" s="221" t="s">
        <v>250</v>
      </c>
      <c r="V918" s="221" t="s">
        <v>283</v>
      </c>
      <c r="W918" s="222" t="s">
        <v>283</v>
      </c>
      <c r="X918" s="222" t="s">
        <v>283</v>
      </c>
      <c r="Y918" s="223" t="s">
        <v>283</v>
      </c>
    </row>
    <row r="919" spans="1:25">
      <c r="A919" s="217">
        <v>17</v>
      </c>
      <c r="B919" s="218" t="str">
        <f>VLOOKUP(Tabel10[[#This Row],[Code]],Ruimtegroepen[[Code]:[Ruimte omschrijving]],2,FALSE)</f>
        <v>Toestelberging</v>
      </c>
      <c r="C919" s="219" t="s">
        <v>1048</v>
      </c>
      <c r="D919" s="218" t="s">
        <v>13</v>
      </c>
      <c r="E919" s="219" t="s">
        <v>102</v>
      </c>
      <c r="F919" s="219" t="s">
        <v>1052</v>
      </c>
      <c r="G919" s="224" t="s">
        <v>283</v>
      </c>
      <c r="H919" s="220" t="s">
        <v>283</v>
      </c>
      <c r="I919" s="220" t="s">
        <v>283</v>
      </c>
      <c r="J919" s="220" t="s">
        <v>15</v>
      </c>
      <c r="K919" s="220" t="s">
        <v>284</v>
      </c>
      <c r="L919" s="220" t="s">
        <v>283</v>
      </c>
      <c r="M919" s="220" t="s">
        <v>283</v>
      </c>
      <c r="N919" s="220" t="s">
        <v>283</v>
      </c>
      <c r="O919" s="221" t="s">
        <v>15</v>
      </c>
      <c r="P919" s="221" t="s">
        <v>15</v>
      </c>
      <c r="Q919" s="221" t="s">
        <v>15</v>
      </c>
      <c r="R919" s="221" t="s">
        <v>15</v>
      </c>
      <c r="S919" s="221" t="s">
        <v>16</v>
      </c>
      <c r="T919" s="221" t="s">
        <v>330</v>
      </c>
      <c r="U919" s="221" t="s">
        <v>250</v>
      </c>
      <c r="V919" s="221" t="s">
        <v>283</v>
      </c>
      <c r="W919" s="222" t="s">
        <v>283</v>
      </c>
      <c r="X919" s="222" t="s">
        <v>283</v>
      </c>
      <c r="Y919" s="223" t="s">
        <v>283</v>
      </c>
    </row>
    <row r="920" spans="1:25">
      <c r="A920" s="217">
        <v>17</v>
      </c>
      <c r="B920" s="218" t="str">
        <f>VLOOKUP(Tabel10[[#This Row],[Code]],Ruimtegroepen[[Code]:[Ruimte omschrijving]],2,FALSE)</f>
        <v>Toestelberging</v>
      </c>
      <c r="C920" s="219" t="s">
        <v>1048</v>
      </c>
      <c r="D920" s="218" t="s">
        <v>13</v>
      </c>
      <c r="E920" s="219" t="s">
        <v>99</v>
      </c>
      <c r="F920" s="219" t="s">
        <v>1050</v>
      </c>
      <c r="G920" s="224" t="s">
        <v>283</v>
      </c>
      <c r="H920" s="220" t="s">
        <v>15</v>
      </c>
      <c r="I920" s="220" t="s">
        <v>283</v>
      </c>
      <c r="J920" s="220" t="s">
        <v>283</v>
      </c>
      <c r="K920" s="220" t="s">
        <v>283</v>
      </c>
      <c r="L920" s="220" t="s">
        <v>283</v>
      </c>
      <c r="M920" s="220" t="s">
        <v>283</v>
      </c>
      <c r="N920" s="220" t="s">
        <v>283</v>
      </c>
      <c r="O920" s="221" t="s">
        <v>15</v>
      </c>
      <c r="P920" s="221" t="s">
        <v>15</v>
      </c>
      <c r="Q920" s="221" t="s">
        <v>15</v>
      </c>
      <c r="R920" s="221" t="s">
        <v>15</v>
      </c>
      <c r="S920" s="221" t="s">
        <v>16</v>
      </c>
      <c r="T920" s="221" t="s">
        <v>330</v>
      </c>
      <c r="U920" s="221" t="s">
        <v>250</v>
      </c>
      <c r="V920" s="221" t="s">
        <v>283</v>
      </c>
      <c r="W920" s="222" t="s">
        <v>283</v>
      </c>
      <c r="X920" s="222" t="s">
        <v>283</v>
      </c>
      <c r="Y920" s="223" t="s">
        <v>283</v>
      </c>
    </row>
    <row r="921" spans="1:25">
      <c r="A921" s="217">
        <v>17</v>
      </c>
      <c r="B921" s="218" t="str">
        <f>VLOOKUP(Tabel10[[#This Row],[Code]],Ruimtegroepen[[Code]:[Ruimte omschrijving]],2,FALSE)</f>
        <v>Toestelberging</v>
      </c>
      <c r="C921" s="219" t="s">
        <v>1048</v>
      </c>
      <c r="D921" s="218" t="s">
        <v>13</v>
      </c>
      <c r="E921" s="219" t="s">
        <v>1313</v>
      </c>
      <c r="F921" s="219" t="s">
        <v>1377</v>
      </c>
      <c r="G921" s="224" t="s">
        <v>283</v>
      </c>
      <c r="H921" s="220" t="s">
        <v>283</v>
      </c>
      <c r="I921" s="220" t="s">
        <v>283</v>
      </c>
      <c r="J921" s="220" t="s">
        <v>15</v>
      </c>
      <c r="K921" s="220" t="s">
        <v>284</v>
      </c>
      <c r="L921" s="220" t="s">
        <v>283</v>
      </c>
      <c r="M921" s="220" t="s">
        <v>283</v>
      </c>
      <c r="N921" s="220" t="s">
        <v>283</v>
      </c>
      <c r="O921" s="221" t="s">
        <v>15</v>
      </c>
      <c r="P921" s="221" t="s">
        <v>15</v>
      </c>
      <c r="Q921" s="221" t="s">
        <v>15</v>
      </c>
      <c r="R921" s="221" t="s">
        <v>15</v>
      </c>
      <c r="S921" s="221" t="s">
        <v>16</v>
      </c>
      <c r="T921" s="221" t="s">
        <v>330</v>
      </c>
      <c r="U921" s="221" t="s">
        <v>250</v>
      </c>
      <c r="V921" s="221" t="s">
        <v>283</v>
      </c>
      <c r="W921" s="222" t="s">
        <v>283</v>
      </c>
      <c r="X921" s="222" t="s">
        <v>283</v>
      </c>
      <c r="Y921" s="223" t="s">
        <v>283</v>
      </c>
    </row>
    <row r="922" spans="1:25">
      <c r="A922" s="217">
        <v>17</v>
      </c>
      <c r="B922" s="218" t="str">
        <f>VLOOKUP(Tabel10[[#This Row],[Code]],Ruimtegroepen[[Code]:[Ruimte omschrijving]],2,FALSE)</f>
        <v>Toestelberging</v>
      </c>
      <c r="C922" s="219" t="s">
        <v>1053</v>
      </c>
      <c r="D922" s="218" t="s">
        <v>0</v>
      </c>
      <c r="E922" s="219" t="s">
        <v>100</v>
      </c>
      <c r="F922" s="219" t="s">
        <v>1054</v>
      </c>
      <c r="G922" s="224" t="s">
        <v>283</v>
      </c>
      <c r="H922" s="220" t="s">
        <v>283</v>
      </c>
      <c r="I922" s="220" t="s">
        <v>16</v>
      </c>
      <c r="J922" s="220" t="s">
        <v>283</v>
      </c>
      <c r="K922" s="220" t="s">
        <v>283</v>
      </c>
      <c r="L922" s="220" t="s">
        <v>283</v>
      </c>
      <c r="M922" s="220" t="s">
        <v>283</v>
      </c>
      <c r="N922" s="220" t="s">
        <v>283</v>
      </c>
      <c r="O922" s="221" t="s">
        <v>16</v>
      </c>
      <c r="P922" s="221" t="s">
        <v>16</v>
      </c>
      <c r="Q922" s="221" t="s">
        <v>16</v>
      </c>
      <c r="R922" s="221" t="s">
        <v>16</v>
      </c>
      <c r="S922" s="221" t="s">
        <v>16</v>
      </c>
      <c r="T922" s="221" t="s">
        <v>330</v>
      </c>
      <c r="U922" s="221" t="s">
        <v>250</v>
      </c>
      <c r="V922" s="221" t="s">
        <v>283</v>
      </c>
      <c r="W922" s="222" t="s">
        <v>283</v>
      </c>
      <c r="X922" s="222" t="s">
        <v>283</v>
      </c>
      <c r="Y922" s="223" t="s">
        <v>283</v>
      </c>
    </row>
    <row r="923" spans="1:25">
      <c r="A923" s="217">
        <v>17</v>
      </c>
      <c r="B923" s="218" t="str">
        <f>VLOOKUP(Tabel10[[#This Row],[Code]],Ruimtegroepen[[Code]:[Ruimte omschrijving]],2,FALSE)</f>
        <v>Toestelberging</v>
      </c>
      <c r="C923" s="219" t="s">
        <v>1053</v>
      </c>
      <c r="D923" s="218" t="s">
        <v>0</v>
      </c>
      <c r="E923" s="219" t="s">
        <v>99</v>
      </c>
      <c r="F923" s="219" t="s">
        <v>1055</v>
      </c>
      <c r="G923" s="224" t="s">
        <v>283</v>
      </c>
      <c r="H923" s="220" t="s">
        <v>16</v>
      </c>
      <c r="I923" s="220" t="s">
        <v>283</v>
      </c>
      <c r="J923" s="220" t="s">
        <v>283</v>
      </c>
      <c r="K923" s="220" t="s">
        <v>283</v>
      </c>
      <c r="L923" s="220" t="s">
        <v>283</v>
      </c>
      <c r="M923" s="220" t="s">
        <v>283</v>
      </c>
      <c r="N923" s="220" t="s">
        <v>283</v>
      </c>
      <c r="O923" s="221" t="s">
        <v>16</v>
      </c>
      <c r="P923" s="221" t="s">
        <v>16</v>
      </c>
      <c r="Q923" s="221" t="s">
        <v>16</v>
      </c>
      <c r="R923" s="221" t="s">
        <v>16</v>
      </c>
      <c r="S923" s="221" t="s">
        <v>16</v>
      </c>
      <c r="T923" s="221" t="s">
        <v>330</v>
      </c>
      <c r="U923" s="221" t="s">
        <v>250</v>
      </c>
      <c r="V923" s="221" t="s">
        <v>283</v>
      </c>
      <c r="W923" s="222" t="s">
        <v>283</v>
      </c>
      <c r="X923" s="222" t="s">
        <v>283</v>
      </c>
      <c r="Y923" s="223" t="s">
        <v>283</v>
      </c>
    </row>
    <row r="924" spans="1:25">
      <c r="A924" s="217">
        <v>17</v>
      </c>
      <c r="B924" s="218" t="str">
        <f>VLOOKUP(Tabel10[[#This Row],[Code]],Ruimtegroepen[[Code]:[Ruimte omschrijving]],2,FALSE)</f>
        <v>Toestelberging</v>
      </c>
      <c r="C924" s="219" t="s">
        <v>1053</v>
      </c>
      <c r="D924" s="218" t="s">
        <v>0</v>
      </c>
      <c r="E924" s="219" t="s">
        <v>101</v>
      </c>
      <c r="F924" s="219" t="s">
        <v>1056</v>
      </c>
      <c r="G924" s="224" t="s">
        <v>283</v>
      </c>
      <c r="H924" s="220" t="s">
        <v>283</v>
      </c>
      <c r="I924" s="220" t="s">
        <v>16</v>
      </c>
      <c r="J924" s="220" t="s">
        <v>283</v>
      </c>
      <c r="K924" s="220" t="s">
        <v>284</v>
      </c>
      <c r="L924" s="220" t="s">
        <v>283</v>
      </c>
      <c r="M924" s="220" t="s">
        <v>283</v>
      </c>
      <c r="N924" s="220" t="s">
        <v>283</v>
      </c>
      <c r="O924" s="221" t="s">
        <v>16</v>
      </c>
      <c r="P924" s="221" t="s">
        <v>16</v>
      </c>
      <c r="Q924" s="221" t="s">
        <v>16</v>
      </c>
      <c r="R924" s="221" t="s">
        <v>16</v>
      </c>
      <c r="S924" s="221" t="s">
        <v>16</v>
      </c>
      <c r="T924" s="221" t="s">
        <v>330</v>
      </c>
      <c r="U924" s="221" t="s">
        <v>250</v>
      </c>
      <c r="V924" s="221" t="s">
        <v>283</v>
      </c>
      <c r="W924" s="222" t="s">
        <v>283</v>
      </c>
      <c r="X924" s="222" t="s">
        <v>283</v>
      </c>
      <c r="Y924" s="223" t="s">
        <v>283</v>
      </c>
    </row>
    <row r="925" spans="1:25">
      <c r="A925" s="217">
        <v>17</v>
      </c>
      <c r="B925" s="218" t="str">
        <f>VLOOKUP(Tabel10[[#This Row],[Code]],Ruimtegroepen[[Code]:[Ruimte omschrijving]],2,FALSE)</f>
        <v>Toestelberging</v>
      </c>
      <c r="C925" s="219" t="s">
        <v>1053</v>
      </c>
      <c r="D925" s="218" t="s">
        <v>0</v>
      </c>
      <c r="E925" s="219" t="s">
        <v>102</v>
      </c>
      <c r="F925" s="219" t="s">
        <v>1057</v>
      </c>
      <c r="G925" s="224" t="s">
        <v>283</v>
      </c>
      <c r="H925" s="220" t="s">
        <v>283</v>
      </c>
      <c r="I925" s="220" t="s">
        <v>16</v>
      </c>
      <c r="J925" s="220" t="s">
        <v>283</v>
      </c>
      <c r="K925" s="220" t="s">
        <v>284</v>
      </c>
      <c r="L925" s="220" t="s">
        <v>283</v>
      </c>
      <c r="M925" s="220" t="s">
        <v>283</v>
      </c>
      <c r="N925" s="220" t="s">
        <v>283</v>
      </c>
      <c r="O925" s="221" t="s">
        <v>16</v>
      </c>
      <c r="P925" s="221" t="s">
        <v>16</v>
      </c>
      <c r="Q925" s="221" t="s">
        <v>16</v>
      </c>
      <c r="R925" s="221" t="s">
        <v>16</v>
      </c>
      <c r="S925" s="221" t="s">
        <v>16</v>
      </c>
      <c r="T925" s="221" t="s">
        <v>330</v>
      </c>
      <c r="U925" s="221" t="s">
        <v>250</v>
      </c>
      <c r="V925" s="221" t="s">
        <v>283</v>
      </c>
      <c r="W925" s="222" t="s">
        <v>283</v>
      </c>
      <c r="X925" s="222" t="s">
        <v>283</v>
      </c>
      <c r="Y925" s="223" t="s">
        <v>283</v>
      </c>
    </row>
    <row r="926" spans="1:25">
      <c r="A926" s="217">
        <v>17</v>
      </c>
      <c r="B926" s="218" t="str">
        <f>VLOOKUP(Tabel10[[#This Row],[Code]],Ruimtegroepen[[Code]:[Ruimte omschrijving]],2,FALSE)</f>
        <v>Toestelberging</v>
      </c>
      <c r="C926" s="219" t="s">
        <v>1053</v>
      </c>
      <c r="D926" s="218" t="s">
        <v>0</v>
      </c>
      <c r="E926" s="219" t="s">
        <v>99</v>
      </c>
      <c r="F926" s="219" t="s">
        <v>1055</v>
      </c>
      <c r="G926" s="224" t="s">
        <v>283</v>
      </c>
      <c r="H926" s="220" t="s">
        <v>16</v>
      </c>
      <c r="I926" s="220" t="s">
        <v>283</v>
      </c>
      <c r="J926" s="220" t="s">
        <v>283</v>
      </c>
      <c r="K926" s="220" t="s">
        <v>283</v>
      </c>
      <c r="L926" s="220" t="s">
        <v>283</v>
      </c>
      <c r="M926" s="220" t="s">
        <v>283</v>
      </c>
      <c r="N926" s="220" t="s">
        <v>283</v>
      </c>
      <c r="O926" s="221" t="s">
        <v>16</v>
      </c>
      <c r="P926" s="221" t="s">
        <v>16</v>
      </c>
      <c r="Q926" s="221" t="s">
        <v>16</v>
      </c>
      <c r="R926" s="221" t="s">
        <v>16</v>
      </c>
      <c r="S926" s="221" t="s">
        <v>16</v>
      </c>
      <c r="T926" s="221" t="s">
        <v>330</v>
      </c>
      <c r="U926" s="221" t="s">
        <v>250</v>
      </c>
      <c r="V926" s="221" t="s">
        <v>283</v>
      </c>
      <c r="W926" s="222" t="s">
        <v>283</v>
      </c>
      <c r="X926" s="222" t="s">
        <v>283</v>
      </c>
      <c r="Y926" s="223" t="s">
        <v>283</v>
      </c>
    </row>
    <row r="927" spans="1:25">
      <c r="A927" s="217">
        <v>17</v>
      </c>
      <c r="B927" s="218" t="str">
        <f>VLOOKUP(Tabel10[[#This Row],[Code]],Ruimtegroepen[[Code]:[Ruimte omschrijving]],2,FALSE)</f>
        <v>Toestelberging</v>
      </c>
      <c r="C927" s="219" t="s">
        <v>1053</v>
      </c>
      <c r="D927" s="218" t="s">
        <v>0</v>
      </c>
      <c r="E927" s="219" t="s">
        <v>1313</v>
      </c>
      <c r="F927" s="219" t="s">
        <v>1361</v>
      </c>
      <c r="G927" s="224" t="s">
        <v>283</v>
      </c>
      <c r="H927" s="220" t="s">
        <v>283</v>
      </c>
      <c r="I927" s="220" t="s">
        <v>16</v>
      </c>
      <c r="J927" s="220" t="s">
        <v>283</v>
      </c>
      <c r="K927" s="220" t="s">
        <v>284</v>
      </c>
      <c r="L927" s="220" t="s">
        <v>283</v>
      </c>
      <c r="M927" s="220" t="s">
        <v>283</v>
      </c>
      <c r="N927" s="220" t="s">
        <v>283</v>
      </c>
      <c r="O927" s="221" t="s">
        <v>16</v>
      </c>
      <c r="P927" s="221" t="s">
        <v>16</v>
      </c>
      <c r="Q927" s="221" t="s">
        <v>16</v>
      </c>
      <c r="R927" s="221" t="s">
        <v>16</v>
      </c>
      <c r="S927" s="221" t="s">
        <v>16</v>
      </c>
      <c r="T927" s="221" t="s">
        <v>330</v>
      </c>
      <c r="U927" s="221" t="s">
        <v>250</v>
      </c>
      <c r="V927" s="221" t="s">
        <v>283</v>
      </c>
      <c r="W927" s="222" t="s">
        <v>283</v>
      </c>
      <c r="X927" s="222" t="s">
        <v>283</v>
      </c>
      <c r="Y927" s="223" t="s">
        <v>283</v>
      </c>
    </row>
    <row r="928" spans="1:25">
      <c r="A928" s="217">
        <v>17</v>
      </c>
      <c r="B928" s="218" t="str">
        <f>VLOOKUP(Tabel10[[#This Row],[Code]],Ruimtegroepen[[Code]:[Ruimte omschrijving]],2,FALSE)</f>
        <v>Toestelberging</v>
      </c>
      <c r="C928" s="219" t="s">
        <v>1058</v>
      </c>
      <c r="D928" s="218" t="s">
        <v>27</v>
      </c>
      <c r="E928" s="219" t="s">
        <v>100</v>
      </c>
      <c r="F928" s="219" t="s">
        <v>1059</v>
      </c>
      <c r="G928" s="224" t="s">
        <v>283</v>
      </c>
      <c r="H928" s="220" t="s">
        <v>283</v>
      </c>
      <c r="I928" s="220" t="s">
        <v>15</v>
      </c>
      <c r="J928" s="220" t="s">
        <v>283</v>
      </c>
      <c r="K928" s="220" t="s">
        <v>283</v>
      </c>
      <c r="L928" s="220" t="s">
        <v>283</v>
      </c>
      <c r="M928" s="220" t="s">
        <v>283</v>
      </c>
      <c r="N928" s="220" t="s">
        <v>283</v>
      </c>
      <c r="O928" s="221" t="s">
        <v>15</v>
      </c>
      <c r="P928" s="221" t="s">
        <v>15</v>
      </c>
      <c r="Q928" s="221" t="s">
        <v>15</v>
      </c>
      <c r="R928" s="221" t="s">
        <v>283</v>
      </c>
      <c r="S928" s="221" t="s">
        <v>283</v>
      </c>
      <c r="T928" s="221" t="s">
        <v>283</v>
      </c>
      <c r="U928" s="221" t="s">
        <v>283</v>
      </c>
      <c r="V928" s="221" t="s">
        <v>283</v>
      </c>
      <c r="W928" s="222" t="s">
        <v>283</v>
      </c>
      <c r="X928" s="222" t="s">
        <v>283</v>
      </c>
      <c r="Y928" s="223" t="s">
        <v>283</v>
      </c>
    </row>
    <row r="929" spans="1:25">
      <c r="A929" s="217">
        <v>17</v>
      </c>
      <c r="B929" s="218" t="str">
        <f>VLOOKUP(Tabel10[[#This Row],[Code]],Ruimtegroepen[[Code]:[Ruimte omschrijving]],2,FALSE)</f>
        <v>Toestelberging</v>
      </c>
      <c r="C929" s="219" t="s">
        <v>1058</v>
      </c>
      <c r="D929" s="218" t="s">
        <v>27</v>
      </c>
      <c r="E929" s="219" t="s">
        <v>99</v>
      </c>
      <c r="F929" s="219" t="s">
        <v>1060</v>
      </c>
      <c r="G929" s="224" t="s">
        <v>283</v>
      </c>
      <c r="H929" s="220" t="s">
        <v>15</v>
      </c>
      <c r="I929" s="220" t="s">
        <v>283</v>
      </c>
      <c r="J929" s="220" t="s">
        <v>283</v>
      </c>
      <c r="K929" s="220" t="s">
        <v>283</v>
      </c>
      <c r="L929" s="220" t="s">
        <v>283</v>
      </c>
      <c r="M929" s="220" t="s">
        <v>283</v>
      </c>
      <c r="N929" s="220" t="s">
        <v>283</v>
      </c>
      <c r="O929" s="221" t="s">
        <v>15</v>
      </c>
      <c r="P929" s="221" t="s">
        <v>15</v>
      </c>
      <c r="Q929" s="221" t="s">
        <v>15</v>
      </c>
      <c r="R929" s="221" t="s">
        <v>283</v>
      </c>
      <c r="S929" s="221" t="s">
        <v>283</v>
      </c>
      <c r="T929" s="221" t="s">
        <v>283</v>
      </c>
      <c r="U929" s="221" t="s">
        <v>283</v>
      </c>
      <c r="V929" s="221" t="s">
        <v>283</v>
      </c>
      <c r="W929" s="222" t="s">
        <v>283</v>
      </c>
      <c r="X929" s="222" t="s">
        <v>283</v>
      </c>
      <c r="Y929" s="223" t="s">
        <v>283</v>
      </c>
    </row>
    <row r="930" spans="1:25">
      <c r="A930" s="217">
        <v>17</v>
      </c>
      <c r="B930" s="218" t="str">
        <f>VLOOKUP(Tabel10[[#This Row],[Code]],Ruimtegroepen[[Code]:[Ruimte omschrijving]],2,FALSE)</f>
        <v>Toestelberging</v>
      </c>
      <c r="C930" s="219" t="s">
        <v>1058</v>
      </c>
      <c r="D930" s="218" t="s">
        <v>27</v>
      </c>
      <c r="E930" s="219" t="s">
        <v>101</v>
      </c>
      <c r="F930" s="219" t="s">
        <v>1061</v>
      </c>
      <c r="G930" s="224" t="s">
        <v>283</v>
      </c>
      <c r="H930" s="220" t="s">
        <v>283</v>
      </c>
      <c r="I930" s="220" t="s">
        <v>15</v>
      </c>
      <c r="J930" s="220" t="s">
        <v>283</v>
      </c>
      <c r="K930" s="220" t="s">
        <v>283</v>
      </c>
      <c r="L930" s="220" t="s">
        <v>283</v>
      </c>
      <c r="M930" s="220" t="s">
        <v>283</v>
      </c>
      <c r="N930" s="220" t="s">
        <v>283</v>
      </c>
      <c r="O930" s="221" t="s">
        <v>15</v>
      </c>
      <c r="P930" s="221" t="s">
        <v>15</v>
      </c>
      <c r="Q930" s="221" t="s">
        <v>15</v>
      </c>
      <c r="R930" s="221" t="s">
        <v>283</v>
      </c>
      <c r="S930" s="221" t="s">
        <v>283</v>
      </c>
      <c r="T930" s="221" t="s">
        <v>283</v>
      </c>
      <c r="U930" s="221" t="s">
        <v>283</v>
      </c>
      <c r="V930" s="221" t="s">
        <v>283</v>
      </c>
      <c r="W930" s="222" t="s">
        <v>283</v>
      </c>
      <c r="X930" s="222" t="s">
        <v>283</v>
      </c>
      <c r="Y930" s="223" t="s">
        <v>283</v>
      </c>
    </row>
    <row r="931" spans="1:25">
      <c r="A931" s="217">
        <v>17</v>
      </c>
      <c r="B931" s="218" t="str">
        <f>VLOOKUP(Tabel10[[#This Row],[Code]],Ruimtegroepen[[Code]:[Ruimte omschrijving]],2,FALSE)</f>
        <v>Toestelberging</v>
      </c>
      <c r="C931" s="219" t="s">
        <v>1058</v>
      </c>
      <c r="D931" s="218" t="s">
        <v>27</v>
      </c>
      <c r="E931" s="219" t="s">
        <v>102</v>
      </c>
      <c r="F931" s="219" t="s">
        <v>1062</v>
      </c>
      <c r="G931" s="224" t="s">
        <v>283</v>
      </c>
      <c r="H931" s="220" t="s">
        <v>283</v>
      </c>
      <c r="I931" s="220" t="s">
        <v>15</v>
      </c>
      <c r="J931" s="220" t="s">
        <v>283</v>
      </c>
      <c r="K931" s="220" t="s">
        <v>283</v>
      </c>
      <c r="L931" s="220" t="s">
        <v>283</v>
      </c>
      <c r="M931" s="220" t="s">
        <v>283</v>
      </c>
      <c r="N931" s="220" t="s">
        <v>283</v>
      </c>
      <c r="O931" s="221" t="s">
        <v>15</v>
      </c>
      <c r="P931" s="221" t="s">
        <v>15</v>
      </c>
      <c r="Q931" s="221" t="s">
        <v>15</v>
      </c>
      <c r="R931" s="221" t="s">
        <v>283</v>
      </c>
      <c r="S931" s="221" t="s">
        <v>283</v>
      </c>
      <c r="T931" s="221" t="s">
        <v>283</v>
      </c>
      <c r="U931" s="221" t="s">
        <v>283</v>
      </c>
      <c r="V931" s="221" t="s">
        <v>283</v>
      </c>
      <c r="W931" s="222" t="s">
        <v>283</v>
      </c>
      <c r="X931" s="222" t="s">
        <v>283</v>
      </c>
      <c r="Y931" s="223" t="s">
        <v>283</v>
      </c>
    </row>
    <row r="932" spans="1:25">
      <c r="A932" s="217">
        <v>17</v>
      </c>
      <c r="B932" s="218" t="str">
        <f>VLOOKUP(Tabel10[[#This Row],[Code]],Ruimtegroepen[[Code]:[Ruimte omschrijving]],2,FALSE)</f>
        <v>Toestelberging</v>
      </c>
      <c r="C932" s="219" t="s">
        <v>1058</v>
      </c>
      <c r="D932" s="218" t="s">
        <v>27</v>
      </c>
      <c r="E932" s="219" t="s">
        <v>99</v>
      </c>
      <c r="F932" s="219" t="s">
        <v>1060</v>
      </c>
      <c r="G932" s="224" t="s">
        <v>283</v>
      </c>
      <c r="H932" s="220" t="s">
        <v>15</v>
      </c>
      <c r="I932" s="220" t="s">
        <v>283</v>
      </c>
      <c r="J932" s="220" t="s">
        <v>283</v>
      </c>
      <c r="K932" s="220" t="s">
        <v>283</v>
      </c>
      <c r="L932" s="220" t="s">
        <v>283</v>
      </c>
      <c r="M932" s="220" t="s">
        <v>283</v>
      </c>
      <c r="N932" s="220" t="s">
        <v>283</v>
      </c>
      <c r="O932" s="221" t="s">
        <v>15</v>
      </c>
      <c r="P932" s="221" t="s">
        <v>15</v>
      </c>
      <c r="Q932" s="221" t="s">
        <v>15</v>
      </c>
      <c r="R932" s="221" t="s">
        <v>283</v>
      </c>
      <c r="S932" s="221" t="s">
        <v>283</v>
      </c>
      <c r="T932" s="221" t="s">
        <v>283</v>
      </c>
      <c r="U932" s="221" t="s">
        <v>283</v>
      </c>
      <c r="V932" s="221" t="s">
        <v>283</v>
      </c>
      <c r="W932" s="222" t="s">
        <v>283</v>
      </c>
      <c r="X932" s="222" t="s">
        <v>283</v>
      </c>
      <c r="Y932" s="223" t="s">
        <v>283</v>
      </c>
    </row>
    <row r="933" spans="1:25">
      <c r="A933" s="217">
        <v>17</v>
      </c>
      <c r="B933" s="218" t="str">
        <f>VLOOKUP(Tabel10[[#This Row],[Code]],Ruimtegroepen[[Code]:[Ruimte omschrijving]],2,FALSE)</f>
        <v>Toestelberging</v>
      </c>
      <c r="C933" s="219" t="s">
        <v>1058</v>
      </c>
      <c r="D933" s="218" t="s">
        <v>27</v>
      </c>
      <c r="E933" s="219" t="s">
        <v>1313</v>
      </c>
      <c r="F933" s="219" t="s">
        <v>1394</v>
      </c>
      <c r="G933" s="224" t="s">
        <v>283</v>
      </c>
      <c r="H933" s="220" t="s">
        <v>283</v>
      </c>
      <c r="I933" s="220" t="s">
        <v>15</v>
      </c>
      <c r="J933" s="220" t="s">
        <v>283</v>
      </c>
      <c r="K933" s="220" t="s">
        <v>283</v>
      </c>
      <c r="L933" s="220" t="s">
        <v>283</v>
      </c>
      <c r="M933" s="220" t="s">
        <v>283</v>
      </c>
      <c r="N933" s="220" t="s">
        <v>283</v>
      </c>
      <c r="O933" s="221" t="s">
        <v>15</v>
      </c>
      <c r="P933" s="221" t="s">
        <v>15</v>
      </c>
      <c r="Q933" s="221" t="s">
        <v>15</v>
      </c>
      <c r="R933" s="221" t="s">
        <v>283</v>
      </c>
      <c r="S933" s="221" t="s">
        <v>283</v>
      </c>
      <c r="T933" s="221" t="s">
        <v>283</v>
      </c>
      <c r="U933" s="221" t="s">
        <v>283</v>
      </c>
      <c r="V933" s="221" t="s">
        <v>283</v>
      </c>
      <c r="W933" s="222" t="s">
        <v>283</v>
      </c>
      <c r="X933" s="222" t="s">
        <v>283</v>
      </c>
      <c r="Y933" s="223" t="s">
        <v>283</v>
      </c>
    </row>
    <row r="934" spans="1:25">
      <c r="A934" s="217">
        <v>17</v>
      </c>
      <c r="B934" s="218" t="str">
        <f>VLOOKUP(Tabel10[[#This Row],[Code]],Ruimtegroepen[[Code]:[Ruimte omschrijving]],2,FALSE)</f>
        <v>Toestelberging</v>
      </c>
      <c r="C934" s="219" t="s">
        <v>1063</v>
      </c>
      <c r="D934" s="218" t="s">
        <v>28</v>
      </c>
      <c r="E934" s="219" t="s">
        <v>100</v>
      </c>
      <c r="F934" s="219" t="s">
        <v>1064</v>
      </c>
      <c r="G934" s="224" t="s">
        <v>283</v>
      </c>
      <c r="H934" s="220" t="s">
        <v>283</v>
      </c>
      <c r="I934" s="220" t="s">
        <v>17</v>
      </c>
      <c r="J934" s="220" t="s">
        <v>283</v>
      </c>
      <c r="K934" s="220" t="s">
        <v>283</v>
      </c>
      <c r="L934" s="220" t="s">
        <v>283</v>
      </c>
      <c r="M934" s="220" t="s">
        <v>283</v>
      </c>
      <c r="N934" s="220" t="s">
        <v>283</v>
      </c>
      <c r="O934" s="221" t="s">
        <v>17</v>
      </c>
      <c r="P934" s="221" t="s">
        <v>17</v>
      </c>
      <c r="Q934" s="221" t="s">
        <v>15</v>
      </c>
      <c r="R934" s="221" t="s">
        <v>283</v>
      </c>
      <c r="S934" s="221" t="s">
        <v>283</v>
      </c>
      <c r="T934" s="221" t="s">
        <v>283</v>
      </c>
      <c r="U934" s="221" t="s">
        <v>283</v>
      </c>
      <c r="V934" s="221" t="s">
        <v>283</v>
      </c>
      <c r="W934" s="222" t="s">
        <v>283</v>
      </c>
      <c r="X934" s="222" t="s">
        <v>283</v>
      </c>
      <c r="Y934" s="223" t="s">
        <v>283</v>
      </c>
    </row>
    <row r="935" spans="1:25">
      <c r="A935" s="217">
        <v>17</v>
      </c>
      <c r="B935" s="218" t="str">
        <f>VLOOKUP(Tabel10[[#This Row],[Code]],Ruimtegroepen[[Code]:[Ruimte omschrijving]],2,FALSE)</f>
        <v>Toestelberging</v>
      </c>
      <c r="C935" s="219" t="s">
        <v>1063</v>
      </c>
      <c r="D935" s="218" t="s">
        <v>28</v>
      </c>
      <c r="E935" s="219" t="s">
        <v>99</v>
      </c>
      <c r="F935" s="219" t="s">
        <v>1065</v>
      </c>
      <c r="G935" s="224" t="s">
        <v>283</v>
      </c>
      <c r="H935" s="220" t="s">
        <v>17</v>
      </c>
      <c r="I935" s="220" t="s">
        <v>283</v>
      </c>
      <c r="J935" s="220" t="s">
        <v>283</v>
      </c>
      <c r="K935" s="220" t="s">
        <v>283</v>
      </c>
      <c r="L935" s="220" t="s">
        <v>283</v>
      </c>
      <c r="M935" s="220" t="s">
        <v>283</v>
      </c>
      <c r="N935" s="220" t="s">
        <v>283</v>
      </c>
      <c r="O935" s="221" t="s">
        <v>17</v>
      </c>
      <c r="P935" s="221" t="s">
        <v>17</v>
      </c>
      <c r="Q935" s="221" t="s">
        <v>15</v>
      </c>
      <c r="R935" s="221" t="s">
        <v>283</v>
      </c>
      <c r="S935" s="221" t="s">
        <v>283</v>
      </c>
      <c r="T935" s="221" t="s">
        <v>283</v>
      </c>
      <c r="U935" s="221" t="s">
        <v>283</v>
      </c>
      <c r="V935" s="221" t="s">
        <v>283</v>
      </c>
      <c r="W935" s="222" t="s">
        <v>283</v>
      </c>
      <c r="X935" s="222" t="s">
        <v>283</v>
      </c>
      <c r="Y935" s="223" t="s">
        <v>283</v>
      </c>
    </row>
    <row r="936" spans="1:25">
      <c r="A936" s="217">
        <v>17</v>
      </c>
      <c r="B936" s="218" t="str">
        <f>VLOOKUP(Tabel10[[#This Row],[Code]],Ruimtegroepen[[Code]:[Ruimte omschrijving]],2,FALSE)</f>
        <v>Toestelberging</v>
      </c>
      <c r="C936" s="219" t="s">
        <v>1063</v>
      </c>
      <c r="D936" s="218" t="s">
        <v>28</v>
      </c>
      <c r="E936" s="219" t="s">
        <v>101</v>
      </c>
      <c r="F936" s="219" t="s">
        <v>1066</v>
      </c>
      <c r="G936" s="224" t="s">
        <v>283</v>
      </c>
      <c r="H936" s="220" t="s">
        <v>283</v>
      </c>
      <c r="I936" s="220" t="s">
        <v>17</v>
      </c>
      <c r="J936" s="220" t="s">
        <v>283</v>
      </c>
      <c r="K936" s="220" t="s">
        <v>283</v>
      </c>
      <c r="L936" s="220" t="s">
        <v>283</v>
      </c>
      <c r="M936" s="220" t="s">
        <v>283</v>
      </c>
      <c r="N936" s="220" t="s">
        <v>283</v>
      </c>
      <c r="O936" s="221" t="s">
        <v>17</v>
      </c>
      <c r="P936" s="221" t="s">
        <v>17</v>
      </c>
      <c r="Q936" s="221" t="s">
        <v>15</v>
      </c>
      <c r="R936" s="221" t="s">
        <v>283</v>
      </c>
      <c r="S936" s="221" t="s">
        <v>283</v>
      </c>
      <c r="T936" s="221" t="s">
        <v>283</v>
      </c>
      <c r="U936" s="221" t="s">
        <v>283</v>
      </c>
      <c r="V936" s="221" t="s">
        <v>283</v>
      </c>
      <c r="W936" s="222" t="s">
        <v>283</v>
      </c>
      <c r="X936" s="222" t="s">
        <v>283</v>
      </c>
      <c r="Y936" s="223" t="s">
        <v>283</v>
      </c>
    </row>
    <row r="937" spans="1:25">
      <c r="A937" s="217">
        <v>17</v>
      </c>
      <c r="B937" s="218" t="str">
        <f>VLOOKUP(Tabel10[[#This Row],[Code]],Ruimtegroepen[[Code]:[Ruimte omschrijving]],2,FALSE)</f>
        <v>Toestelberging</v>
      </c>
      <c r="C937" s="219" t="s">
        <v>1063</v>
      </c>
      <c r="D937" s="218" t="s">
        <v>28</v>
      </c>
      <c r="E937" s="219" t="s">
        <v>102</v>
      </c>
      <c r="F937" s="219" t="s">
        <v>1067</v>
      </c>
      <c r="G937" s="224" t="s">
        <v>283</v>
      </c>
      <c r="H937" s="220" t="s">
        <v>283</v>
      </c>
      <c r="I937" s="220" t="s">
        <v>17</v>
      </c>
      <c r="J937" s="220" t="s">
        <v>283</v>
      </c>
      <c r="K937" s="220" t="s">
        <v>283</v>
      </c>
      <c r="L937" s="220" t="s">
        <v>283</v>
      </c>
      <c r="M937" s="220" t="s">
        <v>283</v>
      </c>
      <c r="N937" s="220" t="s">
        <v>283</v>
      </c>
      <c r="O937" s="221" t="s">
        <v>17</v>
      </c>
      <c r="P937" s="221" t="s">
        <v>17</v>
      </c>
      <c r="Q937" s="221" t="s">
        <v>15</v>
      </c>
      <c r="R937" s="221" t="s">
        <v>283</v>
      </c>
      <c r="S937" s="221" t="s">
        <v>283</v>
      </c>
      <c r="T937" s="221" t="s">
        <v>283</v>
      </c>
      <c r="U937" s="221" t="s">
        <v>283</v>
      </c>
      <c r="V937" s="221" t="s">
        <v>283</v>
      </c>
      <c r="W937" s="222" t="s">
        <v>283</v>
      </c>
      <c r="X937" s="222" t="s">
        <v>283</v>
      </c>
      <c r="Y937" s="223" t="s">
        <v>283</v>
      </c>
    </row>
    <row r="938" spans="1:25">
      <c r="A938" s="217">
        <v>17</v>
      </c>
      <c r="B938" s="218" t="str">
        <f>VLOOKUP(Tabel10[[#This Row],[Code]],Ruimtegroepen[[Code]:[Ruimte omschrijving]],2,FALSE)</f>
        <v>Toestelberging</v>
      </c>
      <c r="C938" s="219" t="s">
        <v>1063</v>
      </c>
      <c r="D938" s="218" t="s">
        <v>28</v>
      </c>
      <c r="E938" s="219" t="s">
        <v>99</v>
      </c>
      <c r="F938" s="219" t="s">
        <v>1065</v>
      </c>
      <c r="G938" s="224" t="s">
        <v>283</v>
      </c>
      <c r="H938" s="220" t="s">
        <v>17</v>
      </c>
      <c r="I938" s="220" t="s">
        <v>283</v>
      </c>
      <c r="J938" s="220" t="s">
        <v>283</v>
      </c>
      <c r="K938" s="220" t="s">
        <v>283</v>
      </c>
      <c r="L938" s="220" t="s">
        <v>283</v>
      </c>
      <c r="M938" s="220" t="s">
        <v>283</v>
      </c>
      <c r="N938" s="220" t="s">
        <v>283</v>
      </c>
      <c r="O938" s="221" t="s">
        <v>17</v>
      </c>
      <c r="P938" s="221" t="s">
        <v>17</v>
      </c>
      <c r="Q938" s="221" t="s">
        <v>15</v>
      </c>
      <c r="R938" s="221" t="s">
        <v>283</v>
      </c>
      <c r="S938" s="221" t="s">
        <v>283</v>
      </c>
      <c r="T938" s="221" t="s">
        <v>283</v>
      </c>
      <c r="U938" s="221" t="s">
        <v>283</v>
      </c>
      <c r="V938" s="221" t="s">
        <v>283</v>
      </c>
      <c r="W938" s="222" t="s">
        <v>283</v>
      </c>
      <c r="X938" s="222" t="s">
        <v>283</v>
      </c>
      <c r="Y938" s="223" t="s">
        <v>283</v>
      </c>
    </row>
    <row r="939" spans="1:25">
      <c r="A939" s="217">
        <v>17</v>
      </c>
      <c r="B939" s="218" t="str">
        <f>VLOOKUP(Tabel10[[#This Row],[Code]],Ruimtegroepen[[Code]:[Ruimte omschrijving]],2,FALSE)</f>
        <v>Toestelberging</v>
      </c>
      <c r="C939" s="219" t="s">
        <v>1063</v>
      </c>
      <c r="D939" s="218" t="s">
        <v>28</v>
      </c>
      <c r="E939" s="219" t="s">
        <v>1313</v>
      </c>
      <c r="F939" s="219" t="s">
        <v>1427</v>
      </c>
      <c r="G939" s="224" t="s">
        <v>283</v>
      </c>
      <c r="H939" s="220" t="s">
        <v>283</v>
      </c>
      <c r="I939" s="220" t="s">
        <v>17</v>
      </c>
      <c r="J939" s="220" t="s">
        <v>283</v>
      </c>
      <c r="K939" s="220" t="s">
        <v>283</v>
      </c>
      <c r="L939" s="220" t="s">
        <v>283</v>
      </c>
      <c r="M939" s="220" t="s">
        <v>283</v>
      </c>
      <c r="N939" s="220" t="s">
        <v>283</v>
      </c>
      <c r="O939" s="221" t="s">
        <v>17</v>
      </c>
      <c r="P939" s="221" t="s">
        <v>17</v>
      </c>
      <c r="Q939" s="221" t="s">
        <v>15</v>
      </c>
      <c r="R939" s="221" t="s">
        <v>283</v>
      </c>
      <c r="S939" s="221" t="s">
        <v>283</v>
      </c>
      <c r="T939" s="221" t="s">
        <v>283</v>
      </c>
      <c r="U939" s="221" t="s">
        <v>283</v>
      </c>
      <c r="V939" s="221" t="s">
        <v>283</v>
      </c>
      <c r="W939" s="222" t="s">
        <v>283</v>
      </c>
      <c r="X939" s="222" t="s">
        <v>283</v>
      </c>
      <c r="Y939" s="223" t="s">
        <v>283</v>
      </c>
    </row>
    <row r="940" spans="1:25">
      <c r="A940" s="217">
        <v>18</v>
      </c>
      <c r="B940" s="218" t="str">
        <f>VLOOKUP(Tabel10[[#This Row],[Code]],Ruimtegroepen[[Code]:[Ruimte omschrijving]],2,FALSE)</f>
        <v>Gymzaal</v>
      </c>
      <c r="C940" s="219" t="s">
        <v>1068</v>
      </c>
      <c r="D940" s="218" t="s">
        <v>29</v>
      </c>
      <c r="E940" s="219" t="s">
        <v>100</v>
      </c>
      <c r="F940" s="219" t="s">
        <v>1069</v>
      </c>
      <c r="G940" s="224" t="s">
        <v>283</v>
      </c>
      <c r="H940" s="220" t="s">
        <v>283</v>
      </c>
      <c r="I940" s="220" t="s">
        <v>20</v>
      </c>
      <c r="J940" s="220" t="s">
        <v>15</v>
      </c>
      <c r="K940" s="220" t="s">
        <v>283</v>
      </c>
      <c r="L940" s="220" t="s">
        <v>283</v>
      </c>
      <c r="M940" s="220" t="s">
        <v>283</v>
      </c>
      <c r="N940" s="220" t="s">
        <v>2</v>
      </c>
      <c r="O940" s="221" t="s">
        <v>2</v>
      </c>
      <c r="P940" s="221" t="s">
        <v>2</v>
      </c>
      <c r="Q940" s="221" t="s">
        <v>2</v>
      </c>
      <c r="R940" s="221" t="s">
        <v>2</v>
      </c>
      <c r="S940" s="221" t="s">
        <v>16</v>
      </c>
      <c r="T940" s="221" t="s">
        <v>330</v>
      </c>
      <c r="U940" s="221" t="s">
        <v>250</v>
      </c>
      <c r="V940" s="221" t="s">
        <v>2</v>
      </c>
      <c r="W940" s="222" t="s">
        <v>283</v>
      </c>
      <c r="X940" s="222" t="s">
        <v>283</v>
      </c>
      <c r="Y940" s="223" t="s">
        <v>283</v>
      </c>
    </row>
    <row r="941" spans="1:25">
      <c r="A941" s="217">
        <v>18</v>
      </c>
      <c r="B941" s="218" t="str">
        <f>VLOOKUP(Tabel10[[#This Row],[Code]],Ruimtegroepen[[Code]:[Ruimte omschrijving]],2,FALSE)</f>
        <v>Gymzaal</v>
      </c>
      <c r="C941" s="219" t="s">
        <v>1068</v>
      </c>
      <c r="D941" s="218" t="s">
        <v>29</v>
      </c>
      <c r="E941" s="219" t="s">
        <v>99</v>
      </c>
      <c r="F941" s="219" t="s">
        <v>1070</v>
      </c>
      <c r="G941" s="220" t="s">
        <v>20</v>
      </c>
      <c r="H941" s="220" t="s">
        <v>15</v>
      </c>
      <c r="I941" s="220" t="s">
        <v>283</v>
      </c>
      <c r="J941" s="220" t="s">
        <v>283</v>
      </c>
      <c r="K941" s="220" t="s">
        <v>283</v>
      </c>
      <c r="L941" s="220" t="s">
        <v>283</v>
      </c>
      <c r="M941" s="220" t="s">
        <v>283</v>
      </c>
      <c r="N941" s="220" t="s">
        <v>2</v>
      </c>
      <c r="O941" s="221" t="s">
        <v>2</v>
      </c>
      <c r="P941" s="221" t="s">
        <v>2</v>
      </c>
      <c r="Q941" s="221" t="s">
        <v>2</v>
      </c>
      <c r="R941" s="221" t="s">
        <v>2</v>
      </c>
      <c r="S941" s="221" t="s">
        <v>16</v>
      </c>
      <c r="T941" s="221" t="s">
        <v>330</v>
      </c>
      <c r="U941" s="221" t="s">
        <v>250</v>
      </c>
      <c r="V941" s="221" t="s">
        <v>2</v>
      </c>
      <c r="W941" s="222" t="s">
        <v>283</v>
      </c>
      <c r="X941" s="222" t="s">
        <v>283</v>
      </c>
      <c r="Y941" s="223" t="s">
        <v>283</v>
      </c>
    </row>
    <row r="942" spans="1:25">
      <c r="A942" s="217">
        <v>18</v>
      </c>
      <c r="B942" s="218" t="str">
        <f>VLOOKUP(Tabel10[[#This Row],[Code]],Ruimtegroepen[[Code]:[Ruimte omschrijving]],2,FALSE)</f>
        <v>Gymzaal</v>
      </c>
      <c r="C942" s="219" t="s">
        <v>1068</v>
      </c>
      <c r="D942" s="218" t="s">
        <v>29</v>
      </c>
      <c r="E942" s="219" t="s">
        <v>101</v>
      </c>
      <c r="F942" s="219" t="s">
        <v>1071</v>
      </c>
      <c r="G942" s="224" t="s">
        <v>283</v>
      </c>
      <c r="H942" s="220" t="s">
        <v>283</v>
      </c>
      <c r="I942" s="220" t="s">
        <v>20</v>
      </c>
      <c r="J942" s="220" t="s">
        <v>15</v>
      </c>
      <c r="K942" s="220" t="s">
        <v>284</v>
      </c>
      <c r="L942" s="220" t="s">
        <v>283</v>
      </c>
      <c r="M942" s="220" t="s">
        <v>283</v>
      </c>
      <c r="N942" s="220" t="s">
        <v>2</v>
      </c>
      <c r="O942" s="221" t="s">
        <v>2</v>
      </c>
      <c r="P942" s="221" t="s">
        <v>2</v>
      </c>
      <c r="Q942" s="221" t="s">
        <v>2</v>
      </c>
      <c r="R942" s="221" t="s">
        <v>2</v>
      </c>
      <c r="S942" s="221" t="s">
        <v>16</v>
      </c>
      <c r="T942" s="221" t="s">
        <v>330</v>
      </c>
      <c r="U942" s="221" t="s">
        <v>250</v>
      </c>
      <c r="V942" s="221" t="s">
        <v>2</v>
      </c>
      <c r="W942" s="222" t="s">
        <v>283</v>
      </c>
      <c r="X942" s="222" t="s">
        <v>283</v>
      </c>
      <c r="Y942" s="223" t="s">
        <v>283</v>
      </c>
    </row>
    <row r="943" spans="1:25">
      <c r="A943" s="217">
        <v>18</v>
      </c>
      <c r="B943" s="218" t="str">
        <f>VLOOKUP(Tabel10[[#This Row],[Code]],Ruimtegroepen[[Code]:[Ruimte omschrijving]],2,FALSE)</f>
        <v>Gymzaal</v>
      </c>
      <c r="C943" s="219" t="s">
        <v>1068</v>
      </c>
      <c r="D943" s="218" t="s">
        <v>29</v>
      </c>
      <c r="E943" s="219" t="s">
        <v>102</v>
      </c>
      <c r="F943" s="219" t="s">
        <v>1072</v>
      </c>
      <c r="G943" s="224" t="s">
        <v>283</v>
      </c>
      <c r="H943" s="220" t="s">
        <v>283</v>
      </c>
      <c r="I943" s="220" t="s">
        <v>20</v>
      </c>
      <c r="J943" s="220" t="s">
        <v>15</v>
      </c>
      <c r="K943" s="220" t="s">
        <v>284</v>
      </c>
      <c r="L943" s="220" t="s">
        <v>283</v>
      </c>
      <c r="M943" s="220" t="s">
        <v>283</v>
      </c>
      <c r="N943" s="220" t="s">
        <v>2</v>
      </c>
      <c r="O943" s="221" t="s">
        <v>2</v>
      </c>
      <c r="P943" s="221" t="s">
        <v>2</v>
      </c>
      <c r="Q943" s="221" t="s">
        <v>2</v>
      </c>
      <c r="R943" s="221" t="s">
        <v>2</v>
      </c>
      <c r="S943" s="221" t="s">
        <v>16</v>
      </c>
      <c r="T943" s="221" t="s">
        <v>330</v>
      </c>
      <c r="U943" s="221" t="s">
        <v>250</v>
      </c>
      <c r="V943" s="221" t="s">
        <v>2</v>
      </c>
      <c r="W943" s="222" t="s">
        <v>283</v>
      </c>
      <c r="X943" s="222" t="s">
        <v>283</v>
      </c>
      <c r="Y943" s="223" t="s">
        <v>283</v>
      </c>
    </row>
    <row r="944" spans="1:25">
      <c r="A944" s="217">
        <v>18</v>
      </c>
      <c r="B944" s="218" t="str">
        <f>VLOOKUP(Tabel10[[#This Row],[Code]],Ruimtegroepen[[Code]:[Ruimte omschrijving]],2,FALSE)</f>
        <v>Gymzaal</v>
      </c>
      <c r="C944" s="219" t="s">
        <v>1068</v>
      </c>
      <c r="D944" s="218" t="s">
        <v>29</v>
      </c>
      <c r="E944" s="219" t="s">
        <v>99</v>
      </c>
      <c r="F944" s="219" t="s">
        <v>1070</v>
      </c>
      <c r="G944" s="224" t="s">
        <v>283</v>
      </c>
      <c r="H944" s="220" t="s">
        <v>2</v>
      </c>
      <c r="I944" s="220" t="s">
        <v>283</v>
      </c>
      <c r="J944" s="220" t="s">
        <v>283</v>
      </c>
      <c r="K944" s="220" t="s">
        <v>283</v>
      </c>
      <c r="L944" s="220" t="s">
        <v>283</v>
      </c>
      <c r="M944" s="220" t="s">
        <v>283</v>
      </c>
      <c r="N944" s="220" t="s">
        <v>2</v>
      </c>
      <c r="O944" s="221" t="s">
        <v>2</v>
      </c>
      <c r="P944" s="221" t="s">
        <v>2</v>
      </c>
      <c r="Q944" s="221" t="s">
        <v>2</v>
      </c>
      <c r="R944" s="221" t="s">
        <v>2</v>
      </c>
      <c r="S944" s="221" t="s">
        <v>16</v>
      </c>
      <c r="T944" s="221" t="s">
        <v>330</v>
      </c>
      <c r="U944" s="221" t="s">
        <v>250</v>
      </c>
      <c r="V944" s="221" t="s">
        <v>2</v>
      </c>
      <c r="W944" s="222" t="s">
        <v>283</v>
      </c>
      <c r="X944" s="222" t="s">
        <v>283</v>
      </c>
      <c r="Y944" s="223" t="s">
        <v>283</v>
      </c>
    </row>
    <row r="945" spans="1:25">
      <c r="A945" s="217">
        <v>18</v>
      </c>
      <c r="B945" s="218" t="str">
        <f>VLOOKUP(Tabel10[[#This Row],[Code]],Ruimtegroepen[[Code]:[Ruimte omschrijving]],2,FALSE)</f>
        <v>Gymzaal</v>
      </c>
      <c r="C945" s="219" t="s">
        <v>1068</v>
      </c>
      <c r="D945" s="218" t="s">
        <v>29</v>
      </c>
      <c r="E945" s="219" t="s">
        <v>1313</v>
      </c>
      <c r="F945" s="219" t="s">
        <v>1495</v>
      </c>
      <c r="G945" s="224" t="s">
        <v>283</v>
      </c>
      <c r="H945" s="220" t="s">
        <v>283</v>
      </c>
      <c r="I945" s="220" t="s">
        <v>20</v>
      </c>
      <c r="J945" s="220" t="s">
        <v>15</v>
      </c>
      <c r="K945" s="220" t="s">
        <v>284</v>
      </c>
      <c r="L945" s="220" t="s">
        <v>283</v>
      </c>
      <c r="M945" s="220" t="s">
        <v>283</v>
      </c>
      <c r="N945" s="220" t="s">
        <v>2</v>
      </c>
      <c r="O945" s="221" t="s">
        <v>2</v>
      </c>
      <c r="P945" s="221" t="s">
        <v>2</v>
      </c>
      <c r="Q945" s="221" t="s">
        <v>2</v>
      </c>
      <c r="R945" s="221" t="s">
        <v>2</v>
      </c>
      <c r="S945" s="221" t="s">
        <v>16</v>
      </c>
      <c r="T945" s="221" t="s">
        <v>330</v>
      </c>
      <c r="U945" s="221" t="s">
        <v>250</v>
      </c>
      <c r="V945" s="221" t="s">
        <v>2</v>
      </c>
      <c r="W945" s="222" t="s">
        <v>283</v>
      </c>
      <c r="X945" s="222" t="s">
        <v>283</v>
      </c>
      <c r="Y945" s="223" t="s">
        <v>283</v>
      </c>
    </row>
    <row r="946" spans="1:25">
      <c r="A946" s="217">
        <v>18</v>
      </c>
      <c r="B946" s="218" t="str">
        <f>VLOOKUP(Tabel10[[#This Row],[Code]],Ruimtegroepen[[Code]:[Ruimte omschrijving]],2,FALSE)</f>
        <v>Gymzaal</v>
      </c>
      <c r="C946" s="219" t="s">
        <v>1073</v>
      </c>
      <c r="D946" s="218" t="s">
        <v>1</v>
      </c>
      <c r="E946" s="219" t="s">
        <v>100</v>
      </c>
      <c r="F946" s="219" t="s">
        <v>1074</v>
      </c>
      <c r="G946" s="224" t="s">
        <v>283</v>
      </c>
      <c r="H946" s="220" t="s">
        <v>283</v>
      </c>
      <c r="I946" s="220" t="s">
        <v>20</v>
      </c>
      <c r="J946" s="220" t="s">
        <v>15</v>
      </c>
      <c r="K946" s="220" t="s">
        <v>283</v>
      </c>
      <c r="L946" s="220" t="s">
        <v>283</v>
      </c>
      <c r="M946" s="220" t="s">
        <v>283</v>
      </c>
      <c r="N946" s="220" t="s">
        <v>283</v>
      </c>
      <c r="O946" s="221" t="s">
        <v>2</v>
      </c>
      <c r="P946" s="221" t="s">
        <v>2</v>
      </c>
      <c r="Q946" s="221" t="s">
        <v>2</v>
      </c>
      <c r="R946" s="221" t="s">
        <v>2</v>
      </c>
      <c r="S946" s="221" t="s">
        <v>16</v>
      </c>
      <c r="T946" s="221" t="s">
        <v>330</v>
      </c>
      <c r="U946" s="221" t="s">
        <v>250</v>
      </c>
      <c r="V946" s="221" t="s">
        <v>283</v>
      </c>
      <c r="W946" s="222" t="s">
        <v>283</v>
      </c>
      <c r="X946" s="222" t="s">
        <v>283</v>
      </c>
      <c r="Y946" s="223" t="s">
        <v>283</v>
      </c>
    </row>
    <row r="947" spans="1:25">
      <c r="A947" s="217">
        <v>18</v>
      </c>
      <c r="B947" s="218" t="str">
        <f>VLOOKUP(Tabel10[[#This Row],[Code]],Ruimtegroepen[[Code]:[Ruimte omschrijving]],2,FALSE)</f>
        <v>Gymzaal</v>
      </c>
      <c r="C947" s="219" t="s">
        <v>1073</v>
      </c>
      <c r="D947" s="218" t="s">
        <v>1</v>
      </c>
      <c r="E947" s="219" t="s">
        <v>99</v>
      </c>
      <c r="F947" s="219" t="s">
        <v>1075</v>
      </c>
      <c r="G947" s="220" t="s">
        <v>20</v>
      </c>
      <c r="H947" s="220" t="s">
        <v>15</v>
      </c>
      <c r="I947" s="220" t="s">
        <v>283</v>
      </c>
      <c r="J947" s="220" t="s">
        <v>283</v>
      </c>
      <c r="K947" s="220" t="s">
        <v>283</v>
      </c>
      <c r="L947" s="220" t="s">
        <v>283</v>
      </c>
      <c r="M947" s="220" t="s">
        <v>283</v>
      </c>
      <c r="N947" s="220" t="s">
        <v>283</v>
      </c>
      <c r="O947" s="221" t="s">
        <v>2</v>
      </c>
      <c r="P947" s="221" t="s">
        <v>2</v>
      </c>
      <c r="Q947" s="221" t="s">
        <v>2</v>
      </c>
      <c r="R947" s="221" t="s">
        <v>2</v>
      </c>
      <c r="S947" s="221" t="s">
        <v>16</v>
      </c>
      <c r="T947" s="221" t="s">
        <v>330</v>
      </c>
      <c r="U947" s="221" t="s">
        <v>250</v>
      </c>
      <c r="V947" s="221" t="s">
        <v>283</v>
      </c>
      <c r="W947" s="222" t="s">
        <v>283</v>
      </c>
      <c r="X947" s="222" t="s">
        <v>283</v>
      </c>
      <c r="Y947" s="223" t="s">
        <v>283</v>
      </c>
    </row>
    <row r="948" spans="1:25">
      <c r="A948" s="217">
        <v>18</v>
      </c>
      <c r="B948" s="218" t="str">
        <f>VLOOKUP(Tabel10[[#This Row],[Code]],Ruimtegroepen[[Code]:[Ruimte omschrijving]],2,FALSE)</f>
        <v>Gymzaal</v>
      </c>
      <c r="C948" s="219" t="s">
        <v>1073</v>
      </c>
      <c r="D948" s="218" t="s">
        <v>1</v>
      </c>
      <c r="E948" s="219" t="s">
        <v>101</v>
      </c>
      <c r="F948" s="219" t="s">
        <v>1076</v>
      </c>
      <c r="G948" s="224" t="s">
        <v>283</v>
      </c>
      <c r="H948" s="220" t="s">
        <v>283</v>
      </c>
      <c r="I948" s="220" t="s">
        <v>20</v>
      </c>
      <c r="J948" s="220" t="s">
        <v>15</v>
      </c>
      <c r="K948" s="220" t="s">
        <v>284</v>
      </c>
      <c r="L948" s="220" t="s">
        <v>283</v>
      </c>
      <c r="M948" s="220" t="s">
        <v>283</v>
      </c>
      <c r="N948" s="220" t="s">
        <v>283</v>
      </c>
      <c r="O948" s="221" t="s">
        <v>2</v>
      </c>
      <c r="P948" s="221" t="s">
        <v>2</v>
      </c>
      <c r="Q948" s="221" t="s">
        <v>2</v>
      </c>
      <c r="R948" s="221" t="s">
        <v>2</v>
      </c>
      <c r="S948" s="221" t="s">
        <v>16</v>
      </c>
      <c r="T948" s="221" t="s">
        <v>330</v>
      </c>
      <c r="U948" s="221" t="s">
        <v>250</v>
      </c>
      <c r="V948" s="221" t="s">
        <v>283</v>
      </c>
      <c r="W948" s="222" t="s">
        <v>283</v>
      </c>
      <c r="X948" s="222" t="s">
        <v>283</v>
      </c>
      <c r="Y948" s="223" t="s">
        <v>283</v>
      </c>
    </row>
    <row r="949" spans="1:25">
      <c r="A949" s="217">
        <v>18</v>
      </c>
      <c r="B949" s="218" t="str">
        <f>VLOOKUP(Tabel10[[#This Row],[Code]],Ruimtegroepen[[Code]:[Ruimte omschrijving]],2,FALSE)</f>
        <v>Gymzaal</v>
      </c>
      <c r="C949" s="219" t="s">
        <v>1073</v>
      </c>
      <c r="D949" s="218" t="s">
        <v>1</v>
      </c>
      <c r="E949" s="219" t="s">
        <v>102</v>
      </c>
      <c r="F949" s="219" t="s">
        <v>1077</v>
      </c>
      <c r="G949" s="224" t="s">
        <v>283</v>
      </c>
      <c r="H949" s="220" t="s">
        <v>283</v>
      </c>
      <c r="I949" s="220" t="s">
        <v>20</v>
      </c>
      <c r="J949" s="220" t="s">
        <v>15</v>
      </c>
      <c r="K949" s="220" t="s">
        <v>284</v>
      </c>
      <c r="L949" s="220" t="s">
        <v>283</v>
      </c>
      <c r="M949" s="220" t="s">
        <v>283</v>
      </c>
      <c r="N949" s="220" t="s">
        <v>283</v>
      </c>
      <c r="O949" s="221" t="s">
        <v>2</v>
      </c>
      <c r="P949" s="221" t="s">
        <v>2</v>
      </c>
      <c r="Q949" s="221" t="s">
        <v>2</v>
      </c>
      <c r="R949" s="221" t="s">
        <v>2</v>
      </c>
      <c r="S949" s="221" t="s">
        <v>16</v>
      </c>
      <c r="T949" s="221" t="s">
        <v>330</v>
      </c>
      <c r="U949" s="221" t="s">
        <v>250</v>
      </c>
      <c r="V949" s="221" t="s">
        <v>283</v>
      </c>
      <c r="W949" s="222" t="s">
        <v>283</v>
      </c>
      <c r="X949" s="222" t="s">
        <v>283</v>
      </c>
      <c r="Y949" s="223" t="s">
        <v>283</v>
      </c>
    </row>
    <row r="950" spans="1:25">
      <c r="A950" s="217">
        <v>18</v>
      </c>
      <c r="B950" s="218" t="str">
        <f>VLOOKUP(Tabel10[[#This Row],[Code]],Ruimtegroepen[[Code]:[Ruimte omschrijving]],2,FALSE)</f>
        <v>Gymzaal</v>
      </c>
      <c r="C950" s="219" t="s">
        <v>1073</v>
      </c>
      <c r="D950" s="218" t="s">
        <v>1</v>
      </c>
      <c r="E950" s="219" t="s">
        <v>99</v>
      </c>
      <c r="F950" s="219" t="s">
        <v>1075</v>
      </c>
      <c r="G950" s="224" t="s">
        <v>283</v>
      </c>
      <c r="H950" s="220" t="s">
        <v>2</v>
      </c>
      <c r="I950" s="220" t="s">
        <v>283</v>
      </c>
      <c r="J950" s="220" t="s">
        <v>283</v>
      </c>
      <c r="K950" s="220" t="s">
        <v>283</v>
      </c>
      <c r="L950" s="220" t="s">
        <v>283</v>
      </c>
      <c r="M950" s="220" t="s">
        <v>283</v>
      </c>
      <c r="N950" s="220" t="s">
        <v>283</v>
      </c>
      <c r="O950" s="221" t="s">
        <v>2</v>
      </c>
      <c r="P950" s="221" t="s">
        <v>2</v>
      </c>
      <c r="Q950" s="221" t="s">
        <v>2</v>
      </c>
      <c r="R950" s="221" t="s">
        <v>2</v>
      </c>
      <c r="S950" s="221" t="s">
        <v>16</v>
      </c>
      <c r="T950" s="221" t="s">
        <v>330</v>
      </c>
      <c r="U950" s="221" t="s">
        <v>250</v>
      </c>
      <c r="V950" s="221" t="s">
        <v>283</v>
      </c>
      <c r="W950" s="222" t="s">
        <v>283</v>
      </c>
      <c r="X950" s="222" t="s">
        <v>283</v>
      </c>
      <c r="Y950" s="223" t="s">
        <v>283</v>
      </c>
    </row>
    <row r="951" spans="1:25">
      <c r="A951" s="217">
        <v>18</v>
      </c>
      <c r="B951" s="218" t="str">
        <f>VLOOKUP(Tabel10[[#This Row],[Code]],Ruimtegroepen[[Code]:[Ruimte omschrijving]],2,FALSE)</f>
        <v>Gymzaal</v>
      </c>
      <c r="C951" s="219" t="s">
        <v>1073</v>
      </c>
      <c r="D951" s="218" t="s">
        <v>1</v>
      </c>
      <c r="E951" s="219" t="s">
        <v>1313</v>
      </c>
      <c r="F951" s="219" t="s">
        <v>1479</v>
      </c>
      <c r="G951" s="224" t="s">
        <v>283</v>
      </c>
      <c r="H951" s="220" t="s">
        <v>283</v>
      </c>
      <c r="I951" s="220" t="s">
        <v>20</v>
      </c>
      <c r="J951" s="220" t="s">
        <v>15</v>
      </c>
      <c r="K951" s="220" t="s">
        <v>284</v>
      </c>
      <c r="L951" s="220" t="s">
        <v>283</v>
      </c>
      <c r="M951" s="220" t="s">
        <v>283</v>
      </c>
      <c r="N951" s="220" t="s">
        <v>283</v>
      </c>
      <c r="O951" s="221" t="s">
        <v>2</v>
      </c>
      <c r="P951" s="221" t="s">
        <v>2</v>
      </c>
      <c r="Q951" s="221" t="s">
        <v>2</v>
      </c>
      <c r="R951" s="221" t="s">
        <v>2</v>
      </c>
      <c r="S951" s="221" t="s">
        <v>16</v>
      </c>
      <c r="T951" s="221" t="s">
        <v>330</v>
      </c>
      <c r="U951" s="221" t="s">
        <v>250</v>
      </c>
      <c r="V951" s="221" t="s">
        <v>283</v>
      </c>
      <c r="W951" s="222" t="s">
        <v>283</v>
      </c>
      <c r="X951" s="222" t="s">
        <v>283</v>
      </c>
      <c r="Y951" s="223" t="s">
        <v>283</v>
      </c>
    </row>
    <row r="952" spans="1:25">
      <c r="A952" s="217">
        <v>18</v>
      </c>
      <c r="B952" s="218" t="str">
        <f>VLOOKUP(Tabel10[[#This Row],[Code]],Ruimtegroepen[[Code]:[Ruimte omschrijving]],2,FALSE)</f>
        <v>Gymzaal</v>
      </c>
      <c r="C952" s="219" t="s">
        <v>1078</v>
      </c>
      <c r="D952" s="218" t="s">
        <v>21</v>
      </c>
      <c r="E952" s="219" t="s">
        <v>100</v>
      </c>
      <c r="F952" s="219" t="s">
        <v>1079</v>
      </c>
      <c r="G952" s="224" t="s">
        <v>283</v>
      </c>
      <c r="H952" s="220" t="s">
        <v>283</v>
      </c>
      <c r="I952" s="220" t="s">
        <v>18</v>
      </c>
      <c r="J952" s="220" t="s">
        <v>15</v>
      </c>
      <c r="K952" s="220" t="s">
        <v>283</v>
      </c>
      <c r="L952" s="220" t="s">
        <v>283</v>
      </c>
      <c r="M952" s="220" t="s">
        <v>283</v>
      </c>
      <c r="N952" s="220" t="s">
        <v>283</v>
      </c>
      <c r="O952" s="221" t="s">
        <v>20</v>
      </c>
      <c r="P952" s="221" t="s">
        <v>20</v>
      </c>
      <c r="Q952" s="221" t="s">
        <v>20</v>
      </c>
      <c r="R952" s="221" t="s">
        <v>15</v>
      </c>
      <c r="S952" s="221" t="s">
        <v>16</v>
      </c>
      <c r="T952" s="221" t="s">
        <v>330</v>
      </c>
      <c r="U952" s="221" t="s">
        <v>250</v>
      </c>
      <c r="V952" s="221" t="s">
        <v>283</v>
      </c>
      <c r="W952" s="222" t="s">
        <v>283</v>
      </c>
      <c r="X952" s="222" t="s">
        <v>283</v>
      </c>
      <c r="Y952" s="223" t="s">
        <v>283</v>
      </c>
    </row>
    <row r="953" spans="1:25">
      <c r="A953" s="217">
        <v>18</v>
      </c>
      <c r="B953" s="218" t="str">
        <f>VLOOKUP(Tabel10[[#This Row],[Code]],Ruimtegroepen[[Code]:[Ruimte omschrijving]],2,FALSE)</f>
        <v>Gymzaal</v>
      </c>
      <c r="C953" s="219" t="s">
        <v>1078</v>
      </c>
      <c r="D953" s="218" t="s">
        <v>21</v>
      </c>
      <c r="E953" s="219" t="s">
        <v>99</v>
      </c>
      <c r="F953" s="219" t="s">
        <v>1080</v>
      </c>
      <c r="G953" s="220" t="s">
        <v>18</v>
      </c>
      <c r="H953" s="220" t="s">
        <v>15</v>
      </c>
      <c r="I953" s="220" t="s">
        <v>283</v>
      </c>
      <c r="J953" s="220" t="s">
        <v>283</v>
      </c>
      <c r="K953" s="220" t="s">
        <v>283</v>
      </c>
      <c r="L953" s="220" t="s">
        <v>283</v>
      </c>
      <c r="M953" s="220" t="s">
        <v>283</v>
      </c>
      <c r="N953" s="220" t="s">
        <v>283</v>
      </c>
      <c r="O953" s="221" t="s">
        <v>20</v>
      </c>
      <c r="P953" s="221" t="s">
        <v>20</v>
      </c>
      <c r="Q953" s="221" t="s">
        <v>20</v>
      </c>
      <c r="R953" s="221" t="s">
        <v>15</v>
      </c>
      <c r="S953" s="221" t="s">
        <v>16</v>
      </c>
      <c r="T953" s="221" t="s">
        <v>330</v>
      </c>
      <c r="U953" s="221" t="s">
        <v>250</v>
      </c>
      <c r="V953" s="221" t="s">
        <v>283</v>
      </c>
      <c r="W953" s="222" t="s">
        <v>283</v>
      </c>
      <c r="X953" s="222" t="s">
        <v>283</v>
      </c>
      <c r="Y953" s="223" t="s">
        <v>283</v>
      </c>
    </row>
    <row r="954" spans="1:25">
      <c r="A954" s="217">
        <v>18</v>
      </c>
      <c r="B954" s="218" t="str">
        <f>VLOOKUP(Tabel10[[#This Row],[Code]],Ruimtegroepen[[Code]:[Ruimte omschrijving]],2,FALSE)</f>
        <v>Gymzaal</v>
      </c>
      <c r="C954" s="219" t="s">
        <v>1078</v>
      </c>
      <c r="D954" s="218" t="s">
        <v>21</v>
      </c>
      <c r="E954" s="219" t="s">
        <v>101</v>
      </c>
      <c r="F954" s="219" t="s">
        <v>1081</v>
      </c>
      <c r="G954" s="224" t="s">
        <v>283</v>
      </c>
      <c r="H954" s="220" t="s">
        <v>283</v>
      </c>
      <c r="I954" s="220" t="s">
        <v>18</v>
      </c>
      <c r="J954" s="220" t="s">
        <v>15</v>
      </c>
      <c r="K954" s="220" t="s">
        <v>284</v>
      </c>
      <c r="L954" s="220" t="s">
        <v>283</v>
      </c>
      <c r="M954" s="220" t="s">
        <v>283</v>
      </c>
      <c r="N954" s="220" t="s">
        <v>283</v>
      </c>
      <c r="O954" s="221" t="s">
        <v>20</v>
      </c>
      <c r="P954" s="221" t="s">
        <v>20</v>
      </c>
      <c r="Q954" s="221" t="s">
        <v>20</v>
      </c>
      <c r="R954" s="221" t="s">
        <v>15</v>
      </c>
      <c r="S954" s="221" t="s">
        <v>16</v>
      </c>
      <c r="T954" s="221" t="s">
        <v>330</v>
      </c>
      <c r="U954" s="221" t="s">
        <v>250</v>
      </c>
      <c r="V954" s="221" t="s">
        <v>283</v>
      </c>
      <c r="W954" s="222" t="s">
        <v>283</v>
      </c>
      <c r="X954" s="222" t="s">
        <v>283</v>
      </c>
      <c r="Y954" s="223" t="s">
        <v>283</v>
      </c>
    </row>
    <row r="955" spans="1:25">
      <c r="A955" s="217">
        <v>18</v>
      </c>
      <c r="B955" s="218" t="str">
        <f>VLOOKUP(Tabel10[[#This Row],[Code]],Ruimtegroepen[[Code]:[Ruimte omschrijving]],2,FALSE)</f>
        <v>Gymzaal</v>
      </c>
      <c r="C955" s="219" t="s">
        <v>1078</v>
      </c>
      <c r="D955" s="218" t="s">
        <v>21</v>
      </c>
      <c r="E955" s="219" t="s">
        <v>102</v>
      </c>
      <c r="F955" s="219" t="s">
        <v>1082</v>
      </c>
      <c r="G955" s="224" t="s">
        <v>283</v>
      </c>
      <c r="H955" s="220" t="s">
        <v>283</v>
      </c>
      <c r="I955" s="220" t="s">
        <v>18</v>
      </c>
      <c r="J955" s="220" t="s">
        <v>15</v>
      </c>
      <c r="K955" s="220" t="s">
        <v>284</v>
      </c>
      <c r="L955" s="220" t="s">
        <v>283</v>
      </c>
      <c r="M955" s="220" t="s">
        <v>283</v>
      </c>
      <c r="N955" s="220" t="s">
        <v>283</v>
      </c>
      <c r="O955" s="221" t="s">
        <v>20</v>
      </c>
      <c r="P955" s="221" t="s">
        <v>20</v>
      </c>
      <c r="Q955" s="221" t="s">
        <v>20</v>
      </c>
      <c r="R955" s="221" t="s">
        <v>15</v>
      </c>
      <c r="S955" s="221" t="s">
        <v>16</v>
      </c>
      <c r="T955" s="221" t="s">
        <v>330</v>
      </c>
      <c r="U955" s="221" t="s">
        <v>250</v>
      </c>
      <c r="V955" s="221" t="s">
        <v>283</v>
      </c>
      <c r="W955" s="222" t="s">
        <v>283</v>
      </c>
      <c r="X955" s="222" t="s">
        <v>283</v>
      </c>
      <c r="Y955" s="223" t="s">
        <v>283</v>
      </c>
    </row>
    <row r="956" spans="1:25">
      <c r="A956" s="217">
        <v>18</v>
      </c>
      <c r="B956" s="218" t="str">
        <f>VLOOKUP(Tabel10[[#This Row],[Code]],Ruimtegroepen[[Code]:[Ruimte omschrijving]],2,FALSE)</f>
        <v>Gymzaal</v>
      </c>
      <c r="C956" s="219" t="s">
        <v>1078</v>
      </c>
      <c r="D956" s="218" t="s">
        <v>21</v>
      </c>
      <c r="E956" s="219" t="s">
        <v>99</v>
      </c>
      <c r="F956" s="219" t="s">
        <v>1080</v>
      </c>
      <c r="G956" s="224" t="s">
        <v>283</v>
      </c>
      <c r="H956" s="220" t="s">
        <v>20</v>
      </c>
      <c r="I956" s="220" t="s">
        <v>283</v>
      </c>
      <c r="J956" s="220" t="s">
        <v>283</v>
      </c>
      <c r="K956" s="220" t="s">
        <v>283</v>
      </c>
      <c r="L956" s="220" t="s">
        <v>283</v>
      </c>
      <c r="M956" s="220" t="s">
        <v>283</v>
      </c>
      <c r="N956" s="220" t="s">
        <v>283</v>
      </c>
      <c r="O956" s="221" t="s">
        <v>20</v>
      </c>
      <c r="P956" s="221" t="s">
        <v>20</v>
      </c>
      <c r="Q956" s="221" t="s">
        <v>20</v>
      </c>
      <c r="R956" s="221" t="s">
        <v>15</v>
      </c>
      <c r="S956" s="221" t="s">
        <v>16</v>
      </c>
      <c r="T956" s="221" t="s">
        <v>330</v>
      </c>
      <c r="U956" s="221" t="s">
        <v>250</v>
      </c>
      <c r="V956" s="221" t="s">
        <v>283</v>
      </c>
      <c r="W956" s="222" t="s">
        <v>283</v>
      </c>
      <c r="X956" s="222" t="s">
        <v>283</v>
      </c>
      <c r="Y956" s="223" t="s">
        <v>283</v>
      </c>
    </row>
    <row r="957" spans="1:25">
      <c r="A957" s="217">
        <v>18</v>
      </c>
      <c r="B957" s="218" t="str">
        <f>VLOOKUP(Tabel10[[#This Row],[Code]],Ruimtegroepen[[Code]:[Ruimte omschrijving]],2,FALSE)</f>
        <v>Gymzaal</v>
      </c>
      <c r="C957" s="219" t="s">
        <v>1078</v>
      </c>
      <c r="D957" s="218" t="s">
        <v>21</v>
      </c>
      <c r="E957" s="219" t="s">
        <v>1313</v>
      </c>
      <c r="F957" s="219" t="s">
        <v>1462</v>
      </c>
      <c r="G957" s="224" t="s">
        <v>283</v>
      </c>
      <c r="H957" s="220" t="s">
        <v>283</v>
      </c>
      <c r="I957" s="220" t="s">
        <v>18</v>
      </c>
      <c r="J957" s="220" t="s">
        <v>15</v>
      </c>
      <c r="K957" s="220" t="s">
        <v>284</v>
      </c>
      <c r="L957" s="220" t="s">
        <v>283</v>
      </c>
      <c r="M957" s="220" t="s">
        <v>283</v>
      </c>
      <c r="N957" s="220" t="s">
        <v>283</v>
      </c>
      <c r="O957" s="221" t="s">
        <v>20</v>
      </c>
      <c r="P957" s="221" t="s">
        <v>20</v>
      </c>
      <c r="Q957" s="221" t="s">
        <v>20</v>
      </c>
      <c r="R957" s="221" t="s">
        <v>15</v>
      </c>
      <c r="S957" s="221" t="s">
        <v>16</v>
      </c>
      <c r="T957" s="221" t="s">
        <v>330</v>
      </c>
      <c r="U957" s="221" t="s">
        <v>250</v>
      </c>
      <c r="V957" s="221" t="s">
        <v>283</v>
      </c>
      <c r="W957" s="222" t="s">
        <v>283</v>
      </c>
      <c r="X957" s="222" t="s">
        <v>283</v>
      </c>
      <c r="Y957" s="223" t="s">
        <v>283</v>
      </c>
    </row>
    <row r="958" spans="1:25">
      <c r="A958" s="217">
        <v>18</v>
      </c>
      <c r="B958" s="218" t="str">
        <f>VLOOKUP(Tabel10[[#This Row],[Code]],Ruimtegroepen[[Code]:[Ruimte omschrijving]],2,FALSE)</f>
        <v>Gymzaal</v>
      </c>
      <c r="C958" s="219" t="s">
        <v>1083</v>
      </c>
      <c r="D958" s="218" t="s">
        <v>12</v>
      </c>
      <c r="E958" s="219" t="s">
        <v>100</v>
      </c>
      <c r="F958" s="219" t="s">
        <v>1084</v>
      </c>
      <c r="G958" s="224" t="s">
        <v>283</v>
      </c>
      <c r="H958" s="220" t="s">
        <v>283</v>
      </c>
      <c r="I958" s="220" t="s">
        <v>17</v>
      </c>
      <c r="J958" s="220" t="s">
        <v>15</v>
      </c>
      <c r="K958" s="220" t="s">
        <v>283</v>
      </c>
      <c r="L958" s="220" t="s">
        <v>283</v>
      </c>
      <c r="M958" s="220" t="s">
        <v>283</v>
      </c>
      <c r="N958" s="220" t="s">
        <v>283</v>
      </c>
      <c r="O958" s="221" t="s">
        <v>18</v>
      </c>
      <c r="P958" s="221" t="s">
        <v>18</v>
      </c>
      <c r="Q958" s="221" t="s">
        <v>18</v>
      </c>
      <c r="R958" s="221" t="s">
        <v>15</v>
      </c>
      <c r="S958" s="221" t="s">
        <v>16</v>
      </c>
      <c r="T958" s="221" t="s">
        <v>330</v>
      </c>
      <c r="U958" s="221" t="s">
        <v>250</v>
      </c>
      <c r="V958" s="221" t="s">
        <v>283</v>
      </c>
      <c r="W958" s="222" t="s">
        <v>283</v>
      </c>
      <c r="X958" s="222" t="s">
        <v>283</v>
      </c>
      <c r="Y958" s="223" t="s">
        <v>283</v>
      </c>
    </row>
    <row r="959" spans="1:25">
      <c r="A959" s="217">
        <v>18</v>
      </c>
      <c r="B959" s="218" t="str">
        <f>VLOOKUP(Tabel10[[#This Row],[Code]],Ruimtegroepen[[Code]:[Ruimte omschrijving]],2,FALSE)</f>
        <v>Gymzaal</v>
      </c>
      <c r="C959" s="230" t="s">
        <v>1083</v>
      </c>
      <c r="D959" s="218" t="s">
        <v>12</v>
      </c>
      <c r="E959" s="219" t="s">
        <v>99</v>
      </c>
      <c r="F959" s="219" t="s">
        <v>1085</v>
      </c>
      <c r="G959" s="226" t="s">
        <v>17</v>
      </c>
      <c r="H959" s="226" t="s">
        <v>15</v>
      </c>
      <c r="I959" s="220" t="s">
        <v>283</v>
      </c>
      <c r="J959" s="226" t="s">
        <v>283</v>
      </c>
      <c r="K959" s="226" t="s">
        <v>283</v>
      </c>
      <c r="L959" s="220" t="s">
        <v>283</v>
      </c>
      <c r="M959" s="220" t="s">
        <v>283</v>
      </c>
      <c r="N959" s="226" t="s">
        <v>283</v>
      </c>
      <c r="O959" s="227" t="s">
        <v>18</v>
      </c>
      <c r="P959" s="227" t="s">
        <v>18</v>
      </c>
      <c r="Q959" s="227" t="s">
        <v>18</v>
      </c>
      <c r="R959" s="227" t="s">
        <v>15</v>
      </c>
      <c r="S959" s="221" t="s">
        <v>16</v>
      </c>
      <c r="T959" s="221" t="s">
        <v>330</v>
      </c>
      <c r="U959" s="221" t="s">
        <v>250</v>
      </c>
      <c r="V959" s="227" t="s">
        <v>283</v>
      </c>
      <c r="W959" s="228" t="s">
        <v>283</v>
      </c>
      <c r="X959" s="228" t="s">
        <v>283</v>
      </c>
      <c r="Y959" s="229" t="s">
        <v>283</v>
      </c>
    </row>
    <row r="960" spans="1:25">
      <c r="A960" s="217">
        <v>18</v>
      </c>
      <c r="B960" s="218" t="str">
        <f>VLOOKUP(Tabel10[[#This Row],[Code]],Ruimtegroepen[[Code]:[Ruimte omschrijving]],2,FALSE)</f>
        <v>Gymzaal</v>
      </c>
      <c r="C960" s="219" t="s">
        <v>1083</v>
      </c>
      <c r="D960" s="218" t="s">
        <v>12</v>
      </c>
      <c r="E960" s="219" t="s">
        <v>101</v>
      </c>
      <c r="F960" s="219" t="s">
        <v>1086</v>
      </c>
      <c r="G960" s="224" t="s">
        <v>283</v>
      </c>
      <c r="H960" s="220" t="s">
        <v>283</v>
      </c>
      <c r="I960" s="220" t="s">
        <v>17</v>
      </c>
      <c r="J960" s="220" t="s">
        <v>15</v>
      </c>
      <c r="K960" s="220" t="s">
        <v>284</v>
      </c>
      <c r="L960" s="220" t="s">
        <v>283</v>
      </c>
      <c r="M960" s="220" t="s">
        <v>283</v>
      </c>
      <c r="N960" s="220" t="s">
        <v>283</v>
      </c>
      <c r="O960" s="221" t="s">
        <v>18</v>
      </c>
      <c r="P960" s="221" t="s">
        <v>18</v>
      </c>
      <c r="Q960" s="221" t="s">
        <v>18</v>
      </c>
      <c r="R960" s="221" t="s">
        <v>15</v>
      </c>
      <c r="S960" s="221" t="s">
        <v>16</v>
      </c>
      <c r="T960" s="221" t="s">
        <v>330</v>
      </c>
      <c r="U960" s="221" t="s">
        <v>250</v>
      </c>
      <c r="V960" s="221" t="s">
        <v>283</v>
      </c>
      <c r="W960" s="222" t="s">
        <v>283</v>
      </c>
      <c r="X960" s="222" t="s">
        <v>283</v>
      </c>
      <c r="Y960" s="223" t="s">
        <v>283</v>
      </c>
    </row>
    <row r="961" spans="1:25">
      <c r="A961" s="217">
        <v>18</v>
      </c>
      <c r="B961" s="218" t="str">
        <f>VLOOKUP(Tabel10[[#This Row],[Code]],Ruimtegroepen[[Code]:[Ruimte omschrijving]],2,FALSE)</f>
        <v>Gymzaal</v>
      </c>
      <c r="C961" s="219" t="s">
        <v>1083</v>
      </c>
      <c r="D961" s="218" t="s">
        <v>12</v>
      </c>
      <c r="E961" s="219" t="s">
        <v>102</v>
      </c>
      <c r="F961" s="219" t="s">
        <v>1087</v>
      </c>
      <c r="G961" s="224" t="s">
        <v>283</v>
      </c>
      <c r="H961" s="220" t="s">
        <v>283</v>
      </c>
      <c r="I961" s="220" t="s">
        <v>17</v>
      </c>
      <c r="J961" s="220" t="s">
        <v>15</v>
      </c>
      <c r="K961" s="220" t="s">
        <v>284</v>
      </c>
      <c r="L961" s="220" t="s">
        <v>283</v>
      </c>
      <c r="M961" s="220" t="s">
        <v>283</v>
      </c>
      <c r="N961" s="220" t="s">
        <v>283</v>
      </c>
      <c r="O961" s="221" t="s">
        <v>18</v>
      </c>
      <c r="P961" s="221" t="s">
        <v>18</v>
      </c>
      <c r="Q961" s="221" t="s">
        <v>18</v>
      </c>
      <c r="R961" s="221" t="s">
        <v>15</v>
      </c>
      <c r="S961" s="221" t="s">
        <v>16</v>
      </c>
      <c r="T961" s="221" t="s">
        <v>330</v>
      </c>
      <c r="U961" s="221" t="s">
        <v>250</v>
      </c>
      <c r="V961" s="221" t="s">
        <v>283</v>
      </c>
      <c r="W961" s="222" t="s">
        <v>283</v>
      </c>
      <c r="X961" s="222" t="s">
        <v>283</v>
      </c>
      <c r="Y961" s="223" t="s">
        <v>283</v>
      </c>
    </row>
    <row r="962" spans="1:25">
      <c r="A962" s="217">
        <v>18</v>
      </c>
      <c r="B962" s="218" t="str">
        <f>VLOOKUP(Tabel10[[#This Row],[Code]],Ruimtegroepen[[Code]:[Ruimte omschrijving]],2,FALSE)</f>
        <v>Gymzaal</v>
      </c>
      <c r="C962" s="219" t="s">
        <v>1083</v>
      </c>
      <c r="D962" s="218" t="s">
        <v>12</v>
      </c>
      <c r="E962" s="219" t="s">
        <v>99</v>
      </c>
      <c r="F962" s="219" t="s">
        <v>1085</v>
      </c>
      <c r="G962" s="224" t="s">
        <v>283</v>
      </c>
      <c r="H962" s="220" t="s">
        <v>18</v>
      </c>
      <c r="I962" s="220" t="s">
        <v>283</v>
      </c>
      <c r="J962" s="220" t="s">
        <v>283</v>
      </c>
      <c r="K962" s="220" t="s">
        <v>283</v>
      </c>
      <c r="L962" s="220" t="s">
        <v>283</v>
      </c>
      <c r="M962" s="220" t="s">
        <v>283</v>
      </c>
      <c r="N962" s="220" t="s">
        <v>283</v>
      </c>
      <c r="O962" s="221" t="s">
        <v>18</v>
      </c>
      <c r="P962" s="221" t="s">
        <v>18</v>
      </c>
      <c r="Q962" s="221" t="s">
        <v>18</v>
      </c>
      <c r="R962" s="221" t="s">
        <v>15</v>
      </c>
      <c r="S962" s="221" t="s">
        <v>16</v>
      </c>
      <c r="T962" s="221" t="s">
        <v>330</v>
      </c>
      <c r="U962" s="221" t="s">
        <v>250</v>
      </c>
      <c r="V962" s="221" t="s">
        <v>283</v>
      </c>
      <c r="W962" s="222" t="s">
        <v>283</v>
      </c>
      <c r="X962" s="222" t="s">
        <v>283</v>
      </c>
      <c r="Y962" s="223" t="s">
        <v>283</v>
      </c>
    </row>
    <row r="963" spans="1:25">
      <c r="A963" s="217">
        <v>18</v>
      </c>
      <c r="B963" s="218" t="str">
        <f>VLOOKUP(Tabel10[[#This Row],[Code]],Ruimtegroepen[[Code]:[Ruimte omschrijving]],2,FALSE)</f>
        <v>Gymzaal</v>
      </c>
      <c r="C963" s="219" t="s">
        <v>1083</v>
      </c>
      <c r="D963" s="218" t="s">
        <v>12</v>
      </c>
      <c r="E963" s="219" t="s">
        <v>1313</v>
      </c>
      <c r="F963" s="219" t="s">
        <v>1444</v>
      </c>
      <c r="G963" s="224" t="s">
        <v>283</v>
      </c>
      <c r="H963" s="220" t="s">
        <v>283</v>
      </c>
      <c r="I963" s="220" t="s">
        <v>17</v>
      </c>
      <c r="J963" s="220" t="s">
        <v>15</v>
      </c>
      <c r="K963" s="220" t="s">
        <v>284</v>
      </c>
      <c r="L963" s="220" t="s">
        <v>283</v>
      </c>
      <c r="M963" s="220" t="s">
        <v>283</v>
      </c>
      <c r="N963" s="220" t="s">
        <v>283</v>
      </c>
      <c r="O963" s="221" t="s">
        <v>18</v>
      </c>
      <c r="P963" s="221" t="s">
        <v>18</v>
      </c>
      <c r="Q963" s="221" t="s">
        <v>18</v>
      </c>
      <c r="R963" s="221" t="s">
        <v>15</v>
      </c>
      <c r="S963" s="221" t="s">
        <v>16</v>
      </c>
      <c r="T963" s="221" t="s">
        <v>330</v>
      </c>
      <c r="U963" s="221" t="s">
        <v>250</v>
      </c>
      <c r="V963" s="221" t="s">
        <v>283</v>
      </c>
      <c r="W963" s="222" t="s">
        <v>283</v>
      </c>
      <c r="X963" s="222" t="s">
        <v>283</v>
      </c>
      <c r="Y963" s="223" t="s">
        <v>283</v>
      </c>
    </row>
    <row r="964" spans="1:25">
      <c r="A964" s="217">
        <v>18</v>
      </c>
      <c r="B964" s="218" t="str">
        <f>VLOOKUP(Tabel10[[#This Row],[Code]],Ruimtegroepen[[Code]:[Ruimte omschrijving]],2,FALSE)</f>
        <v>Gymzaal</v>
      </c>
      <c r="C964" s="219" t="s">
        <v>1088</v>
      </c>
      <c r="D964" s="218" t="s">
        <v>14</v>
      </c>
      <c r="E964" s="219" t="s">
        <v>100</v>
      </c>
      <c r="F964" s="219" t="s">
        <v>1089</v>
      </c>
      <c r="G964" s="224" t="s">
        <v>283</v>
      </c>
      <c r="H964" s="220" t="s">
        <v>283</v>
      </c>
      <c r="I964" s="220" t="s">
        <v>17</v>
      </c>
      <c r="J964" s="220" t="s">
        <v>15</v>
      </c>
      <c r="K964" s="220" t="s">
        <v>283</v>
      </c>
      <c r="L964" s="220" t="s">
        <v>283</v>
      </c>
      <c r="M964" s="220" t="s">
        <v>283</v>
      </c>
      <c r="N964" s="220" t="s">
        <v>283</v>
      </c>
      <c r="O964" s="221" t="s">
        <v>17</v>
      </c>
      <c r="P964" s="221" t="s">
        <v>17</v>
      </c>
      <c r="Q964" s="221" t="s">
        <v>17</v>
      </c>
      <c r="R964" s="221" t="s">
        <v>15</v>
      </c>
      <c r="S964" s="221" t="s">
        <v>16</v>
      </c>
      <c r="T964" s="221" t="s">
        <v>330</v>
      </c>
      <c r="U964" s="221" t="s">
        <v>250</v>
      </c>
      <c r="V964" s="221" t="s">
        <v>283</v>
      </c>
      <c r="W964" s="222" t="s">
        <v>283</v>
      </c>
      <c r="X964" s="222" t="s">
        <v>283</v>
      </c>
      <c r="Y964" s="223" t="s">
        <v>283</v>
      </c>
    </row>
    <row r="965" spans="1:25">
      <c r="A965" s="217">
        <v>18</v>
      </c>
      <c r="B965" s="218" t="str">
        <f>VLOOKUP(Tabel10[[#This Row],[Code]],Ruimtegroepen[[Code]:[Ruimte omschrijving]],2,FALSE)</f>
        <v>Gymzaal</v>
      </c>
      <c r="C965" s="219" t="s">
        <v>1088</v>
      </c>
      <c r="D965" s="218" t="s">
        <v>14</v>
      </c>
      <c r="E965" s="219" t="s">
        <v>99</v>
      </c>
      <c r="F965" s="219" t="s">
        <v>1090</v>
      </c>
      <c r="G965" s="220" t="s">
        <v>15</v>
      </c>
      <c r="H965" s="220" t="s">
        <v>15</v>
      </c>
      <c r="I965" s="220" t="s">
        <v>283</v>
      </c>
      <c r="J965" s="220" t="s">
        <v>283</v>
      </c>
      <c r="K965" s="220" t="s">
        <v>283</v>
      </c>
      <c r="L965" s="220" t="s">
        <v>283</v>
      </c>
      <c r="M965" s="220" t="s">
        <v>283</v>
      </c>
      <c r="N965" s="220" t="s">
        <v>283</v>
      </c>
      <c r="O965" s="221" t="s">
        <v>17</v>
      </c>
      <c r="P965" s="221" t="s">
        <v>17</v>
      </c>
      <c r="Q965" s="221" t="s">
        <v>17</v>
      </c>
      <c r="R965" s="221" t="s">
        <v>15</v>
      </c>
      <c r="S965" s="221" t="s">
        <v>16</v>
      </c>
      <c r="T965" s="221" t="s">
        <v>330</v>
      </c>
      <c r="U965" s="221" t="s">
        <v>250</v>
      </c>
      <c r="V965" s="221" t="s">
        <v>283</v>
      </c>
      <c r="W965" s="222" t="s">
        <v>283</v>
      </c>
      <c r="X965" s="222" t="s">
        <v>283</v>
      </c>
      <c r="Y965" s="223" t="s">
        <v>283</v>
      </c>
    </row>
    <row r="966" spans="1:25">
      <c r="A966" s="217">
        <v>18</v>
      </c>
      <c r="B966" s="218" t="str">
        <f>VLOOKUP(Tabel10[[#This Row],[Code]],Ruimtegroepen[[Code]:[Ruimte omschrijving]],2,FALSE)</f>
        <v>Gymzaal</v>
      </c>
      <c r="C966" s="219" t="s">
        <v>1088</v>
      </c>
      <c r="D966" s="218" t="s">
        <v>14</v>
      </c>
      <c r="E966" s="219" t="s">
        <v>101</v>
      </c>
      <c r="F966" s="219" t="s">
        <v>1091</v>
      </c>
      <c r="G966" s="224" t="s">
        <v>283</v>
      </c>
      <c r="H966" s="220" t="s">
        <v>283</v>
      </c>
      <c r="I966" s="220" t="s">
        <v>15</v>
      </c>
      <c r="J966" s="220" t="s">
        <v>15</v>
      </c>
      <c r="K966" s="220" t="s">
        <v>284</v>
      </c>
      <c r="L966" s="220" t="s">
        <v>283</v>
      </c>
      <c r="M966" s="220" t="s">
        <v>283</v>
      </c>
      <c r="N966" s="220" t="s">
        <v>283</v>
      </c>
      <c r="O966" s="221" t="s">
        <v>17</v>
      </c>
      <c r="P966" s="221" t="s">
        <v>17</v>
      </c>
      <c r="Q966" s="221" t="s">
        <v>17</v>
      </c>
      <c r="R966" s="221" t="s">
        <v>15</v>
      </c>
      <c r="S966" s="221" t="s">
        <v>16</v>
      </c>
      <c r="T966" s="221" t="s">
        <v>330</v>
      </c>
      <c r="U966" s="221" t="s">
        <v>250</v>
      </c>
      <c r="V966" s="221" t="s">
        <v>283</v>
      </c>
      <c r="W966" s="222" t="s">
        <v>283</v>
      </c>
      <c r="X966" s="222" t="s">
        <v>283</v>
      </c>
      <c r="Y966" s="223" t="s">
        <v>283</v>
      </c>
    </row>
    <row r="967" spans="1:25">
      <c r="A967" s="217">
        <v>18</v>
      </c>
      <c r="B967" s="218" t="str">
        <f>VLOOKUP(Tabel10[[#This Row],[Code]],Ruimtegroepen[[Code]:[Ruimte omschrijving]],2,FALSE)</f>
        <v>Gymzaal</v>
      </c>
      <c r="C967" s="219" t="s">
        <v>1088</v>
      </c>
      <c r="D967" s="218" t="s">
        <v>14</v>
      </c>
      <c r="E967" s="219" t="s">
        <v>102</v>
      </c>
      <c r="F967" s="219" t="s">
        <v>1092</v>
      </c>
      <c r="G967" s="224" t="s">
        <v>283</v>
      </c>
      <c r="H967" s="220" t="s">
        <v>283</v>
      </c>
      <c r="I967" s="220" t="s">
        <v>17</v>
      </c>
      <c r="J967" s="220" t="s">
        <v>15</v>
      </c>
      <c r="K967" s="220" t="s">
        <v>284</v>
      </c>
      <c r="L967" s="220" t="s">
        <v>283</v>
      </c>
      <c r="M967" s="220" t="s">
        <v>283</v>
      </c>
      <c r="N967" s="220" t="s">
        <v>283</v>
      </c>
      <c r="O967" s="221" t="s">
        <v>17</v>
      </c>
      <c r="P967" s="221" t="s">
        <v>17</v>
      </c>
      <c r="Q967" s="221" t="s">
        <v>17</v>
      </c>
      <c r="R967" s="221" t="s">
        <v>15</v>
      </c>
      <c r="S967" s="221" t="s">
        <v>16</v>
      </c>
      <c r="T967" s="221" t="s">
        <v>330</v>
      </c>
      <c r="U967" s="221" t="s">
        <v>250</v>
      </c>
      <c r="V967" s="221" t="s">
        <v>283</v>
      </c>
      <c r="W967" s="222" t="s">
        <v>283</v>
      </c>
      <c r="X967" s="222" t="s">
        <v>283</v>
      </c>
      <c r="Y967" s="223" t="s">
        <v>283</v>
      </c>
    </row>
    <row r="968" spans="1:25">
      <c r="A968" s="217">
        <v>18</v>
      </c>
      <c r="B968" s="218" t="str">
        <f>VLOOKUP(Tabel10[[#This Row],[Code]],Ruimtegroepen[[Code]:[Ruimte omschrijving]],2,FALSE)</f>
        <v>Gymzaal</v>
      </c>
      <c r="C968" s="219" t="s">
        <v>1088</v>
      </c>
      <c r="D968" s="218" t="s">
        <v>14</v>
      </c>
      <c r="E968" s="219" t="s">
        <v>99</v>
      </c>
      <c r="F968" s="219" t="s">
        <v>1090</v>
      </c>
      <c r="G968" s="224" t="s">
        <v>283</v>
      </c>
      <c r="H968" s="220" t="s">
        <v>17</v>
      </c>
      <c r="I968" s="220" t="s">
        <v>283</v>
      </c>
      <c r="J968" s="220" t="s">
        <v>283</v>
      </c>
      <c r="K968" s="220" t="s">
        <v>283</v>
      </c>
      <c r="L968" s="220" t="s">
        <v>283</v>
      </c>
      <c r="M968" s="220" t="s">
        <v>283</v>
      </c>
      <c r="N968" s="220" t="s">
        <v>283</v>
      </c>
      <c r="O968" s="221" t="s">
        <v>17</v>
      </c>
      <c r="P968" s="221" t="s">
        <v>17</v>
      </c>
      <c r="Q968" s="221" t="s">
        <v>17</v>
      </c>
      <c r="R968" s="221" t="s">
        <v>15</v>
      </c>
      <c r="S968" s="221" t="s">
        <v>16</v>
      </c>
      <c r="T968" s="221" t="s">
        <v>330</v>
      </c>
      <c r="U968" s="221" t="s">
        <v>250</v>
      </c>
      <c r="V968" s="221" t="s">
        <v>283</v>
      </c>
      <c r="W968" s="222" t="s">
        <v>283</v>
      </c>
      <c r="X968" s="222" t="s">
        <v>283</v>
      </c>
      <c r="Y968" s="223" t="s">
        <v>283</v>
      </c>
    </row>
    <row r="969" spans="1:25">
      <c r="A969" s="217">
        <v>18</v>
      </c>
      <c r="B969" s="218" t="str">
        <f>VLOOKUP(Tabel10[[#This Row],[Code]],Ruimtegroepen[[Code]:[Ruimte omschrijving]],2,FALSE)</f>
        <v>Gymzaal</v>
      </c>
      <c r="C969" s="219" t="s">
        <v>1088</v>
      </c>
      <c r="D969" s="218" t="s">
        <v>14</v>
      </c>
      <c r="E969" s="219" t="s">
        <v>1313</v>
      </c>
      <c r="F969" s="219" t="s">
        <v>1411</v>
      </c>
      <c r="G969" s="224" t="s">
        <v>283</v>
      </c>
      <c r="H969" s="220" t="s">
        <v>283</v>
      </c>
      <c r="I969" s="220" t="s">
        <v>17</v>
      </c>
      <c r="J969" s="220" t="s">
        <v>15</v>
      </c>
      <c r="K969" s="220" t="s">
        <v>284</v>
      </c>
      <c r="L969" s="220" t="s">
        <v>283</v>
      </c>
      <c r="M969" s="220" t="s">
        <v>283</v>
      </c>
      <c r="N969" s="220" t="s">
        <v>283</v>
      </c>
      <c r="O969" s="221" t="s">
        <v>17</v>
      </c>
      <c r="P969" s="221" t="s">
        <v>17</v>
      </c>
      <c r="Q969" s="221" t="s">
        <v>17</v>
      </c>
      <c r="R969" s="221" t="s">
        <v>15</v>
      </c>
      <c r="S969" s="221" t="s">
        <v>16</v>
      </c>
      <c r="T969" s="221" t="s">
        <v>330</v>
      </c>
      <c r="U969" s="221" t="s">
        <v>250</v>
      </c>
      <c r="V969" s="221" t="s">
        <v>283</v>
      </c>
      <c r="W969" s="222" t="s">
        <v>283</v>
      </c>
      <c r="X969" s="222" t="s">
        <v>283</v>
      </c>
      <c r="Y969" s="223" t="s">
        <v>283</v>
      </c>
    </row>
    <row r="970" spans="1:25">
      <c r="A970" s="217">
        <v>18</v>
      </c>
      <c r="B970" s="218" t="str">
        <f>VLOOKUP(Tabel10[[#This Row],[Code]],Ruimtegroepen[[Code]:[Ruimte omschrijving]],2,FALSE)</f>
        <v>Gymzaal</v>
      </c>
      <c r="C970" s="219" t="s">
        <v>1093</v>
      </c>
      <c r="D970" s="218" t="s">
        <v>13</v>
      </c>
      <c r="E970" s="219" t="s">
        <v>100</v>
      </c>
      <c r="F970" s="219" t="s">
        <v>1094</v>
      </c>
      <c r="G970" s="224" t="s">
        <v>283</v>
      </c>
      <c r="H970" s="220" t="s">
        <v>283</v>
      </c>
      <c r="I970" s="220" t="s">
        <v>15</v>
      </c>
      <c r="J970" s="220" t="s">
        <v>15</v>
      </c>
      <c r="K970" s="220" t="s">
        <v>283</v>
      </c>
      <c r="L970" s="220" t="s">
        <v>283</v>
      </c>
      <c r="M970" s="220" t="s">
        <v>283</v>
      </c>
      <c r="N970" s="220" t="s">
        <v>283</v>
      </c>
      <c r="O970" s="221" t="s">
        <v>15</v>
      </c>
      <c r="P970" s="221" t="s">
        <v>15</v>
      </c>
      <c r="Q970" s="221" t="s">
        <v>15</v>
      </c>
      <c r="R970" s="221" t="s">
        <v>15</v>
      </c>
      <c r="S970" s="221" t="s">
        <v>16</v>
      </c>
      <c r="T970" s="221" t="s">
        <v>330</v>
      </c>
      <c r="U970" s="221" t="s">
        <v>250</v>
      </c>
      <c r="V970" s="221" t="s">
        <v>283</v>
      </c>
      <c r="W970" s="222" t="s">
        <v>283</v>
      </c>
      <c r="X970" s="222" t="s">
        <v>283</v>
      </c>
      <c r="Y970" s="223" t="s">
        <v>283</v>
      </c>
    </row>
    <row r="971" spans="1:25">
      <c r="A971" s="217">
        <v>18</v>
      </c>
      <c r="B971" s="218" t="str">
        <f>VLOOKUP(Tabel10[[#This Row],[Code]],Ruimtegroepen[[Code]:[Ruimte omschrijving]],2,FALSE)</f>
        <v>Gymzaal</v>
      </c>
      <c r="C971" s="219" t="s">
        <v>1093</v>
      </c>
      <c r="D971" s="218" t="s">
        <v>13</v>
      </c>
      <c r="E971" s="219" t="s">
        <v>99</v>
      </c>
      <c r="F971" s="219" t="s">
        <v>1095</v>
      </c>
      <c r="G971" s="224" t="s">
        <v>283</v>
      </c>
      <c r="H971" s="220" t="s">
        <v>15</v>
      </c>
      <c r="I971" s="220" t="s">
        <v>283</v>
      </c>
      <c r="J971" s="220" t="s">
        <v>283</v>
      </c>
      <c r="K971" s="220" t="s">
        <v>283</v>
      </c>
      <c r="L971" s="220" t="s">
        <v>283</v>
      </c>
      <c r="M971" s="220" t="s">
        <v>283</v>
      </c>
      <c r="N971" s="220" t="s">
        <v>283</v>
      </c>
      <c r="O971" s="221" t="s">
        <v>15</v>
      </c>
      <c r="P971" s="221" t="s">
        <v>15</v>
      </c>
      <c r="Q971" s="221" t="s">
        <v>15</v>
      </c>
      <c r="R971" s="221" t="s">
        <v>15</v>
      </c>
      <c r="S971" s="221" t="s">
        <v>16</v>
      </c>
      <c r="T971" s="221" t="s">
        <v>330</v>
      </c>
      <c r="U971" s="221" t="s">
        <v>250</v>
      </c>
      <c r="V971" s="221" t="s">
        <v>283</v>
      </c>
      <c r="W971" s="222" t="s">
        <v>283</v>
      </c>
      <c r="X971" s="222" t="s">
        <v>283</v>
      </c>
      <c r="Y971" s="223" t="s">
        <v>283</v>
      </c>
    </row>
    <row r="972" spans="1:25">
      <c r="A972" s="217">
        <v>18</v>
      </c>
      <c r="B972" s="218" t="str">
        <f>VLOOKUP(Tabel10[[#This Row],[Code]],Ruimtegroepen[[Code]:[Ruimte omschrijving]],2,FALSE)</f>
        <v>Gymzaal</v>
      </c>
      <c r="C972" s="219" t="s">
        <v>1093</v>
      </c>
      <c r="D972" s="218" t="s">
        <v>13</v>
      </c>
      <c r="E972" s="219" t="s">
        <v>101</v>
      </c>
      <c r="F972" s="219" t="s">
        <v>1096</v>
      </c>
      <c r="G972" s="224" t="s">
        <v>283</v>
      </c>
      <c r="H972" s="220" t="s">
        <v>283</v>
      </c>
      <c r="I972" s="220" t="s">
        <v>283</v>
      </c>
      <c r="J972" s="220" t="s">
        <v>15</v>
      </c>
      <c r="K972" s="220" t="s">
        <v>284</v>
      </c>
      <c r="L972" s="220" t="s">
        <v>283</v>
      </c>
      <c r="M972" s="220" t="s">
        <v>283</v>
      </c>
      <c r="N972" s="220" t="s">
        <v>283</v>
      </c>
      <c r="O972" s="221" t="s">
        <v>15</v>
      </c>
      <c r="P972" s="221" t="s">
        <v>15</v>
      </c>
      <c r="Q972" s="221" t="s">
        <v>15</v>
      </c>
      <c r="R972" s="221" t="s">
        <v>15</v>
      </c>
      <c r="S972" s="221" t="s">
        <v>16</v>
      </c>
      <c r="T972" s="221" t="s">
        <v>330</v>
      </c>
      <c r="U972" s="221" t="s">
        <v>250</v>
      </c>
      <c r="V972" s="221" t="s">
        <v>283</v>
      </c>
      <c r="W972" s="222" t="s">
        <v>283</v>
      </c>
      <c r="X972" s="222" t="s">
        <v>283</v>
      </c>
      <c r="Y972" s="223" t="s">
        <v>283</v>
      </c>
    </row>
    <row r="973" spans="1:25">
      <c r="A973" s="217">
        <v>18</v>
      </c>
      <c r="B973" s="218" t="str">
        <f>VLOOKUP(Tabel10[[#This Row],[Code]],Ruimtegroepen[[Code]:[Ruimte omschrijving]],2,FALSE)</f>
        <v>Gymzaal</v>
      </c>
      <c r="C973" s="219" t="s">
        <v>1093</v>
      </c>
      <c r="D973" s="218" t="s">
        <v>13</v>
      </c>
      <c r="E973" s="219" t="s">
        <v>102</v>
      </c>
      <c r="F973" s="219" t="s">
        <v>1097</v>
      </c>
      <c r="G973" s="224" t="s">
        <v>283</v>
      </c>
      <c r="H973" s="220" t="s">
        <v>283</v>
      </c>
      <c r="I973" s="220" t="s">
        <v>15</v>
      </c>
      <c r="J973" s="220" t="s">
        <v>15</v>
      </c>
      <c r="K973" s="220" t="s">
        <v>284</v>
      </c>
      <c r="L973" s="220" t="s">
        <v>283</v>
      </c>
      <c r="M973" s="220" t="s">
        <v>283</v>
      </c>
      <c r="N973" s="220" t="s">
        <v>283</v>
      </c>
      <c r="O973" s="221" t="s">
        <v>15</v>
      </c>
      <c r="P973" s="221" t="s">
        <v>15</v>
      </c>
      <c r="Q973" s="221" t="s">
        <v>15</v>
      </c>
      <c r="R973" s="221" t="s">
        <v>15</v>
      </c>
      <c r="S973" s="221" t="s">
        <v>16</v>
      </c>
      <c r="T973" s="221" t="s">
        <v>330</v>
      </c>
      <c r="U973" s="221" t="s">
        <v>250</v>
      </c>
      <c r="V973" s="221" t="s">
        <v>283</v>
      </c>
      <c r="W973" s="222" t="s">
        <v>283</v>
      </c>
      <c r="X973" s="222" t="s">
        <v>283</v>
      </c>
      <c r="Y973" s="223" t="s">
        <v>283</v>
      </c>
    </row>
    <row r="974" spans="1:25">
      <c r="A974" s="217">
        <v>18</v>
      </c>
      <c r="B974" s="218" t="str">
        <f>VLOOKUP(Tabel10[[#This Row],[Code]],Ruimtegroepen[[Code]:[Ruimte omschrijving]],2,FALSE)</f>
        <v>Gymzaal</v>
      </c>
      <c r="C974" s="219" t="s">
        <v>1093</v>
      </c>
      <c r="D974" s="218" t="s">
        <v>13</v>
      </c>
      <c r="E974" s="219" t="s">
        <v>99</v>
      </c>
      <c r="F974" s="219" t="s">
        <v>1095</v>
      </c>
      <c r="G974" s="224" t="s">
        <v>283</v>
      </c>
      <c r="H974" s="220" t="s">
        <v>15</v>
      </c>
      <c r="I974" s="220" t="s">
        <v>283</v>
      </c>
      <c r="J974" s="220" t="s">
        <v>283</v>
      </c>
      <c r="K974" s="220" t="s">
        <v>283</v>
      </c>
      <c r="L974" s="220" t="s">
        <v>283</v>
      </c>
      <c r="M974" s="220" t="s">
        <v>283</v>
      </c>
      <c r="N974" s="220" t="s">
        <v>283</v>
      </c>
      <c r="O974" s="221" t="s">
        <v>15</v>
      </c>
      <c r="P974" s="221" t="s">
        <v>15</v>
      </c>
      <c r="Q974" s="221" t="s">
        <v>15</v>
      </c>
      <c r="R974" s="221" t="s">
        <v>15</v>
      </c>
      <c r="S974" s="221" t="s">
        <v>16</v>
      </c>
      <c r="T974" s="221" t="s">
        <v>330</v>
      </c>
      <c r="U974" s="221" t="s">
        <v>250</v>
      </c>
      <c r="V974" s="221" t="s">
        <v>283</v>
      </c>
      <c r="W974" s="222" t="s">
        <v>283</v>
      </c>
      <c r="X974" s="222" t="s">
        <v>283</v>
      </c>
      <c r="Y974" s="223" t="s">
        <v>283</v>
      </c>
    </row>
    <row r="975" spans="1:25">
      <c r="A975" s="217">
        <v>18</v>
      </c>
      <c r="B975" s="218" t="str">
        <f>VLOOKUP(Tabel10[[#This Row],[Code]],Ruimtegroepen[[Code]:[Ruimte omschrijving]],2,FALSE)</f>
        <v>Gymzaal</v>
      </c>
      <c r="C975" s="219" t="s">
        <v>1093</v>
      </c>
      <c r="D975" s="218" t="s">
        <v>13</v>
      </c>
      <c r="E975" s="219" t="s">
        <v>1313</v>
      </c>
      <c r="F975" s="219" t="s">
        <v>1378</v>
      </c>
      <c r="G975" s="224" t="s">
        <v>283</v>
      </c>
      <c r="H975" s="220" t="s">
        <v>283</v>
      </c>
      <c r="I975" s="220" t="s">
        <v>15</v>
      </c>
      <c r="J975" s="220" t="s">
        <v>15</v>
      </c>
      <c r="K975" s="220" t="s">
        <v>284</v>
      </c>
      <c r="L975" s="220" t="s">
        <v>283</v>
      </c>
      <c r="M975" s="220" t="s">
        <v>283</v>
      </c>
      <c r="N975" s="220" t="s">
        <v>283</v>
      </c>
      <c r="O975" s="221" t="s">
        <v>15</v>
      </c>
      <c r="P975" s="221" t="s">
        <v>15</v>
      </c>
      <c r="Q975" s="221" t="s">
        <v>15</v>
      </c>
      <c r="R975" s="221" t="s">
        <v>15</v>
      </c>
      <c r="S975" s="221" t="s">
        <v>16</v>
      </c>
      <c r="T975" s="221" t="s">
        <v>330</v>
      </c>
      <c r="U975" s="221" t="s">
        <v>250</v>
      </c>
      <c r="V975" s="221" t="s">
        <v>283</v>
      </c>
      <c r="W975" s="222" t="s">
        <v>283</v>
      </c>
      <c r="X975" s="222" t="s">
        <v>283</v>
      </c>
      <c r="Y975" s="223" t="s">
        <v>283</v>
      </c>
    </row>
    <row r="976" spans="1:25">
      <c r="A976" s="217">
        <v>18</v>
      </c>
      <c r="B976" s="218" t="str">
        <f>VLOOKUP(Tabel10[[#This Row],[Code]],Ruimtegroepen[[Code]:[Ruimte omschrijving]],2,FALSE)</f>
        <v>Gymzaal</v>
      </c>
      <c r="C976" s="219" t="s">
        <v>1098</v>
      </c>
      <c r="D976" s="218" t="s">
        <v>0</v>
      </c>
      <c r="E976" s="219" t="s">
        <v>100</v>
      </c>
      <c r="F976" s="219" t="s">
        <v>1099</v>
      </c>
      <c r="G976" s="224" t="s">
        <v>283</v>
      </c>
      <c r="H976" s="220" t="s">
        <v>283</v>
      </c>
      <c r="I976" s="220" t="s">
        <v>16</v>
      </c>
      <c r="J976" s="220" t="s">
        <v>283</v>
      </c>
      <c r="K976" s="220" t="s">
        <v>283</v>
      </c>
      <c r="L976" s="220" t="s">
        <v>283</v>
      </c>
      <c r="M976" s="220" t="s">
        <v>283</v>
      </c>
      <c r="N976" s="220" t="s">
        <v>283</v>
      </c>
      <c r="O976" s="221" t="s">
        <v>16</v>
      </c>
      <c r="P976" s="221" t="s">
        <v>16</v>
      </c>
      <c r="Q976" s="221" t="s">
        <v>16</v>
      </c>
      <c r="R976" s="221" t="s">
        <v>16</v>
      </c>
      <c r="S976" s="221" t="s">
        <v>16</v>
      </c>
      <c r="T976" s="221" t="s">
        <v>330</v>
      </c>
      <c r="U976" s="221" t="s">
        <v>250</v>
      </c>
      <c r="V976" s="221" t="s">
        <v>283</v>
      </c>
      <c r="W976" s="222" t="s">
        <v>283</v>
      </c>
      <c r="X976" s="222" t="s">
        <v>283</v>
      </c>
      <c r="Y976" s="223" t="s">
        <v>283</v>
      </c>
    </row>
    <row r="977" spans="1:25">
      <c r="A977" s="217">
        <v>18</v>
      </c>
      <c r="B977" s="218" t="str">
        <f>VLOOKUP(Tabel10[[#This Row],[Code]],Ruimtegroepen[[Code]:[Ruimte omschrijving]],2,FALSE)</f>
        <v>Gymzaal</v>
      </c>
      <c r="C977" s="219" t="s">
        <v>1098</v>
      </c>
      <c r="D977" s="218" t="s">
        <v>0</v>
      </c>
      <c r="E977" s="219" t="s">
        <v>99</v>
      </c>
      <c r="F977" s="219" t="s">
        <v>1100</v>
      </c>
      <c r="G977" s="224" t="s">
        <v>283</v>
      </c>
      <c r="H977" s="220" t="s">
        <v>16</v>
      </c>
      <c r="I977" s="220" t="s">
        <v>283</v>
      </c>
      <c r="J977" s="220" t="s">
        <v>283</v>
      </c>
      <c r="K977" s="220" t="s">
        <v>283</v>
      </c>
      <c r="L977" s="220" t="s">
        <v>283</v>
      </c>
      <c r="M977" s="220" t="s">
        <v>283</v>
      </c>
      <c r="N977" s="220" t="s">
        <v>283</v>
      </c>
      <c r="O977" s="221" t="s">
        <v>16</v>
      </c>
      <c r="P977" s="221" t="s">
        <v>16</v>
      </c>
      <c r="Q977" s="221" t="s">
        <v>16</v>
      </c>
      <c r="R977" s="221" t="s">
        <v>16</v>
      </c>
      <c r="S977" s="221" t="s">
        <v>16</v>
      </c>
      <c r="T977" s="221" t="s">
        <v>330</v>
      </c>
      <c r="U977" s="221" t="s">
        <v>250</v>
      </c>
      <c r="V977" s="221" t="s">
        <v>283</v>
      </c>
      <c r="W977" s="222" t="s">
        <v>283</v>
      </c>
      <c r="X977" s="222" t="s">
        <v>283</v>
      </c>
      <c r="Y977" s="223" t="s">
        <v>283</v>
      </c>
    </row>
    <row r="978" spans="1:25">
      <c r="A978" s="217">
        <v>18</v>
      </c>
      <c r="B978" s="218" t="str">
        <f>VLOOKUP(Tabel10[[#This Row],[Code]],Ruimtegroepen[[Code]:[Ruimte omschrijving]],2,FALSE)</f>
        <v>Gymzaal</v>
      </c>
      <c r="C978" s="219" t="s">
        <v>1098</v>
      </c>
      <c r="D978" s="218" t="s">
        <v>0</v>
      </c>
      <c r="E978" s="219" t="s">
        <v>101</v>
      </c>
      <c r="F978" s="219" t="s">
        <v>1101</v>
      </c>
      <c r="G978" s="224" t="s">
        <v>283</v>
      </c>
      <c r="H978" s="220" t="s">
        <v>283</v>
      </c>
      <c r="I978" s="220" t="s">
        <v>16</v>
      </c>
      <c r="J978" s="220" t="s">
        <v>283</v>
      </c>
      <c r="K978" s="220" t="s">
        <v>284</v>
      </c>
      <c r="L978" s="220" t="s">
        <v>283</v>
      </c>
      <c r="M978" s="220" t="s">
        <v>283</v>
      </c>
      <c r="N978" s="220" t="s">
        <v>283</v>
      </c>
      <c r="O978" s="221" t="s">
        <v>16</v>
      </c>
      <c r="P978" s="221" t="s">
        <v>16</v>
      </c>
      <c r="Q978" s="221" t="s">
        <v>16</v>
      </c>
      <c r="R978" s="221" t="s">
        <v>16</v>
      </c>
      <c r="S978" s="221" t="s">
        <v>16</v>
      </c>
      <c r="T978" s="221" t="s">
        <v>330</v>
      </c>
      <c r="U978" s="221" t="s">
        <v>250</v>
      </c>
      <c r="V978" s="221" t="s">
        <v>283</v>
      </c>
      <c r="W978" s="222" t="s">
        <v>283</v>
      </c>
      <c r="X978" s="222" t="s">
        <v>283</v>
      </c>
      <c r="Y978" s="223" t="s">
        <v>283</v>
      </c>
    </row>
    <row r="979" spans="1:25">
      <c r="A979" s="217">
        <v>18</v>
      </c>
      <c r="B979" s="218" t="str">
        <f>VLOOKUP(Tabel10[[#This Row],[Code]],Ruimtegroepen[[Code]:[Ruimte omschrijving]],2,FALSE)</f>
        <v>Gymzaal</v>
      </c>
      <c r="C979" s="219" t="s">
        <v>1098</v>
      </c>
      <c r="D979" s="218" t="s">
        <v>0</v>
      </c>
      <c r="E979" s="219" t="s">
        <v>102</v>
      </c>
      <c r="F979" s="219" t="s">
        <v>1102</v>
      </c>
      <c r="G979" s="224" t="s">
        <v>283</v>
      </c>
      <c r="H979" s="220" t="s">
        <v>283</v>
      </c>
      <c r="I979" s="220" t="s">
        <v>16</v>
      </c>
      <c r="J979" s="220" t="s">
        <v>283</v>
      </c>
      <c r="K979" s="220" t="s">
        <v>284</v>
      </c>
      <c r="L979" s="220" t="s">
        <v>283</v>
      </c>
      <c r="M979" s="220" t="s">
        <v>283</v>
      </c>
      <c r="N979" s="220" t="s">
        <v>283</v>
      </c>
      <c r="O979" s="221" t="s">
        <v>16</v>
      </c>
      <c r="P979" s="221" t="s">
        <v>16</v>
      </c>
      <c r="Q979" s="221" t="s">
        <v>16</v>
      </c>
      <c r="R979" s="221" t="s">
        <v>16</v>
      </c>
      <c r="S979" s="221" t="s">
        <v>16</v>
      </c>
      <c r="T979" s="221" t="s">
        <v>330</v>
      </c>
      <c r="U979" s="221" t="s">
        <v>250</v>
      </c>
      <c r="V979" s="221" t="s">
        <v>283</v>
      </c>
      <c r="W979" s="222" t="s">
        <v>283</v>
      </c>
      <c r="X979" s="222" t="s">
        <v>283</v>
      </c>
      <c r="Y979" s="223" t="s">
        <v>283</v>
      </c>
    </row>
    <row r="980" spans="1:25">
      <c r="A980" s="217">
        <v>18</v>
      </c>
      <c r="B980" s="218" t="str">
        <f>VLOOKUP(Tabel10[[#This Row],[Code]],Ruimtegroepen[[Code]:[Ruimte omschrijving]],2,FALSE)</f>
        <v>Gymzaal</v>
      </c>
      <c r="C980" s="219" t="s">
        <v>1098</v>
      </c>
      <c r="D980" s="218" t="s">
        <v>0</v>
      </c>
      <c r="E980" s="219" t="s">
        <v>99</v>
      </c>
      <c r="F980" s="219" t="s">
        <v>1100</v>
      </c>
      <c r="G980" s="224" t="s">
        <v>283</v>
      </c>
      <c r="H980" s="220" t="s">
        <v>16</v>
      </c>
      <c r="I980" s="220" t="s">
        <v>283</v>
      </c>
      <c r="J980" s="220" t="s">
        <v>283</v>
      </c>
      <c r="K980" s="220" t="s">
        <v>283</v>
      </c>
      <c r="L980" s="220" t="s">
        <v>283</v>
      </c>
      <c r="M980" s="220" t="s">
        <v>283</v>
      </c>
      <c r="N980" s="220" t="s">
        <v>283</v>
      </c>
      <c r="O980" s="221" t="s">
        <v>16</v>
      </c>
      <c r="P980" s="221" t="s">
        <v>16</v>
      </c>
      <c r="Q980" s="221" t="s">
        <v>16</v>
      </c>
      <c r="R980" s="221" t="s">
        <v>16</v>
      </c>
      <c r="S980" s="221" t="s">
        <v>16</v>
      </c>
      <c r="T980" s="221" t="s">
        <v>330</v>
      </c>
      <c r="U980" s="221" t="s">
        <v>250</v>
      </c>
      <c r="V980" s="221" t="s">
        <v>283</v>
      </c>
      <c r="W980" s="222" t="s">
        <v>283</v>
      </c>
      <c r="X980" s="222" t="s">
        <v>283</v>
      </c>
      <c r="Y980" s="223" t="s">
        <v>283</v>
      </c>
    </row>
    <row r="981" spans="1:25">
      <c r="A981" s="217">
        <v>18</v>
      </c>
      <c r="B981" s="218" t="str">
        <f>VLOOKUP(Tabel10[[#This Row],[Code]],Ruimtegroepen[[Code]:[Ruimte omschrijving]],2,FALSE)</f>
        <v>Gymzaal</v>
      </c>
      <c r="C981" s="219" t="s">
        <v>1098</v>
      </c>
      <c r="D981" s="218" t="s">
        <v>0</v>
      </c>
      <c r="E981" s="219" t="s">
        <v>1313</v>
      </c>
      <c r="F981" s="219" t="s">
        <v>1362</v>
      </c>
      <c r="G981" s="224" t="s">
        <v>283</v>
      </c>
      <c r="H981" s="220" t="s">
        <v>283</v>
      </c>
      <c r="I981" s="220" t="s">
        <v>16</v>
      </c>
      <c r="J981" s="220" t="s">
        <v>283</v>
      </c>
      <c r="K981" s="220" t="s">
        <v>284</v>
      </c>
      <c r="L981" s="220" t="s">
        <v>283</v>
      </c>
      <c r="M981" s="220" t="s">
        <v>283</v>
      </c>
      <c r="N981" s="220" t="s">
        <v>283</v>
      </c>
      <c r="O981" s="221" t="s">
        <v>16</v>
      </c>
      <c r="P981" s="221" t="s">
        <v>16</v>
      </c>
      <c r="Q981" s="221" t="s">
        <v>16</v>
      </c>
      <c r="R981" s="221" t="s">
        <v>16</v>
      </c>
      <c r="S981" s="221" t="s">
        <v>16</v>
      </c>
      <c r="T981" s="221" t="s">
        <v>330</v>
      </c>
      <c r="U981" s="221" t="s">
        <v>250</v>
      </c>
      <c r="V981" s="221" t="s">
        <v>283</v>
      </c>
      <c r="W981" s="222" t="s">
        <v>283</v>
      </c>
      <c r="X981" s="222" t="s">
        <v>283</v>
      </c>
      <c r="Y981" s="223" t="s">
        <v>283</v>
      </c>
    </row>
    <row r="982" spans="1:25">
      <c r="A982" s="217">
        <v>18</v>
      </c>
      <c r="B982" s="218" t="str">
        <f>VLOOKUP(Tabel10[[#This Row],[Code]],Ruimtegroepen[[Code]:[Ruimte omschrijving]],2,FALSE)</f>
        <v>Gymzaal</v>
      </c>
      <c r="C982" s="219" t="s">
        <v>1103</v>
      </c>
      <c r="D982" s="218" t="s">
        <v>27</v>
      </c>
      <c r="E982" s="219" t="s">
        <v>100</v>
      </c>
      <c r="F982" s="219" t="s">
        <v>1104</v>
      </c>
      <c r="G982" s="224" t="s">
        <v>283</v>
      </c>
      <c r="H982" s="220" t="s">
        <v>283</v>
      </c>
      <c r="I982" s="220" t="s">
        <v>15</v>
      </c>
      <c r="J982" s="220" t="s">
        <v>283</v>
      </c>
      <c r="K982" s="220" t="s">
        <v>283</v>
      </c>
      <c r="L982" s="220" t="s">
        <v>283</v>
      </c>
      <c r="M982" s="220" t="s">
        <v>283</v>
      </c>
      <c r="N982" s="220" t="s">
        <v>283</v>
      </c>
      <c r="O982" s="221" t="s">
        <v>15</v>
      </c>
      <c r="P982" s="221" t="s">
        <v>15</v>
      </c>
      <c r="Q982" s="221" t="s">
        <v>15</v>
      </c>
      <c r="R982" s="221" t="s">
        <v>15</v>
      </c>
      <c r="S982" s="221" t="s">
        <v>283</v>
      </c>
      <c r="T982" s="221" t="s">
        <v>283</v>
      </c>
      <c r="U982" s="221" t="s">
        <v>283</v>
      </c>
      <c r="V982" s="221" t="s">
        <v>283</v>
      </c>
      <c r="W982" s="222" t="s">
        <v>283</v>
      </c>
      <c r="X982" s="222" t="s">
        <v>283</v>
      </c>
      <c r="Y982" s="223" t="s">
        <v>283</v>
      </c>
    </row>
    <row r="983" spans="1:25">
      <c r="A983" s="217">
        <v>18</v>
      </c>
      <c r="B983" s="218" t="str">
        <f>VLOOKUP(Tabel10[[#This Row],[Code]],Ruimtegroepen[[Code]:[Ruimte omschrijving]],2,FALSE)</f>
        <v>Gymzaal</v>
      </c>
      <c r="C983" s="219" t="s">
        <v>1103</v>
      </c>
      <c r="D983" s="218" t="s">
        <v>27</v>
      </c>
      <c r="E983" s="219" t="s">
        <v>99</v>
      </c>
      <c r="F983" s="219" t="s">
        <v>1105</v>
      </c>
      <c r="G983" s="224" t="s">
        <v>283</v>
      </c>
      <c r="H983" s="220" t="s">
        <v>15</v>
      </c>
      <c r="I983" s="220" t="s">
        <v>283</v>
      </c>
      <c r="J983" s="220" t="s">
        <v>283</v>
      </c>
      <c r="K983" s="220" t="s">
        <v>283</v>
      </c>
      <c r="L983" s="220" t="s">
        <v>283</v>
      </c>
      <c r="M983" s="220" t="s">
        <v>283</v>
      </c>
      <c r="N983" s="220" t="s">
        <v>283</v>
      </c>
      <c r="O983" s="221" t="s">
        <v>15</v>
      </c>
      <c r="P983" s="221" t="s">
        <v>15</v>
      </c>
      <c r="Q983" s="221" t="s">
        <v>15</v>
      </c>
      <c r="R983" s="221" t="s">
        <v>15</v>
      </c>
      <c r="S983" s="221" t="s">
        <v>283</v>
      </c>
      <c r="T983" s="221" t="s">
        <v>283</v>
      </c>
      <c r="U983" s="221" t="s">
        <v>283</v>
      </c>
      <c r="V983" s="221" t="s">
        <v>283</v>
      </c>
      <c r="W983" s="222" t="s">
        <v>283</v>
      </c>
      <c r="X983" s="222" t="s">
        <v>283</v>
      </c>
      <c r="Y983" s="223" t="s">
        <v>283</v>
      </c>
    </row>
    <row r="984" spans="1:25">
      <c r="A984" s="217">
        <v>18</v>
      </c>
      <c r="B984" s="218" t="str">
        <f>VLOOKUP(Tabel10[[#This Row],[Code]],Ruimtegroepen[[Code]:[Ruimte omschrijving]],2,FALSE)</f>
        <v>Gymzaal</v>
      </c>
      <c r="C984" s="219" t="s">
        <v>1103</v>
      </c>
      <c r="D984" s="218" t="s">
        <v>27</v>
      </c>
      <c r="E984" s="219" t="s">
        <v>101</v>
      </c>
      <c r="F984" s="219" t="s">
        <v>1106</v>
      </c>
      <c r="G984" s="224" t="s">
        <v>283</v>
      </c>
      <c r="H984" s="220" t="s">
        <v>283</v>
      </c>
      <c r="I984" s="220" t="s">
        <v>15</v>
      </c>
      <c r="J984" s="220" t="s">
        <v>283</v>
      </c>
      <c r="K984" s="220" t="s">
        <v>283</v>
      </c>
      <c r="L984" s="220" t="s">
        <v>283</v>
      </c>
      <c r="M984" s="220" t="s">
        <v>283</v>
      </c>
      <c r="N984" s="220" t="s">
        <v>283</v>
      </c>
      <c r="O984" s="221" t="s">
        <v>15</v>
      </c>
      <c r="P984" s="221" t="s">
        <v>15</v>
      </c>
      <c r="Q984" s="221" t="s">
        <v>15</v>
      </c>
      <c r="R984" s="221" t="s">
        <v>15</v>
      </c>
      <c r="S984" s="221" t="s">
        <v>283</v>
      </c>
      <c r="T984" s="221" t="s">
        <v>283</v>
      </c>
      <c r="U984" s="221" t="s">
        <v>283</v>
      </c>
      <c r="V984" s="221" t="s">
        <v>283</v>
      </c>
      <c r="W984" s="222" t="s">
        <v>283</v>
      </c>
      <c r="X984" s="222" t="s">
        <v>283</v>
      </c>
      <c r="Y984" s="223" t="s">
        <v>283</v>
      </c>
    </row>
    <row r="985" spans="1:25">
      <c r="A985" s="217">
        <v>18</v>
      </c>
      <c r="B985" s="218" t="str">
        <f>VLOOKUP(Tabel10[[#This Row],[Code]],Ruimtegroepen[[Code]:[Ruimte omschrijving]],2,FALSE)</f>
        <v>Gymzaal</v>
      </c>
      <c r="C985" s="219" t="s">
        <v>1103</v>
      </c>
      <c r="D985" s="218" t="s">
        <v>27</v>
      </c>
      <c r="E985" s="219" t="s">
        <v>102</v>
      </c>
      <c r="F985" s="219" t="s">
        <v>1107</v>
      </c>
      <c r="G985" s="224" t="s">
        <v>283</v>
      </c>
      <c r="H985" s="220" t="s">
        <v>283</v>
      </c>
      <c r="I985" s="220" t="s">
        <v>15</v>
      </c>
      <c r="J985" s="220" t="s">
        <v>283</v>
      </c>
      <c r="K985" s="220" t="s">
        <v>283</v>
      </c>
      <c r="L985" s="220" t="s">
        <v>283</v>
      </c>
      <c r="M985" s="220" t="s">
        <v>283</v>
      </c>
      <c r="N985" s="220" t="s">
        <v>283</v>
      </c>
      <c r="O985" s="221" t="s">
        <v>15</v>
      </c>
      <c r="P985" s="221" t="s">
        <v>15</v>
      </c>
      <c r="Q985" s="221" t="s">
        <v>15</v>
      </c>
      <c r="R985" s="221" t="s">
        <v>15</v>
      </c>
      <c r="S985" s="221" t="s">
        <v>283</v>
      </c>
      <c r="T985" s="221" t="s">
        <v>283</v>
      </c>
      <c r="U985" s="221" t="s">
        <v>283</v>
      </c>
      <c r="V985" s="221" t="s">
        <v>283</v>
      </c>
      <c r="W985" s="222" t="s">
        <v>283</v>
      </c>
      <c r="X985" s="222" t="s">
        <v>283</v>
      </c>
      <c r="Y985" s="223" t="s">
        <v>283</v>
      </c>
    </row>
    <row r="986" spans="1:25">
      <c r="A986" s="217">
        <v>18</v>
      </c>
      <c r="B986" s="218" t="str">
        <f>VLOOKUP(Tabel10[[#This Row],[Code]],Ruimtegroepen[[Code]:[Ruimte omschrijving]],2,FALSE)</f>
        <v>Gymzaal</v>
      </c>
      <c r="C986" s="219" t="s">
        <v>1103</v>
      </c>
      <c r="D986" s="218" t="s">
        <v>27</v>
      </c>
      <c r="E986" s="219" t="s">
        <v>99</v>
      </c>
      <c r="F986" s="219" t="s">
        <v>1105</v>
      </c>
      <c r="G986" s="224" t="s">
        <v>283</v>
      </c>
      <c r="H986" s="220" t="s">
        <v>15</v>
      </c>
      <c r="I986" s="220" t="s">
        <v>283</v>
      </c>
      <c r="J986" s="220" t="s">
        <v>283</v>
      </c>
      <c r="K986" s="220" t="s">
        <v>283</v>
      </c>
      <c r="L986" s="220" t="s">
        <v>283</v>
      </c>
      <c r="M986" s="220" t="s">
        <v>283</v>
      </c>
      <c r="N986" s="220" t="s">
        <v>283</v>
      </c>
      <c r="O986" s="221" t="s">
        <v>15</v>
      </c>
      <c r="P986" s="221" t="s">
        <v>15</v>
      </c>
      <c r="Q986" s="221" t="s">
        <v>15</v>
      </c>
      <c r="R986" s="221" t="s">
        <v>15</v>
      </c>
      <c r="S986" s="221" t="s">
        <v>283</v>
      </c>
      <c r="T986" s="221" t="s">
        <v>283</v>
      </c>
      <c r="U986" s="221" t="s">
        <v>283</v>
      </c>
      <c r="V986" s="221" t="s">
        <v>283</v>
      </c>
      <c r="W986" s="222" t="s">
        <v>283</v>
      </c>
      <c r="X986" s="222" t="s">
        <v>283</v>
      </c>
      <c r="Y986" s="223" t="s">
        <v>283</v>
      </c>
    </row>
    <row r="987" spans="1:25">
      <c r="A987" s="217">
        <v>18</v>
      </c>
      <c r="B987" s="218" t="str">
        <f>VLOOKUP(Tabel10[[#This Row],[Code]],Ruimtegroepen[[Code]:[Ruimte omschrijving]],2,FALSE)</f>
        <v>Gymzaal</v>
      </c>
      <c r="C987" s="219" t="s">
        <v>1103</v>
      </c>
      <c r="D987" s="218" t="s">
        <v>27</v>
      </c>
      <c r="E987" s="219" t="s">
        <v>1313</v>
      </c>
      <c r="F987" s="219" t="s">
        <v>1395</v>
      </c>
      <c r="G987" s="224" t="s">
        <v>283</v>
      </c>
      <c r="H987" s="220" t="s">
        <v>283</v>
      </c>
      <c r="I987" s="220" t="s">
        <v>15</v>
      </c>
      <c r="J987" s="220" t="s">
        <v>283</v>
      </c>
      <c r="K987" s="220" t="s">
        <v>283</v>
      </c>
      <c r="L987" s="220" t="s">
        <v>283</v>
      </c>
      <c r="M987" s="220" t="s">
        <v>283</v>
      </c>
      <c r="N987" s="220" t="s">
        <v>283</v>
      </c>
      <c r="O987" s="221" t="s">
        <v>15</v>
      </c>
      <c r="P987" s="221" t="s">
        <v>15</v>
      </c>
      <c r="Q987" s="221" t="s">
        <v>15</v>
      </c>
      <c r="R987" s="221" t="s">
        <v>15</v>
      </c>
      <c r="S987" s="221" t="s">
        <v>283</v>
      </c>
      <c r="T987" s="221" t="s">
        <v>283</v>
      </c>
      <c r="U987" s="221" t="s">
        <v>283</v>
      </c>
      <c r="V987" s="221" t="s">
        <v>283</v>
      </c>
      <c r="W987" s="222" t="s">
        <v>283</v>
      </c>
      <c r="X987" s="222" t="s">
        <v>283</v>
      </c>
      <c r="Y987" s="223" t="s">
        <v>283</v>
      </c>
    </row>
    <row r="988" spans="1:25">
      <c r="A988" s="217">
        <v>18</v>
      </c>
      <c r="B988" s="218" t="str">
        <f>VLOOKUP(Tabel10[[#This Row],[Code]],Ruimtegroepen[[Code]:[Ruimte omschrijving]],2,FALSE)</f>
        <v>Gymzaal</v>
      </c>
      <c r="C988" s="219" t="s">
        <v>1108</v>
      </c>
      <c r="D988" s="218" t="s">
        <v>28</v>
      </c>
      <c r="E988" s="219" t="s">
        <v>100</v>
      </c>
      <c r="F988" s="219" t="s">
        <v>1109</v>
      </c>
      <c r="G988" s="224" t="s">
        <v>283</v>
      </c>
      <c r="H988" s="220" t="s">
        <v>283</v>
      </c>
      <c r="I988" s="220" t="s">
        <v>17</v>
      </c>
      <c r="J988" s="220" t="s">
        <v>283</v>
      </c>
      <c r="K988" s="220" t="s">
        <v>283</v>
      </c>
      <c r="L988" s="220" t="s">
        <v>283</v>
      </c>
      <c r="M988" s="220" t="s">
        <v>283</v>
      </c>
      <c r="N988" s="220" t="s">
        <v>283</v>
      </c>
      <c r="O988" s="221" t="s">
        <v>17</v>
      </c>
      <c r="P988" s="221" t="s">
        <v>17</v>
      </c>
      <c r="Q988" s="221" t="s">
        <v>17</v>
      </c>
      <c r="R988" s="221" t="s">
        <v>17</v>
      </c>
      <c r="S988" s="221" t="s">
        <v>283</v>
      </c>
      <c r="T988" s="221" t="s">
        <v>283</v>
      </c>
      <c r="U988" s="221" t="s">
        <v>283</v>
      </c>
      <c r="V988" s="221" t="s">
        <v>283</v>
      </c>
      <c r="W988" s="222" t="s">
        <v>283</v>
      </c>
      <c r="X988" s="222" t="s">
        <v>283</v>
      </c>
      <c r="Y988" s="223" t="s">
        <v>283</v>
      </c>
    </row>
    <row r="989" spans="1:25">
      <c r="A989" s="217">
        <v>18</v>
      </c>
      <c r="B989" s="218" t="str">
        <f>VLOOKUP(Tabel10[[#This Row],[Code]],Ruimtegroepen[[Code]:[Ruimte omschrijving]],2,FALSE)</f>
        <v>Gymzaal</v>
      </c>
      <c r="C989" s="219" t="s">
        <v>1108</v>
      </c>
      <c r="D989" s="218" t="s">
        <v>28</v>
      </c>
      <c r="E989" s="219" t="s">
        <v>99</v>
      </c>
      <c r="F989" s="219" t="s">
        <v>1110</v>
      </c>
      <c r="G989" s="224" t="s">
        <v>283</v>
      </c>
      <c r="H989" s="220" t="s">
        <v>17</v>
      </c>
      <c r="I989" s="220" t="s">
        <v>283</v>
      </c>
      <c r="J989" s="220" t="s">
        <v>283</v>
      </c>
      <c r="K989" s="220" t="s">
        <v>283</v>
      </c>
      <c r="L989" s="220" t="s">
        <v>283</v>
      </c>
      <c r="M989" s="220" t="s">
        <v>283</v>
      </c>
      <c r="N989" s="220" t="s">
        <v>283</v>
      </c>
      <c r="O989" s="221" t="s">
        <v>17</v>
      </c>
      <c r="P989" s="221" t="s">
        <v>17</v>
      </c>
      <c r="Q989" s="221" t="s">
        <v>17</v>
      </c>
      <c r="R989" s="221" t="s">
        <v>17</v>
      </c>
      <c r="S989" s="221" t="s">
        <v>283</v>
      </c>
      <c r="T989" s="221" t="s">
        <v>283</v>
      </c>
      <c r="U989" s="221" t="s">
        <v>283</v>
      </c>
      <c r="V989" s="221" t="s">
        <v>283</v>
      </c>
      <c r="W989" s="222" t="s">
        <v>283</v>
      </c>
      <c r="X989" s="222" t="s">
        <v>283</v>
      </c>
      <c r="Y989" s="223" t="s">
        <v>283</v>
      </c>
    </row>
    <row r="990" spans="1:25">
      <c r="A990" s="217">
        <v>18</v>
      </c>
      <c r="B990" s="218" t="str">
        <f>VLOOKUP(Tabel10[[#This Row],[Code]],Ruimtegroepen[[Code]:[Ruimte omschrijving]],2,FALSE)</f>
        <v>Gymzaal</v>
      </c>
      <c r="C990" s="219" t="s">
        <v>1108</v>
      </c>
      <c r="D990" s="218" t="s">
        <v>28</v>
      </c>
      <c r="E990" s="219" t="s">
        <v>101</v>
      </c>
      <c r="F990" s="219" t="s">
        <v>1111</v>
      </c>
      <c r="G990" s="224" t="s">
        <v>283</v>
      </c>
      <c r="H990" s="220" t="s">
        <v>283</v>
      </c>
      <c r="I990" s="220" t="s">
        <v>17</v>
      </c>
      <c r="J990" s="220" t="s">
        <v>283</v>
      </c>
      <c r="K990" s="220" t="s">
        <v>283</v>
      </c>
      <c r="L990" s="220" t="s">
        <v>283</v>
      </c>
      <c r="M990" s="220" t="s">
        <v>283</v>
      </c>
      <c r="N990" s="220" t="s">
        <v>283</v>
      </c>
      <c r="O990" s="221" t="s">
        <v>17</v>
      </c>
      <c r="P990" s="221" t="s">
        <v>17</v>
      </c>
      <c r="Q990" s="221" t="s">
        <v>17</v>
      </c>
      <c r="R990" s="221" t="s">
        <v>17</v>
      </c>
      <c r="S990" s="221" t="s">
        <v>283</v>
      </c>
      <c r="T990" s="221" t="s">
        <v>283</v>
      </c>
      <c r="U990" s="221" t="s">
        <v>283</v>
      </c>
      <c r="V990" s="221" t="s">
        <v>283</v>
      </c>
      <c r="W990" s="222" t="s">
        <v>283</v>
      </c>
      <c r="X990" s="222" t="s">
        <v>283</v>
      </c>
      <c r="Y990" s="223" t="s">
        <v>283</v>
      </c>
    </row>
    <row r="991" spans="1:25">
      <c r="A991" s="217">
        <v>18</v>
      </c>
      <c r="B991" s="218" t="str">
        <f>VLOOKUP(Tabel10[[#This Row],[Code]],Ruimtegroepen[[Code]:[Ruimte omschrijving]],2,FALSE)</f>
        <v>Gymzaal</v>
      </c>
      <c r="C991" s="219" t="s">
        <v>1108</v>
      </c>
      <c r="D991" s="218" t="s">
        <v>28</v>
      </c>
      <c r="E991" s="219" t="s">
        <v>102</v>
      </c>
      <c r="F991" s="219" t="s">
        <v>1112</v>
      </c>
      <c r="G991" s="224" t="s">
        <v>283</v>
      </c>
      <c r="H991" s="220" t="s">
        <v>283</v>
      </c>
      <c r="I991" s="220" t="s">
        <v>17</v>
      </c>
      <c r="J991" s="220" t="s">
        <v>283</v>
      </c>
      <c r="K991" s="220" t="s">
        <v>283</v>
      </c>
      <c r="L991" s="220" t="s">
        <v>283</v>
      </c>
      <c r="M991" s="220" t="s">
        <v>283</v>
      </c>
      <c r="N991" s="220" t="s">
        <v>283</v>
      </c>
      <c r="O991" s="221" t="s">
        <v>17</v>
      </c>
      <c r="P991" s="221" t="s">
        <v>17</v>
      </c>
      <c r="Q991" s="221" t="s">
        <v>17</v>
      </c>
      <c r="R991" s="221" t="s">
        <v>17</v>
      </c>
      <c r="S991" s="221" t="s">
        <v>283</v>
      </c>
      <c r="T991" s="221" t="s">
        <v>283</v>
      </c>
      <c r="U991" s="221" t="s">
        <v>283</v>
      </c>
      <c r="V991" s="221" t="s">
        <v>283</v>
      </c>
      <c r="W991" s="222" t="s">
        <v>283</v>
      </c>
      <c r="X991" s="222" t="s">
        <v>283</v>
      </c>
      <c r="Y991" s="223" t="s">
        <v>283</v>
      </c>
    </row>
    <row r="992" spans="1:25">
      <c r="A992" s="217">
        <v>18</v>
      </c>
      <c r="B992" s="218" t="str">
        <f>VLOOKUP(Tabel10[[#This Row],[Code]],Ruimtegroepen[[Code]:[Ruimte omschrijving]],2,FALSE)</f>
        <v>Gymzaal</v>
      </c>
      <c r="C992" s="219" t="s">
        <v>1108</v>
      </c>
      <c r="D992" s="218" t="s">
        <v>28</v>
      </c>
      <c r="E992" s="219" t="s">
        <v>99</v>
      </c>
      <c r="F992" s="219" t="s">
        <v>1110</v>
      </c>
      <c r="G992" s="224" t="s">
        <v>283</v>
      </c>
      <c r="H992" s="220" t="s">
        <v>17</v>
      </c>
      <c r="I992" s="220" t="s">
        <v>283</v>
      </c>
      <c r="J992" s="220" t="s">
        <v>283</v>
      </c>
      <c r="K992" s="220" t="s">
        <v>283</v>
      </c>
      <c r="L992" s="220" t="s">
        <v>283</v>
      </c>
      <c r="M992" s="220" t="s">
        <v>283</v>
      </c>
      <c r="N992" s="220" t="s">
        <v>283</v>
      </c>
      <c r="O992" s="221" t="s">
        <v>17</v>
      </c>
      <c r="P992" s="221" t="s">
        <v>17</v>
      </c>
      <c r="Q992" s="221" t="s">
        <v>17</v>
      </c>
      <c r="R992" s="221" t="s">
        <v>17</v>
      </c>
      <c r="S992" s="221" t="s">
        <v>283</v>
      </c>
      <c r="T992" s="221" t="s">
        <v>283</v>
      </c>
      <c r="U992" s="221" t="s">
        <v>283</v>
      </c>
      <c r="V992" s="221" t="s">
        <v>283</v>
      </c>
      <c r="W992" s="222" t="s">
        <v>283</v>
      </c>
      <c r="X992" s="222" t="s">
        <v>283</v>
      </c>
      <c r="Y992" s="223" t="s">
        <v>283</v>
      </c>
    </row>
    <row r="993" spans="1:25">
      <c r="A993" s="217">
        <v>18</v>
      </c>
      <c r="B993" s="218" t="str">
        <f>VLOOKUP(Tabel10[[#This Row],[Code]],Ruimtegroepen[[Code]:[Ruimte omschrijving]],2,FALSE)</f>
        <v>Gymzaal</v>
      </c>
      <c r="C993" s="219" t="s">
        <v>1108</v>
      </c>
      <c r="D993" s="218" t="s">
        <v>28</v>
      </c>
      <c r="E993" s="219" t="s">
        <v>1313</v>
      </c>
      <c r="F993" s="219" t="s">
        <v>1428</v>
      </c>
      <c r="G993" s="224" t="s">
        <v>283</v>
      </c>
      <c r="H993" s="220" t="s">
        <v>283</v>
      </c>
      <c r="I993" s="220" t="s">
        <v>17</v>
      </c>
      <c r="J993" s="220" t="s">
        <v>283</v>
      </c>
      <c r="K993" s="220" t="s">
        <v>283</v>
      </c>
      <c r="L993" s="220" t="s">
        <v>283</v>
      </c>
      <c r="M993" s="220" t="s">
        <v>283</v>
      </c>
      <c r="N993" s="220" t="s">
        <v>283</v>
      </c>
      <c r="O993" s="221" t="s">
        <v>17</v>
      </c>
      <c r="P993" s="221" t="s">
        <v>17</v>
      </c>
      <c r="Q993" s="221" t="s">
        <v>17</v>
      </c>
      <c r="R993" s="221" t="s">
        <v>17</v>
      </c>
      <c r="S993" s="221" t="s">
        <v>283</v>
      </c>
      <c r="T993" s="221" t="s">
        <v>283</v>
      </c>
      <c r="U993" s="221" t="s">
        <v>283</v>
      </c>
      <c r="V993" s="221" t="s">
        <v>283</v>
      </c>
      <c r="W993" s="222" t="s">
        <v>283</v>
      </c>
      <c r="X993" s="222" t="s">
        <v>283</v>
      </c>
      <c r="Y993" s="223" t="s">
        <v>283</v>
      </c>
    </row>
    <row r="994" spans="1:25">
      <c r="A994" s="217">
        <v>19</v>
      </c>
      <c r="B994" s="218" t="str">
        <f>VLOOKUP(Tabel10[[#This Row],[Code]],Ruimtegroepen[[Code]:[Ruimte omschrijving]],2,FALSE)</f>
        <v>kleedruimten</v>
      </c>
      <c r="C994" s="219" t="s">
        <v>1113</v>
      </c>
      <c r="D994" s="218" t="s">
        <v>29</v>
      </c>
      <c r="E994" s="219" t="s">
        <v>100</v>
      </c>
      <c r="F994" s="219" t="s">
        <v>1114</v>
      </c>
      <c r="G994" s="224" t="s">
        <v>283</v>
      </c>
      <c r="H994" s="220" t="s">
        <v>283</v>
      </c>
      <c r="I994" s="220" t="s">
        <v>2</v>
      </c>
      <c r="J994" s="220" t="s">
        <v>283</v>
      </c>
      <c r="K994" s="220" t="s">
        <v>2</v>
      </c>
      <c r="L994" s="220" t="s">
        <v>283</v>
      </c>
      <c r="M994" s="220" t="s">
        <v>283</v>
      </c>
      <c r="N994" s="220" t="s">
        <v>2</v>
      </c>
      <c r="O994" s="221" t="s">
        <v>2</v>
      </c>
      <c r="P994" s="221" t="s">
        <v>2</v>
      </c>
      <c r="Q994" s="221" t="s">
        <v>15</v>
      </c>
      <c r="R994" s="221" t="s">
        <v>15</v>
      </c>
      <c r="S994" s="221" t="s">
        <v>16</v>
      </c>
      <c r="T994" s="221" t="s">
        <v>330</v>
      </c>
      <c r="U994" s="221" t="s">
        <v>250</v>
      </c>
      <c r="V994" s="221" t="s">
        <v>2</v>
      </c>
      <c r="W994" s="222" t="s">
        <v>283</v>
      </c>
      <c r="X994" s="222" t="s">
        <v>283</v>
      </c>
      <c r="Y994" s="223" t="s">
        <v>283</v>
      </c>
    </row>
    <row r="995" spans="1:25">
      <c r="A995" s="217">
        <v>19</v>
      </c>
      <c r="B995" s="218" t="str">
        <f>VLOOKUP(Tabel10[[#This Row],[Code]],Ruimtegroepen[[Code]:[Ruimte omschrijving]],2,FALSE)</f>
        <v>kleedruimten</v>
      </c>
      <c r="C995" s="219" t="s">
        <v>1113</v>
      </c>
      <c r="D995" s="218" t="s">
        <v>29</v>
      </c>
      <c r="E995" s="219" t="s">
        <v>99</v>
      </c>
      <c r="F995" s="219" t="s">
        <v>1115</v>
      </c>
      <c r="G995" s="224" t="s">
        <v>283</v>
      </c>
      <c r="H995" s="220" t="s">
        <v>2</v>
      </c>
      <c r="I995" s="220" t="s">
        <v>283</v>
      </c>
      <c r="J995" s="220" t="s">
        <v>283</v>
      </c>
      <c r="K995" s="220" t="s">
        <v>283</v>
      </c>
      <c r="L995" s="220" t="s">
        <v>283</v>
      </c>
      <c r="M995" s="220" t="s">
        <v>283</v>
      </c>
      <c r="N995" s="220" t="s">
        <v>2</v>
      </c>
      <c r="O995" s="221" t="s">
        <v>2</v>
      </c>
      <c r="P995" s="221" t="s">
        <v>2</v>
      </c>
      <c r="Q995" s="221" t="s">
        <v>15</v>
      </c>
      <c r="R995" s="221" t="s">
        <v>15</v>
      </c>
      <c r="S995" s="221" t="s">
        <v>16</v>
      </c>
      <c r="T995" s="221" t="s">
        <v>330</v>
      </c>
      <c r="U995" s="221" t="s">
        <v>250</v>
      </c>
      <c r="V995" s="221" t="s">
        <v>2</v>
      </c>
      <c r="W995" s="222" t="s">
        <v>283</v>
      </c>
      <c r="X995" s="222" t="s">
        <v>283</v>
      </c>
      <c r="Y995" s="223" t="s">
        <v>283</v>
      </c>
    </row>
    <row r="996" spans="1:25">
      <c r="A996" s="217">
        <v>19</v>
      </c>
      <c r="B996" s="218" t="str">
        <f>VLOOKUP(Tabel10[[#This Row],[Code]],Ruimtegroepen[[Code]:[Ruimte omschrijving]],2,FALSE)</f>
        <v>kleedruimten</v>
      </c>
      <c r="C996" s="219" t="s">
        <v>1113</v>
      </c>
      <c r="D996" s="218" t="s">
        <v>29</v>
      </c>
      <c r="E996" s="219" t="s">
        <v>101</v>
      </c>
      <c r="F996" s="219" t="s">
        <v>1116</v>
      </c>
      <c r="G996" s="224" t="s">
        <v>283</v>
      </c>
      <c r="H996" s="220" t="s">
        <v>283</v>
      </c>
      <c r="I996" s="220" t="s">
        <v>2</v>
      </c>
      <c r="J996" s="220" t="s">
        <v>283</v>
      </c>
      <c r="K996" s="220" t="s">
        <v>2</v>
      </c>
      <c r="L996" s="220" t="s">
        <v>283</v>
      </c>
      <c r="M996" s="220" t="s">
        <v>283</v>
      </c>
      <c r="N996" s="220" t="s">
        <v>2</v>
      </c>
      <c r="O996" s="221" t="s">
        <v>2</v>
      </c>
      <c r="P996" s="221" t="s">
        <v>2</v>
      </c>
      <c r="Q996" s="221" t="s">
        <v>15</v>
      </c>
      <c r="R996" s="221" t="s">
        <v>15</v>
      </c>
      <c r="S996" s="221" t="s">
        <v>16</v>
      </c>
      <c r="T996" s="221" t="s">
        <v>330</v>
      </c>
      <c r="U996" s="221" t="s">
        <v>250</v>
      </c>
      <c r="V996" s="221" t="s">
        <v>2</v>
      </c>
      <c r="W996" s="222" t="s">
        <v>283</v>
      </c>
      <c r="X996" s="222" t="s">
        <v>283</v>
      </c>
      <c r="Y996" s="223" t="s">
        <v>283</v>
      </c>
    </row>
    <row r="997" spans="1:25">
      <c r="A997" s="217">
        <v>19</v>
      </c>
      <c r="B997" s="218" t="str">
        <f>VLOOKUP(Tabel10[[#This Row],[Code]],Ruimtegroepen[[Code]:[Ruimte omschrijving]],2,FALSE)</f>
        <v>kleedruimten</v>
      </c>
      <c r="C997" s="219" t="s">
        <v>1113</v>
      </c>
      <c r="D997" s="218" t="s">
        <v>29</v>
      </c>
      <c r="E997" s="219" t="s">
        <v>102</v>
      </c>
      <c r="F997" s="219" t="s">
        <v>1117</v>
      </c>
      <c r="G997" s="224" t="s">
        <v>283</v>
      </c>
      <c r="H997" s="220" t="s">
        <v>283</v>
      </c>
      <c r="I997" s="220" t="s">
        <v>2</v>
      </c>
      <c r="J997" s="220" t="s">
        <v>283</v>
      </c>
      <c r="K997" s="220" t="s">
        <v>2</v>
      </c>
      <c r="L997" s="220" t="s">
        <v>283</v>
      </c>
      <c r="M997" s="220" t="s">
        <v>283</v>
      </c>
      <c r="N997" s="220" t="s">
        <v>2</v>
      </c>
      <c r="O997" s="221" t="s">
        <v>2</v>
      </c>
      <c r="P997" s="221" t="s">
        <v>2</v>
      </c>
      <c r="Q997" s="221" t="s">
        <v>15</v>
      </c>
      <c r="R997" s="221" t="s">
        <v>15</v>
      </c>
      <c r="S997" s="221" t="s">
        <v>16</v>
      </c>
      <c r="T997" s="221" t="s">
        <v>330</v>
      </c>
      <c r="U997" s="221" t="s">
        <v>250</v>
      </c>
      <c r="V997" s="221" t="s">
        <v>2</v>
      </c>
      <c r="W997" s="222" t="s">
        <v>283</v>
      </c>
      <c r="X997" s="222" t="s">
        <v>283</v>
      </c>
      <c r="Y997" s="223" t="s">
        <v>283</v>
      </c>
    </row>
    <row r="998" spans="1:25">
      <c r="A998" s="217">
        <v>19</v>
      </c>
      <c r="B998" s="218" t="str">
        <f>VLOOKUP(Tabel10[[#This Row],[Code]],Ruimtegroepen[[Code]:[Ruimte omschrijving]],2,FALSE)</f>
        <v>kleedruimten</v>
      </c>
      <c r="C998" s="219" t="s">
        <v>1113</v>
      </c>
      <c r="D998" s="218" t="s">
        <v>29</v>
      </c>
      <c r="E998" s="219" t="s">
        <v>99</v>
      </c>
      <c r="F998" s="219" t="s">
        <v>1115</v>
      </c>
      <c r="G998" s="224" t="s">
        <v>283</v>
      </c>
      <c r="H998" s="220" t="s">
        <v>2</v>
      </c>
      <c r="I998" s="220" t="s">
        <v>283</v>
      </c>
      <c r="J998" s="220" t="s">
        <v>283</v>
      </c>
      <c r="K998" s="220" t="s">
        <v>283</v>
      </c>
      <c r="L998" s="220" t="s">
        <v>283</v>
      </c>
      <c r="M998" s="220" t="s">
        <v>283</v>
      </c>
      <c r="N998" s="220" t="s">
        <v>2</v>
      </c>
      <c r="O998" s="221" t="s">
        <v>2</v>
      </c>
      <c r="P998" s="221" t="s">
        <v>2</v>
      </c>
      <c r="Q998" s="221" t="s">
        <v>15</v>
      </c>
      <c r="R998" s="221" t="s">
        <v>15</v>
      </c>
      <c r="S998" s="221" t="s">
        <v>16</v>
      </c>
      <c r="T998" s="221" t="s">
        <v>330</v>
      </c>
      <c r="U998" s="221" t="s">
        <v>250</v>
      </c>
      <c r="V998" s="221" t="s">
        <v>2</v>
      </c>
      <c r="W998" s="222" t="s">
        <v>283</v>
      </c>
      <c r="X998" s="222" t="s">
        <v>283</v>
      </c>
      <c r="Y998" s="223" t="s">
        <v>283</v>
      </c>
    </row>
    <row r="999" spans="1:25">
      <c r="A999" s="217">
        <v>19</v>
      </c>
      <c r="B999" s="218" t="str">
        <f>VLOOKUP(Tabel10[[#This Row],[Code]],Ruimtegroepen[[Code]:[Ruimte omschrijving]],2,FALSE)</f>
        <v>kleedruimten</v>
      </c>
      <c r="C999" s="219" t="s">
        <v>1113</v>
      </c>
      <c r="D999" s="218" t="s">
        <v>29</v>
      </c>
      <c r="E999" s="219" t="s">
        <v>1313</v>
      </c>
      <c r="F999" s="219" t="s">
        <v>1496</v>
      </c>
      <c r="G999" s="224" t="s">
        <v>283</v>
      </c>
      <c r="H999" s="220" t="s">
        <v>283</v>
      </c>
      <c r="I999" s="220" t="s">
        <v>2</v>
      </c>
      <c r="J999" s="220" t="s">
        <v>283</v>
      </c>
      <c r="K999" s="220" t="s">
        <v>2</v>
      </c>
      <c r="L999" s="220" t="s">
        <v>283</v>
      </c>
      <c r="M999" s="220" t="s">
        <v>283</v>
      </c>
      <c r="N999" s="220" t="s">
        <v>2</v>
      </c>
      <c r="O999" s="221" t="s">
        <v>2</v>
      </c>
      <c r="P999" s="221" t="s">
        <v>2</v>
      </c>
      <c r="Q999" s="221" t="s">
        <v>15</v>
      </c>
      <c r="R999" s="221" t="s">
        <v>15</v>
      </c>
      <c r="S999" s="221" t="s">
        <v>16</v>
      </c>
      <c r="T999" s="221" t="s">
        <v>330</v>
      </c>
      <c r="U999" s="221" t="s">
        <v>250</v>
      </c>
      <c r="V999" s="221" t="s">
        <v>2</v>
      </c>
      <c r="W999" s="222" t="s">
        <v>283</v>
      </c>
      <c r="X999" s="222" t="s">
        <v>283</v>
      </c>
      <c r="Y999" s="223" t="s">
        <v>283</v>
      </c>
    </row>
    <row r="1000" spans="1:25">
      <c r="A1000" s="217">
        <v>19</v>
      </c>
      <c r="B1000" s="218" t="str">
        <f>VLOOKUP(Tabel10[[#This Row],[Code]],Ruimtegroepen[[Code]:[Ruimte omschrijving]],2,FALSE)</f>
        <v>kleedruimten</v>
      </c>
      <c r="C1000" s="219" t="s">
        <v>1118</v>
      </c>
      <c r="D1000" s="218" t="s">
        <v>1</v>
      </c>
      <c r="E1000" s="219" t="s">
        <v>100</v>
      </c>
      <c r="F1000" s="219" t="s">
        <v>1119</v>
      </c>
      <c r="G1000" s="224" t="s">
        <v>283</v>
      </c>
      <c r="H1000" s="220" t="s">
        <v>283</v>
      </c>
      <c r="I1000" s="220" t="s">
        <v>2</v>
      </c>
      <c r="J1000" s="220" t="s">
        <v>283</v>
      </c>
      <c r="K1000" s="220" t="s">
        <v>2</v>
      </c>
      <c r="L1000" s="220" t="s">
        <v>283</v>
      </c>
      <c r="M1000" s="220" t="s">
        <v>283</v>
      </c>
      <c r="N1000" s="220" t="s">
        <v>283</v>
      </c>
      <c r="O1000" s="221" t="s">
        <v>2</v>
      </c>
      <c r="P1000" s="221" t="s">
        <v>2</v>
      </c>
      <c r="Q1000" s="221" t="s">
        <v>15</v>
      </c>
      <c r="R1000" s="221" t="s">
        <v>15</v>
      </c>
      <c r="S1000" s="221" t="s">
        <v>16</v>
      </c>
      <c r="T1000" s="221" t="s">
        <v>330</v>
      </c>
      <c r="U1000" s="221" t="s">
        <v>250</v>
      </c>
      <c r="V1000" s="221" t="s">
        <v>283</v>
      </c>
      <c r="W1000" s="222" t="s">
        <v>283</v>
      </c>
      <c r="X1000" s="222" t="s">
        <v>283</v>
      </c>
      <c r="Y1000" s="223" t="s">
        <v>283</v>
      </c>
    </row>
    <row r="1001" spans="1:25">
      <c r="A1001" s="217">
        <v>19</v>
      </c>
      <c r="B1001" s="218" t="str">
        <f>VLOOKUP(Tabel10[[#This Row],[Code]],Ruimtegroepen[[Code]:[Ruimte omschrijving]],2,FALSE)</f>
        <v>kleedruimten</v>
      </c>
      <c r="C1001" s="219" t="s">
        <v>1118</v>
      </c>
      <c r="D1001" s="218" t="s">
        <v>1</v>
      </c>
      <c r="E1001" s="219" t="s">
        <v>99</v>
      </c>
      <c r="F1001" s="219" t="s">
        <v>1120</v>
      </c>
      <c r="G1001" s="224" t="s">
        <v>283</v>
      </c>
      <c r="H1001" s="220" t="s">
        <v>2</v>
      </c>
      <c r="I1001" s="220" t="s">
        <v>283</v>
      </c>
      <c r="J1001" s="220" t="s">
        <v>283</v>
      </c>
      <c r="K1001" s="220" t="s">
        <v>283</v>
      </c>
      <c r="L1001" s="220" t="s">
        <v>283</v>
      </c>
      <c r="M1001" s="220" t="s">
        <v>283</v>
      </c>
      <c r="N1001" s="220" t="s">
        <v>283</v>
      </c>
      <c r="O1001" s="221" t="s">
        <v>2</v>
      </c>
      <c r="P1001" s="221" t="s">
        <v>2</v>
      </c>
      <c r="Q1001" s="221" t="s">
        <v>15</v>
      </c>
      <c r="R1001" s="221" t="s">
        <v>15</v>
      </c>
      <c r="S1001" s="221" t="s">
        <v>16</v>
      </c>
      <c r="T1001" s="221" t="s">
        <v>330</v>
      </c>
      <c r="U1001" s="221" t="s">
        <v>250</v>
      </c>
      <c r="V1001" s="221" t="s">
        <v>283</v>
      </c>
      <c r="W1001" s="222" t="s">
        <v>283</v>
      </c>
      <c r="X1001" s="222" t="s">
        <v>283</v>
      </c>
      <c r="Y1001" s="223" t="s">
        <v>283</v>
      </c>
    </row>
    <row r="1002" spans="1:25">
      <c r="A1002" s="217">
        <v>19</v>
      </c>
      <c r="B1002" s="218" t="str">
        <f>VLOOKUP(Tabel10[[#This Row],[Code]],Ruimtegroepen[[Code]:[Ruimte omschrijving]],2,FALSE)</f>
        <v>kleedruimten</v>
      </c>
      <c r="C1002" s="219" t="s">
        <v>1118</v>
      </c>
      <c r="D1002" s="218" t="s">
        <v>1</v>
      </c>
      <c r="E1002" s="219" t="s">
        <v>101</v>
      </c>
      <c r="F1002" s="219" t="s">
        <v>1121</v>
      </c>
      <c r="G1002" s="224" t="s">
        <v>283</v>
      </c>
      <c r="H1002" s="220" t="s">
        <v>283</v>
      </c>
      <c r="I1002" s="220" t="s">
        <v>2</v>
      </c>
      <c r="J1002" s="220" t="s">
        <v>283</v>
      </c>
      <c r="K1002" s="220" t="s">
        <v>2</v>
      </c>
      <c r="L1002" s="220" t="s">
        <v>283</v>
      </c>
      <c r="M1002" s="220" t="s">
        <v>283</v>
      </c>
      <c r="N1002" s="220" t="s">
        <v>283</v>
      </c>
      <c r="O1002" s="221" t="s">
        <v>2</v>
      </c>
      <c r="P1002" s="221" t="s">
        <v>2</v>
      </c>
      <c r="Q1002" s="221" t="s">
        <v>15</v>
      </c>
      <c r="R1002" s="221" t="s">
        <v>15</v>
      </c>
      <c r="S1002" s="221" t="s">
        <v>16</v>
      </c>
      <c r="T1002" s="221" t="s">
        <v>330</v>
      </c>
      <c r="U1002" s="221" t="s">
        <v>250</v>
      </c>
      <c r="V1002" s="221" t="s">
        <v>283</v>
      </c>
      <c r="W1002" s="222" t="s">
        <v>283</v>
      </c>
      <c r="X1002" s="222" t="s">
        <v>283</v>
      </c>
      <c r="Y1002" s="223" t="s">
        <v>283</v>
      </c>
    </row>
    <row r="1003" spans="1:25">
      <c r="A1003" s="217">
        <v>19</v>
      </c>
      <c r="B1003" s="218" t="str">
        <f>VLOOKUP(Tabel10[[#This Row],[Code]],Ruimtegroepen[[Code]:[Ruimte omschrijving]],2,FALSE)</f>
        <v>kleedruimten</v>
      </c>
      <c r="C1003" s="219" t="s">
        <v>1118</v>
      </c>
      <c r="D1003" s="218" t="s">
        <v>1</v>
      </c>
      <c r="E1003" s="219" t="s">
        <v>102</v>
      </c>
      <c r="F1003" s="219" t="s">
        <v>1122</v>
      </c>
      <c r="G1003" s="224" t="s">
        <v>283</v>
      </c>
      <c r="H1003" s="220" t="s">
        <v>283</v>
      </c>
      <c r="I1003" s="220" t="s">
        <v>2</v>
      </c>
      <c r="J1003" s="220" t="s">
        <v>283</v>
      </c>
      <c r="K1003" s="220" t="s">
        <v>2</v>
      </c>
      <c r="L1003" s="220" t="s">
        <v>283</v>
      </c>
      <c r="M1003" s="220" t="s">
        <v>283</v>
      </c>
      <c r="N1003" s="220" t="s">
        <v>283</v>
      </c>
      <c r="O1003" s="221" t="s">
        <v>2</v>
      </c>
      <c r="P1003" s="221" t="s">
        <v>2</v>
      </c>
      <c r="Q1003" s="221" t="s">
        <v>15</v>
      </c>
      <c r="R1003" s="221" t="s">
        <v>15</v>
      </c>
      <c r="S1003" s="221" t="s">
        <v>16</v>
      </c>
      <c r="T1003" s="221" t="s">
        <v>330</v>
      </c>
      <c r="U1003" s="221" t="s">
        <v>250</v>
      </c>
      <c r="V1003" s="221" t="s">
        <v>283</v>
      </c>
      <c r="W1003" s="222" t="s">
        <v>283</v>
      </c>
      <c r="X1003" s="222" t="s">
        <v>283</v>
      </c>
      <c r="Y1003" s="223" t="s">
        <v>283</v>
      </c>
    </row>
    <row r="1004" spans="1:25">
      <c r="A1004" s="217">
        <v>19</v>
      </c>
      <c r="B1004" s="218" t="str">
        <f>VLOOKUP(Tabel10[[#This Row],[Code]],Ruimtegroepen[[Code]:[Ruimte omschrijving]],2,FALSE)</f>
        <v>kleedruimten</v>
      </c>
      <c r="C1004" s="219" t="s">
        <v>1118</v>
      </c>
      <c r="D1004" s="218" t="s">
        <v>1</v>
      </c>
      <c r="E1004" s="219" t="s">
        <v>99</v>
      </c>
      <c r="F1004" s="219" t="s">
        <v>1120</v>
      </c>
      <c r="G1004" s="224" t="s">
        <v>283</v>
      </c>
      <c r="H1004" s="220" t="s">
        <v>2</v>
      </c>
      <c r="I1004" s="220" t="s">
        <v>283</v>
      </c>
      <c r="J1004" s="220" t="s">
        <v>283</v>
      </c>
      <c r="K1004" s="220" t="s">
        <v>283</v>
      </c>
      <c r="L1004" s="220" t="s">
        <v>283</v>
      </c>
      <c r="M1004" s="220" t="s">
        <v>283</v>
      </c>
      <c r="N1004" s="220" t="s">
        <v>283</v>
      </c>
      <c r="O1004" s="221" t="s">
        <v>2</v>
      </c>
      <c r="P1004" s="221" t="s">
        <v>2</v>
      </c>
      <c r="Q1004" s="221" t="s">
        <v>15</v>
      </c>
      <c r="R1004" s="221" t="s">
        <v>15</v>
      </c>
      <c r="S1004" s="221" t="s">
        <v>16</v>
      </c>
      <c r="T1004" s="221" t="s">
        <v>330</v>
      </c>
      <c r="U1004" s="221" t="s">
        <v>250</v>
      </c>
      <c r="V1004" s="221" t="s">
        <v>283</v>
      </c>
      <c r="W1004" s="222" t="s">
        <v>283</v>
      </c>
      <c r="X1004" s="222" t="s">
        <v>283</v>
      </c>
      <c r="Y1004" s="223" t="s">
        <v>283</v>
      </c>
    </row>
    <row r="1005" spans="1:25">
      <c r="A1005" s="217">
        <v>19</v>
      </c>
      <c r="B1005" s="218" t="str">
        <f>VLOOKUP(Tabel10[[#This Row],[Code]],Ruimtegroepen[[Code]:[Ruimte omschrijving]],2,FALSE)</f>
        <v>kleedruimten</v>
      </c>
      <c r="C1005" s="219" t="s">
        <v>1118</v>
      </c>
      <c r="D1005" s="218" t="s">
        <v>1</v>
      </c>
      <c r="E1005" s="219" t="s">
        <v>1313</v>
      </c>
      <c r="F1005" s="219" t="s">
        <v>1480</v>
      </c>
      <c r="G1005" s="224" t="s">
        <v>283</v>
      </c>
      <c r="H1005" s="220" t="s">
        <v>283</v>
      </c>
      <c r="I1005" s="220" t="s">
        <v>2</v>
      </c>
      <c r="J1005" s="220" t="s">
        <v>283</v>
      </c>
      <c r="K1005" s="220" t="s">
        <v>2</v>
      </c>
      <c r="L1005" s="220" t="s">
        <v>283</v>
      </c>
      <c r="M1005" s="220" t="s">
        <v>283</v>
      </c>
      <c r="N1005" s="220" t="s">
        <v>283</v>
      </c>
      <c r="O1005" s="221" t="s">
        <v>2</v>
      </c>
      <c r="P1005" s="221" t="s">
        <v>2</v>
      </c>
      <c r="Q1005" s="221" t="s">
        <v>15</v>
      </c>
      <c r="R1005" s="221" t="s">
        <v>15</v>
      </c>
      <c r="S1005" s="221" t="s">
        <v>16</v>
      </c>
      <c r="T1005" s="221" t="s">
        <v>330</v>
      </c>
      <c r="U1005" s="221" t="s">
        <v>250</v>
      </c>
      <c r="V1005" s="221" t="s">
        <v>283</v>
      </c>
      <c r="W1005" s="222" t="s">
        <v>283</v>
      </c>
      <c r="X1005" s="222" t="s">
        <v>283</v>
      </c>
      <c r="Y1005" s="223" t="s">
        <v>283</v>
      </c>
    </row>
    <row r="1006" spans="1:25">
      <c r="A1006" s="217">
        <v>19</v>
      </c>
      <c r="B1006" s="218" t="str">
        <f>VLOOKUP(Tabel10[[#This Row],[Code]],Ruimtegroepen[[Code]:[Ruimte omschrijving]],2,FALSE)</f>
        <v>kleedruimten</v>
      </c>
      <c r="C1006" s="219" t="s">
        <v>1123</v>
      </c>
      <c r="D1006" s="218" t="s">
        <v>21</v>
      </c>
      <c r="E1006" s="219" t="s">
        <v>100</v>
      </c>
      <c r="F1006" s="219" t="s">
        <v>1124</v>
      </c>
      <c r="G1006" s="224" t="s">
        <v>283</v>
      </c>
      <c r="H1006" s="220" t="s">
        <v>283</v>
      </c>
      <c r="I1006" s="220" t="s">
        <v>20</v>
      </c>
      <c r="J1006" s="220" t="s">
        <v>283</v>
      </c>
      <c r="K1006" s="220" t="s">
        <v>20</v>
      </c>
      <c r="L1006" s="220" t="s">
        <v>283</v>
      </c>
      <c r="M1006" s="220" t="s">
        <v>283</v>
      </c>
      <c r="N1006" s="220" t="s">
        <v>283</v>
      </c>
      <c r="O1006" s="221" t="s">
        <v>20</v>
      </c>
      <c r="P1006" s="221" t="s">
        <v>20</v>
      </c>
      <c r="Q1006" s="221" t="s">
        <v>15</v>
      </c>
      <c r="R1006" s="221" t="s">
        <v>15</v>
      </c>
      <c r="S1006" s="221" t="s">
        <v>16</v>
      </c>
      <c r="T1006" s="221" t="s">
        <v>330</v>
      </c>
      <c r="U1006" s="221" t="s">
        <v>250</v>
      </c>
      <c r="V1006" s="221" t="s">
        <v>283</v>
      </c>
      <c r="W1006" s="222" t="s">
        <v>283</v>
      </c>
      <c r="X1006" s="222" t="s">
        <v>283</v>
      </c>
      <c r="Y1006" s="223" t="s">
        <v>283</v>
      </c>
    </row>
    <row r="1007" spans="1:25">
      <c r="A1007" s="217">
        <v>19</v>
      </c>
      <c r="B1007" s="218" t="str">
        <f>VLOOKUP(Tabel10[[#This Row],[Code]],Ruimtegroepen[[Code]:[Ruimte omschrijving]],2,FALSE)</f>
        <v>kleedruimten</v>
      </c>
      <c r="C1007" s="219" t="s">
        <v>1123</v>
      </c>
      <c r="D1007" s="218" t="s">
        <v>21</v>
      </c>
      <c r="E1007" s="219" t="s">
        <v>99</v>
      </c>
      <c r="F1007" s="219" t="s">
        <v>1125</v>
      </c>
      <c r="G1007" s="224" t="s">
        <v>283</v>
      </c>
      <c r="H1007" s="220" t="s">
        <v>20</v>
      </c>
      <c r="I1007" s="220" t="s">
        <v>283</v>
      </c>
      <c r="J1007" s="220" t="s">
        <v>283</v>
      </c>
      <c r="K1007" s="220" t="s">
        <v>283</v>
      </c>
      <c r="L1007" s="220" t="s">
        <v>283</v>
      </c>
      <c r="M1007" s="220" t="s">
        <v>283</v>
      </c>
      <c r="N1007" s="220" t="s">
        <v>283</v>
      </c>
      <c r="O1007" s="221" t="s">
        <v>20</v>
      </c>
      <c r="P1007" s="221" t="s">
        <v>20</v>
      </c>
      <c r="Q1007" s="221" t="s">
        <v>15</v>
      </c>
      <c r="R1007" s="221" t="s">
        <v>15</v>
      </c>
      <c r="S1007" s="221" t="s">
        <v>16</v>
      </c>
      <c r="T1007" s="221" t="s">
        <v>330</v>
      </c>
      <c r="U1007" s="221" t="s">
        <v>250</v>
      </c>
      <c r="V1007" s="221" t="s">
        <v>283</v>
      </c>
      <c r="W1007" s="222" t="s">
        <v>283</v>
      </c>
      <c r="X1007" s="222" t="s">
        <v>283</v>
      </c>
      <c r="Y1007" s="223" t="s">
        <v>283</v>
      </c>
    </row>
    <row r="1008" spans="1:25">
      <c r="A1008" s="217">
        <v>19</v>
      </c>
      <c r="B1008" s="218" t="str">
        <f>VLOOKUP(Tabel10[[#This Row],[Code]],Ruimtegroepen[[Code]:[Ruimte omschrijving]],2,FALSE)</f>
        <v>kleedruimten</v>
      </c>
      <c r="C1008" s="219" t="s">
        <v>1123</v>
      </c>
      <c r="D1008" s="218" t="s">
        <v>21</v>
      </c>
      <c r="E1008" s="219" t="s">
        <v>101</v>
      </c>
      <c r="F1008" s="219" t="s">
        <v>1126</v>
      </c>
      <c r="G1008" s="224" t="s">
        <v>283</v>
      </c>
      <c r="H1008" s="220" t="s">
        <v>283</v>
      </c>
      <c r="I1008" s="220" t="s">
        <v>20</v>
      </c>
      <c r="J1008" s="220" t="s">
        <v>283</v>
      </c>
      <c r="K1008" s="220" t="s">
        <v>20</v>
      </c>
      <c r="L1008" s="220" t="s">
        <v>283</v>
      </c>
      <c r="M1008" s="220" t="s">
        <v>283</v>
      </c>
      <c r="N1008" s="220" t="s">
        <v>283</v>
      </c>
      <c r="O1008" s="221" t="s">
        <v>20</v>
      </c>
      <c r="P1008" s="221" t="s">
        <v>20</v>
      </c>
      <c r="Q1008" s="221" t="s">
        <v>15</v>
      </c>
      <c r="R1008" s="221" t="s">
        <v>15</v>
      </c>
      <c r="S1008" s="221" t="s">
        <v>16</v>
      </c>
      <c r="T1008" s="221" t="s">
        <v>330</v>
      </c>
      <c r="U1008" s="221" t="s">
        <v>250</v>
      </c>
      <c r="V1008" s="221" t="s">
        <v>283</v>
      </c>
      <c r="W1008" s="222" t="s">
        <v>283</v>
      </c>
      <c r="X1008" s="222" t="s">
        <v>283</v>
      </c>
      <c r="Y1008" s="223" t="s">
        <v>283</v>
      </c>
    </row>
    <row r="1009" spans="1:25">
      <c r="A1009" s="217">
        <v>19</v>
      </c>
      <c r="B1009" s="218" t="str">
        <f>VLOOKUP(Tabel10[[#This Row],[Code]],Ruimtegroepen[[Code]:[Ruimte omschrijving]],2,FALSE)</f>
        <v>kleedruimten</v>
      </c>
      <c r="C1009" s="219" t="s">
        <v>1123</v>
      </c>
      <c r="D1009" s="218" t="s">
        <v>21</v>
      </c>
      <c r="E1009" s="219" t="s">
        <v>102</v>
      </c>
      <c r="F1009" s="219" t="s">
        <v>1127</v>
      </c>
      <c r="G1009" s="224" t="s">
        <v>283</v>
      </c>
      <c r="H1009" s="220" t="s">
        <v>283</v>
      </c>
      <c r="I1009" s="220" t="s">
        <v>20</v>
      </c>
      <c r="J1009" s="220" t="s">
        <v>283</v>
      </c>
      <c r="K1009" s="220" t="s">
        <v>20</v>
      </c>
      <c r="L1009" s="220" t="s">
        <v>283</v>
      </c>
      <c r="M1009" s="220" t="s">
        <v>283</v>
      </c>
      <c r="N1009" s="220" t="s">
        <v>283</v>
      </c>
      <c r="O1009" s="221" t="s">
        <v>20</v>
      </c>
      <c r="P1009" s="221" t="s">
        <v>20</v>
      </c>
      <c r="Q1009" s="221" t="s">
        <v>15</v>
      </c>
      <c r="R1009" s="221" t="s">
        <v>15</v>
      </c>
      <c r="S1009" s="221" t="s">
        <v>16</v>
      </c>
      <c r="T1009" s="221" t="s">
        <v>330</v>
      </c>
      <c r="U1009" s="221" t="s">
        <v>250</v>
      </c>
      <c r="V1009" s="221" t="s">
        <v>283</v>
      </c>
      <c r="W1009" s="222" t="s">
        <v>283</v>
      </c>
      <c r="X1009" s="222" t="s">
        <v>283</v>
      </c>
      <c r="Y1009" s="223" t="s">
        <v>283</v>
      </c>
    </row>
    <row r="1010" spans="1:25">
      <c r="A1010" s="217">
        <v>19</v>
      </c>
      <c r="B1010" s="218" t="str">
        <f>VLOOKUP(Tabel10[[#This Row],[Code]],Ruimtegroepen[[Code]:[Ruimte omschrijving]],2,FALSE)</f>
        <v>kleedruimten</v>
      </c>
      <c r="C1010" s="219" t="s">
        <v>1123</v>
      </c>
      <c r="D1010" s="218" t="s">
        <v>21</v>
      </c>
      <c r="E1010" s="219" t="s">
        <v>99</v>
      </c>
      <c r="F1010" s="219" t="s">
        <v>1125</v>
      </c>
      <c r="G1010" s="224" t="s">
        <v>283</v>
      </c>
      <c r="H1010" s="220" t="s">
        <v>20</v>
      </c>
      <c r="I1010" s="220" t="s">
        <v>283</v>
      </c>
      <c r="J1010" s="220" t="s">
        <v>283</v>
      </c>
      <c r="K1010" s="220" t="s">
        <v>283</v>
      </c>
      <c r="L1010" s="220" t="s">
        <v>283</v>
      </c>
      <c r="M1010" s="220" t="s">
        <v>283</v>
      </c>
      <c r="N1010" s="220" t="s">
        <v>283</v>
      </c>
      <c r="O1010" s="221" t="s">
        <v>20</v>
      </c>
      <c r="P1010" s="221" t="s">
        <v>20</v>
      </c>
      <c r="Q1010" s="221" t="s">
        <v>15</v>
      </c>
      <c r="R1010" s="221" t="s">
        <v>15</v>
      </c>
      <c r="S1010" s="221" t="s">
        <v>16</v>
      </c>
      <c r="T1010" s="221" t="s">
        <v>330</v>
      </c>
      <c r="U1010" s="221" t="s">
        <v>250</v>
      </c>
      <c r="V1010" s="221" t="s">
        <v>283</v>
      </c>
      <c r="W1010" s="222" t="s">
        <v>283</v>
      </c>
      <c r="X1010" s="222" t="s">
        <v>283</v>
      </c>
      <c r="Y1010" s="223" t="s">
        <v>283</v>
      </c>
    </row>
    <row r="1011" spans="1:25">
      <c r="A1011" s="217">
        <v>19</v>
      </c>
      <c r="B1011" s="218" t="str">
        <f>VLOOKUP(Tabel10[[#This Row],[Code]],Ruimtegroepen[[Code]:[Ruimte omschrijving]],2,FALSE)</f>
        <v>kleedruimten</v>
      </c>
      <c r="C1011" s="219" t="s">
        <v>1123</v>
      </c>
      <c r="D1011" s="218" t="s">
        <v>21</v>
      </c>
      <c r="E1011" s="219" t="s">
        <v>1313</v>
      </c>
      <c r="F1011" s="219" t="s">
        <v>1463</v>
      </c>
      <c r="G1011" s="224" t="s">
        <v>283</v>
      </c>
      <c r="H1011" s="220" t="s">
        <v>283</v>
      </c>
      <c r="I1011" s="220" t="s">
        <v>20</v>
      </c>
      <c r="J1011" s="220" t="s">
        <v>283</v>
      </c>
      <c r="K1011" s="220" t="s">
        <v>20</v>
      </c>
      <c r="L1011" s="220" t="s">
        <v>283</v>
      </c>
      <c r="M1011" s="220" t="s">
        <v>283</v>
      </c>
      <c r="N1011" s="220" t="s">
        <v>283</v>
      </c>
      <c r="O1011" s="221" t="s">
        <v>20</v>
      </c>
      <c r="P1011" s="221" t="s">
        <v>20</v>
      </c>
      <c r="Q1011" s="221" t="s">
        <v>15</v>
      </c>
      <c r="R1011" s="221" t="s">
        <v>15</v>
      </c>
      <c r="S1011" s="221" t="s">
        <v>16</v>
      </c>
      <c r="T1011" s="221" t="s">
        <v>330</v>
      </c>
      <c r="U1011" s="221" t="s">
        <v>250</v>
      </c>
      <c r="V1011" s="221" t="s">
        <v>283</v>
      </c>
      <c r="W1011" s="222" t="s">
        <v>283</v>
      </c>
      <c r="X1011" s="222" t="s">
        <v>283</v>
      </c>
      <c r="Y1011" s="223" t="s">
        <v>283</v>
      </c>
    </row>
    <row r="1012" spans="1:25">
      <c r="A1012" s="217">
        <v>19</v>
      </c>
      <c r="B1012" s="218" t="str">
        <f>VLOOKUP(Tabel10[[#This Row],[Code]],Ruimtegroepen[[Code]:[Ruimte omschrijving]],2,FALSE)</f>
        <v>kleedruimten</v>
      </c>
      <c r="C1012" s="219" t="s">
        <v>1128</v>
      </c>
      <c r="D1012" s="218" t="s">
        <v>12</v>
      </c>
      <c r="E1012" s="219" t="s">
        <v>100</v>
      </c>
      <c r="F1012" s="219" t="s">
        <v>1129</v>
      </c>
      <c r="G1012" s="224" t="s">
        <v>283</v>
      </c>
      <c r="H1012" s="220" t="s">
        <v>283</v>
      </c>
      <c r="I1012" s="220" t="s">
        <v>18</v>
      </c>
      <c r="J1012" s="220" t="s">
        <v>283</v>
      </c>
      <c r="K1012" s="220" t="s">
        <v>18</v>
      </c>
      <c r="L1012" s="220" t="s">
        <v>283</v>
      </c>
      <c r="M1012" s="220" t="s">
        <v>283</v>
      </c>
      <c r="N1012" s="220" t="s">
        <v>283</v>
      </c>
      <c r="O1012" s="221" t="s">
        <v>18</v>
      </c>
      <c r="P1012" s="221" t="s">
        <v>18</v>
      </c>
      <c r="Q1012" s="221" t="s">
        <v>15</v>
      </c>
      <c r="R1012" s="221" t="s">
        <v>15</v>
      </c>
      <c r="S1012" s="221" t="s">
        <v>16</v>
      </c>
      <c r="T1012" s="221" t="s">
        <v>330</v>
      </c>
      <c r="U1012" s="221" t="s">
        <v>250</v>
      </c>
      <c r="V1012" s="221" t="s">
        <v>283</v>
      </c>
      <c r="W1012" s="222" t="s">
        <v>283</v>
      </c>
      <c r="X1012" s="222" t="s">
        <v>283</v>
      </c>
      <c r="Y1012" s="223" t="s">
        <v>283</v>
      </c>
    </row>
    <row r="1013" spans="1:25">
      <c r="A1013" s="217">
        <v>19</v>
      </c>
      <c r="B1013" s="218" t="str">
        <f>VLOOKUP(Tabel10[[#This Row],[Code]],Ruimtegroepen[[Code]:[Ruimte omschrijving]],2,FALSE)</f>
        <v>kleedruimten</v>
      </c>
      <c r="C1013" s="219" t="s">
        <v>1128</v>
      </c>
      <c r="D1013" s="218" t="s">
        <v>12</v>
      </c>
      <c r="E1013" s="219" t="s">
        <v>99</v>
      </c>
      <c r="F1013" s="219" t="s">
        <v>1130</v>
      </c>
      <c r="G1013" s="224" t="s">
        <v>283</v>
      </c>
      <c r="H1013" s="220" t="s">
        <v>18</v>
      </c>
      <c r="I1013" s="220" t="s">
        <v>283</v>
      </c>
      <c r="J1013" s="220" t="s">
        <v>283</v>
      </c>
      <c r="K1013" s="220" t="s">
        <v>283</v>
      </c>
      <c r="L1013" s="220" t="s">
        <v>283</v>
      </c>
      <c r="M1013" s="220" t="s">
        <v>283</v>
      </c>
      <c r="N1013" s="220" t="s">
        <v>283</v>
      </c>
      <c r="O1013" s="221" t="s">
        <v>18</v>
      </c>
      <c r="P1013" s="221" t="s">
        <v>18</v>
      </c>
      <c r="Q1013" s="221" t="s">
        <v>15</v>
      </c>
      <c r="R1013" s="221" t="s">
        <v>15</v>
      </c>
      <c r="S1013" s="221" t="s">
        <v>16</v>
      </c>
      <c r="T1013" s="221" t="s">
        <v>330</v>
      </c>
      <c r="U1013" s="221" t="s">
        <v>250</v>
      </c>
      <c r="V1013" s="221" t="s">
        <v>283</v>
      </c>
      <c r="W1013" s="222" t="s">
        <v>283</v>
      </c>
      <c r="X1013" s="222" t="s">
        <v>283</v>
      </c>
      <c r="Y1013" s="223" t="s">
        <v>283</v>
      </c>
    </row>
    <row r="1014" spans="1:25">
      <c r="A1014" s="217">
        <v>19</v>
      </c>
      <c r="B1014" s="218" t="str">
        <f>VLOOKUP(Tabel10[[#This Row],[Code]],Ruimtegroepen[[Code]:[Ruimte omschrijving]],2,FALSE)</f>
        <v>kleedruimten</v>
      </c>
      <c r="C1014" s="219" t="s">
        <v>1128</v>
      </c>
      <c r="D1014" s="218" t="s">
        <v>12</v>
      </c>
      <c r="E1014" s="219" t="s">
        <v>101</v>
      </c>
      <c r="F1014" s="219" t="s">
        <v>1131</v>
      </c>
      <c r="G1014" s="224" t="s">
        <v>283</v>
      </c>
      <c r="H1014" s="220" t="s">
        <v>283</v>
      </c>
      <c r="I1014" s="220" t="s">
        <v>18</v>
      </c>
      <c r="J1014" s="220" t="s">
        <v>283</v>
      </c>
      <c r="K1014" s="220" t="s">
        <v>18</v>
      </c>
      <c r="L1014" s="220" t="s">
        <v>283</v>
      </c>
      <c r="M1014" s="220" t="s">
        <v>283</v>
      </c>
      <c r="N1014" s="220" t="s">
        <v>283</v>
      </c>
      <c r="O1014" s="221" t="s">
        <v>18</v>
      </c>
      <c r="P1014" s="221" t="s">
        <v>18</v>
      </c>
      <c r="Q1014" s="221" t="s">
        <v>15</v>
      </c>
      <c r="R1014" s="221" t="s">
        <v>15</v>
      </c>
      <c r="S1014" s="221" t="s">
        <v>16</v>
      </c>
      <c r="T1014" s="221" t="s">
        <v>330</v>
      </c>
      <c r="U1014" s="221" t="s">
        <v>250</v>
      </c>
      <c r="V1014" s="221" t="s">
        <v>283</v>
      </c>
      <c r="W1014" s="222" t="s">
        <v>283</v>
      </c>
      <c r="X1014" s="222" t="s">
        <v>283</v>
      </c>
      <c r="Y1014" s="223" t="s">
        <v>283</v>
      </c>
    </row>
    <row r="1015" spans="1:25">
      <c r="A1015" s="217">
        <v>19</v>
      </c>
      <c r="B1015" s="218" t="str">
        <f>VLOOKUP(Tabel10[[#This Row],[Code]],Ruimtegroepen[[Code]:[Ruimte omschrijving]],2,FALSE)</f>
        <v>kleedruimten</v>
      </c>
      <c r="C1015" s="219" t="s">
        <v>1128</v>
      </c>
      <c r="D1015" s="218" t="s">
        <v>12</v>
      </c>
      <c r="E1015" s="219" t="s">
        <v>102</v>
      </c>
      <c r="F1015" s="219" t="s">
        <v>1132</v>
      </c>
      <c r="G1015" s="224" t="s">
        <v>283</v>
      </c>
      <c r="H1015" s="220" t="s">
        <v>283</v>
      </c>
      <c r="I1015" s="220" t="s">
        <v>18</v>
      </c>
      <c r="J1015" s="220" t="s">
        <v>283</v>
      </c>
      <c r="K1015" s="220" t="s">
        <v>18</v>
      </c>
      <c r="L1015" s="220" t="s">
        <v>283</v>
      </c>
      <c r="M1015" s="220" t="s">
        <v>283</v>
      </c>
      <c r="N1015" s="220" t="s">
        <v>283</v>
      </c>
      <c r="O1015" s="221" t="s">
        <v>18</v>
      </c>
      <c r="P1015" s="221" t="s">
        <v>18</v>
      </c>
      <c r="Q1015" s="221" t="s">
        <v>15</v>
      </c>
      <c r="R1015" s="221" t="s">
        <v>15</v>
      </c>
      <c r="S1015" s="221" t="s">
        <v>16</v>
      </c>
      <c r="T1015" s="221" t="s">
        <v>330</v>
      </c>
      <c r="U1015" s="221" t="s">
        <v>250</v>
      </c>
      <c r="V1015" s="221" t="s">
        <v>283</v>
      </c>
      <c r="W1015" s="222" t="s">
        <v>283</v>
      </c>
      <c r="X1015" s="222" t="s">
        <v>283</v>
      </c>
      <c r="Y1015" s="223" t="s">
        <v>283</v>
      </c>
    </row>
    <row r="1016" spans="1:25">
      <c r="A1016" s="217">
        <v>19</v>
      </c>
      <c r="B1016" s="218" t="str">
        <f>VLOOKUP(Tabel10[[#This Row],[Code]],Ruimtegroepen[[Code]:[Ruimte omschrijving]],2,FALSE)</f>
        <v>kleedruimten</v>
      </c>
      <c r="C1016" s="219" t="s">
        <v>1128</v>
      </c>
      <c r="D1016" s="218" t="s">
        <v>12</v>
      </c>
      <c r="E1016" s="219" t="s">
        <v>99</v>
      </c>
      <c r="F1016" s="219" t="s">
        <v>1130</v>
      </c>
      <c r="G1016" s="224" t="s">
        <v>283</v>
      </c>
      <c r="H1016" s="220" t="s">
        <v>18</v>
      </c>
      <c r="I1016" s="220" t="s">
        <v>283</v>
      </c>
      <c r="J1016" s="220" t="s">
        <v>283</v>
      </c>
      <c r="K1016" s="220" t="s">
        <v>283</v>
      </c>
      <c r="L1016" s="220" t="s">
        <v>283</v>
      </c>
      <c r="M1016" s="220" t="s">
        <v>283</v>
      </c>
      <c r="N1016" s="220" t="s">
        <v>283</v>
      </c>
      <c r="O1016" s="221" t="s">
        <v>18</v>
      </c>
      <c r="P1016" s="221" t="s">
        <v>18</v>
      </c>
      <c r="Q1016" s="221" t="s">
        <v>15</v>
      </c>
      <c r="R1016" s="221" t="s">
        <v>15</v>
      </c>
      <c r="S1016" s="221" t="s">
        <v>16</v>
      </c>
      <c r="T1016" s="221" t="s">
        <v>330</v>
      </c>
      <c r="U1016" s="221" t="s">
        <v>250</v>
      </c>
      <c r="V1016" s="221" t="s">
        <v>283</v>
      </c>
      <c r="W1016" s="222" t="s">
        <v>283</v>
      </c>
      <c r="X1016" s="222" t="s">
        <v>283</v>
      </c>
      <c r="Y1016" s="223" t="s">
        <v>283</v>
      </c>
    </row>
    <row r="1017" spans="1:25">
      <c r="A1017" s="217">
        <v>19</v>
      </c>
      <c r="B1017" s="218" t="str">
        <f>VLOOKUP(Tabel10[[#This Row],[Code]],Ruimtegroepen[[Code]:[Ruimte omschrijving]],2,FALSE)</f>
        <v>kleedruimten</v>
      </c>
      <c r="C1017" s="219" t="s">
        <v>1128</v>
      </c>
      <c r="D1017" s="218" t="s">
        <v>12</v>
      </c>
      <c r="E1017" s="219" t="s">
        <v>1313</v>
      </c>
      <c r="F1017" s="219" t="s">
        <v>1445</v>
      </c>
      <c r="G1017" s="224" t="s">
        <v>283</v>
      </c>
      <c r="H1017" s="220" t="s">
        <v>283</v>
      </c>
      <c r="I1017" s="220" t="s">
        <v>18</v>
      </c>
      <c r="J1017" s="220" t="s">
        <v>283</v>
      </c>
      <c r="K1017" s="220" t="s">
        <v>18</v>
      </c>
      <c r="L1017" s="220" t="s">
        <v>283</v>
      </c>
      <c r="M1017" s="220" t="s">
        <v>283</v>
      </c>
      <c r="N1017" s="220" t="s">
        <v>283</v>
      </c>
      <c r="O1017" s="221" t="s">
        <v>18</v>
      </c>
      <c r="P1017" s="221" t="s">
        <v>18</v>
      </c>
      <c r="Q1017" s="221" t="s">
        <v>15</v>
      </c>
      <c r="R1017" s="221" t="s">
        <v>15</v>
      </c>
      <c r="S1017" s="221" t="s">
        <v>16</v>
      </c>
      <c r="T1017" s="221" t="s">
        <v>330</v>
      </c>
      <c r="U1017" s="221" t="s">
        <v>250</v>
      </c>
      <c r="V1017" s="221" t="s">
        <v>283</v>
      </c>
      <c r="W1017" s="222" t="s">
        <v>283</v>
      </c>
      <c r="X1017" s="222" t="s">
        <v>283</v>
      </c>
      <c r="Y1017" s="223" t="s">
        <v>283</v>
      </c>
    </row>
    <row r="1018" spans="1:25">
      <c r="A1018" s="217">
        <v>19</v>
      </c>
      <c r="B1018" s="218" t="str">
        <f>VLOOKUP(Tabel10[[#This Row],[Code]],Ruimtegroepen[[Code]:[Ruimte omschrijving]],2,FALSE)</f>
        <v>kleedruimten</v>
      </c>
      <c r="C1018" s="219" t="s">
        <v>1133</v>
      </c>
      <c r="D1018" s="218" t="s">
        <v>14</v>
      </c>
      <c r="E1018" s="219" t="s">
        <v>100</v>
      </c>
      <c r="F1018" s="219" t="s">
        <v>1134</v>
      </c>
      <c r="G1018" s="224" t="s">
        <v>283</v>
      </c>
      <c r="H1018" s="220" t="s">
        <v>283</v>
      </c>
      <c r="I1018" s="220" t="s">
        <v>17</v>
      </c>
      <c r="J1018" s="220" t="s">
        <v>283</v>
      </c>
      <c r="K1018" s="220" t="s">
        <v>17</v>
      </c>
      <c r="L1018" s="220" t="s">
        <v>283</v>
      </c>
      <c r="M1018" s="220" t="s">
        <v>283</v>
      </c>
      <c r="N1018" s="220" t="s">
        <v>283</v>
      </c>
      <c r="O1018" s="221" t="s">
        <v>17</v>
      </c>
      <c r="P1018" s="221" t="s">
        <v>17</v>
      </c>
      <c r="Q1018" s="221" t="s">
        <v>15</v>
      </c>
      <c r="R1018" s="221" t="s">
        <v>15</v>
      </c>
      <c r="S1018" s="221" t="s">
        <v>16</v>
      </c>
      <c r="T1018" s="221" t="s">
        <v>330</v>
      </c>
      <c r="U1018" s="221" t="s">
        <v>250</v>
      </c>
      <c r="V1018" s="221" t="s">
        <v>283</v>
      </c>
      <c r="W1018" s="222" t="s">
        <v>283</v>
      </c>
      <c r="X1018" s="222" t="s">
        <v>283</v>
      </c>
      <c r="Y1018" s="223" t="s">
        <v>283</v>
      </c>
    </row>
    <row r="1019" spans="1:25">
      <c r="A1019" s="217">
        <v>19</v>
      </c>
      <c r="B1019" s="218" t="str">
        <f>VLOOKUP(Tabel10[[#This Row],[Code]],Ruimtegroepen[[Code]:[Ruimte omschrijving]],2,FALSE)</f>
        <v>kleedruimten</v>
      </c>
      <c r="C1019" s="219" t="s">
        <v>1133</v>
      </c>
      <c r="D1019" s="218" t="s">
        <v>14</v>
      </c>
      <c r="E1019" s="219" t="s">
        <v>99</v>
      </c>
      <c r="F1019" s="219" t="s">
        <v>1135</v>
      </c>
      <c r="G1019" s="224" t="s">
        <v>283</v>
      </c>
      <c r="H1019" s="220" t="s">
        <v>17</v>
      </c>
      <c r="I1019" s="220" t="s">
        <v>283</v>
      </c>
      <c r="J1019" s="220" t="s">
        <v>283</v>
      </c>
      <c r="K1019" s="220" t="s">
        <v>283</v>
      </c>
      <c r="L1019" s="220" t="s">
        <v>283</v>
      </c>
      <c r="M1019" s="220" t="s">
        <v>283</v>
      </c>
      <c r="N1019" s="220" t="s">
        <v>283</v>
      </c>
      <c r="O1019" s="221" t="s">
        <v>17</v>
      </c>
      <c r="P1019" s="221" t="s">
        <v>17</v>
      </c>
      <c r="Q1019" s="221" t="s">
        <v>15</v>
      </c>
      <c r="R1019" s="221" t="s">
        <v>15</v>
      </c>
      <c r="S1019" s="221" t="s">
        <v>16</v>
      </c>
      <c r="T1019" s="221" t="s">
        <v>330</v>
      </c>
      <c r="U1019" s="221" t="s">
        <v>250</v>
      </c>
      <c r="V1019" s="221" t="s">
        <v>283</v>
      </c>
      <c r="W1019" s="222" t="s">
        <v>283</v>
      </c>
      <c r="X1019" s="222" t="s">
        <v>283</v>
      </c>
      <c r="Y1019" s="223" t="s">
        <v>283</v>
      </c>
    </row>
    <row r="1020" spans="1:25">
      <c r="A1020" s="217">
        <v>19</v>
      </c>
      <c r="B1020" s="218" t="str">
        <f>VLOOKUP(Tabel10[[#This Row],[Code]],Ruimtegroepen[[Code]:[Ruimte omschrijving]],2,FALSE)</f>
        <v>kleedruimten</v>
      </c>
      <c r="C1020" s="219" t="s">
        <v>1133</v>
      </c>
      <c r="D1020" s="218" t="s">
        <v>14</v>
      </c>
      <c r="E1020" s="219" t="s">
        <v>101</v>
      </c>
      <c r="F1020" s="219" t="s">
        <v>1136</v>
      </c>
      <c r="G1020" s="224" t="s">
        <v>283</v>
      </c>
      <c r="H1020" s="220" t="s">
        <v>283</v>
      </c>
      <c r="I1020" s="220" t="s">
        <v>17</v>
      </c>
      <c r="J1020" s="220" t="s">
        <v>283</v>
      </c>
      <c r="K1020" s="220" t="s">
        <v>17</v>
      </c>
      <c r="L1020" s="220" t="s">
        <v>283</v>
      </c>
      <c r="M1020" s="220" t="s">
        <v>283</v>
      </c>
      <c r="N1020" s="220" t="s">
        <v>283</v>
      </c>
      <c r="O1020" s="221" t="s">
        <v>17</v>
      </c>
      <c r="P1020" s="221" t="s">
        <v>17</v>
      </c>
      <c r="Q1020" s="221" t="s">
        <v>15</v>
      </c>
      <c r="R1020" s="221" t="s">
        <v>15</v>
      </c>
      <c r="S1020" s="221" t="s">
        <v>16</v>
      </c>
      <c r="T1020" s="221" t="s">
        <v>330</v>
      </c>
      <c r="U1020" s="221" t="s">
        <v>250</v>
      </c>
      <c r="V1020" s="221" t="s">
        <v>283</v>
      </c>
      <c r="W1020" s="222" t="s">
        <v>283</v>
      </c>
      <c r="X1020" s="222" t="s">
        <v>283</v>
      </c>
      <c r="Y1020" s="223" t="s">
        <v>283</v>
      </c>
    </row>
    <row r="1021" spans="1:25">
      <c r="A1021" s="217">
        <v>19</v>
      </c>
      <c r="B1021" s="218" t="str">
        <f>VLOOKUP(Tabel10[[#This Row],[Code]],Ruimtegroepen[[Code]:[Ruimte omschrijving]],2,FALSE)</f>
        <v>kleedruimten</v>
      </c>
      <c r="C1021" s="219" t="s">
        <v>1133</v>
      </c>
      <c r="D1021" s="218" t="s">
        <v>14</v>
      </c>
      <c r="E1021" s="219" t="s">
        <v>102</v>
      </c>
      <c r="F1021" s="219" t="s">
        <v>1137</v>
      </c>
      <c r="G1021" s="224" t="s">
        <v>283</v>
      </c>
      <c r="H1021" s="220" t="s">
        <v>283</v>
      </c>
      <c r="I1021" s="220" t="s">
        <v>17</v>
      </c>
      <c r="J1021" s="220" t="s">
        <v>283</v>
      </c>
      <c r="K1021" s="220" t="s">
        <v>17</v>
      </c>
      <c r="L1021" s="220" t="s">
        <v>283</v>
      </c>
      <c r="M1021" s="220" t="s">
        <v>283</v>
      </c>
      <c r="N1021" s="220" t="s">
        <v>283</v>
      </c>
      <c r="O1021" s="221" t="s">
        <v>17</v>
      </c>
      <c r="P1021" s="221" t="s">
        <v>17</v>
      </c>
      <c r="Q1021" s="221" t="s">
        <v>15</v>
      </c>
      <c r="R1021" s="221" t="s">
        <v>15</v>
      </c>
      <c r="S1021" s="221" t="s">
        <v>16</v>
      </c>
      <c r="T1021" s="221" t="s">
        <v>330</v>
      </c>
      <c r="U1021" s="221" t="s">
        <v>250</v>
      </c>
      <c r="V1021" s="221" t="s">
        <v>283</v>
      </c>
      <c r="W1021" s="222" t="s">
        <v>283</v>
      </c>
      <c r="X1021" s="222" t="s">
        <v>283</v>
      </c>
      <c r="Y1021" s="223" t="s">
        <v>283</v>
      </c>
    </row>
    <row r="1022" spans="1:25">
      <c r="A1022" s="217">
        <v>19</v>
      </c>
      <c r="B1022" s="218" t="str">
        <f>VLOOKUP(Tabel10[[#This Row],[Code]],Ruimtegroepen[[Code]:[Ruimte omschrijving]],2,FALSE)</f>
        <v>kleedruimten</v>
      </c>
      <c r="C1022" s="219" t="s">
        <v>1133</v>
      </c>
      <c r="D1022" s="218" t="s">
        <v>14</v>
      </c>
      <c r="E1022" s="219" t="s">
        <v>99</v>
      </c>
      <c r="F1022" s="219" t="s">
        <v>1135</v>
      </c>
      <c r="G1022" s="224" t="s">
        <v>283</v>
      </c>
      <c r="H1022" s="220" t="s">
        <v>17</v>
      </c>
      <c r="I1022" s="220" t="s">
        <v>283</v>
      </c>
      <c r="J1022" s="220" t="s">
        <v>283</v>
      </c>
      <c r="K1022" s="220" t="s">
        <v>283</v>
      </c>
      <c r="L1022" s="220" t="s">
        <v>283</v>
      </c>
      <c r="M1022" s="220" t="s">
        <v>283</v>
      </c>
      <c r="N1022" s="220" t="s">
        <v>283</v>
      </c>
      <c r="O1022" s="221" t="s">
        <v>17</v>
      </c>
      <c r="P1022" s="221" t="s">
        <v>17</v>
      </c>
      <c r="Q1022" s="221" t="s">
        <v>15</v>
      </c>
      <c r="R1022" s="221" t="s">
        <v>15</v>
      </c>
      <c r="S1022" s="221" t="s">
        <v>16</v>
      </c>
      <c r="T1022" s="221" t="s">
        <v>330</v>
      </c>
      <c r="U1022" s="221" t="s">
        <v>250</v>
      </c>
      <c r="V1022" s="221" t="s">
        <v>283</v>
      </c>
      <c r="W1022" s="222" t="s">
        <v>283</v>
      </c>
      <c r="X1022" s="222" t="s">
        <v>283</v>
      </c>
      <c r="Y1022" s="223" t="s">
        <v>283</v>
      </c>
    </row>
    <row r="1023" spans="1:25">
      <c r="A1023" s="217">
        <v>19</v>
      </c>
      <c r="B1023" s="218" t="str">
        <f>VLOOKUP(Tabel10[[#This Row],[Code]],Ruimtegroepen[[Code]:[Ruimte omschrijving]],2,FALSE)</f>
        <v>kleedruimten</v>
      </c>
      <c r="C1023" s="219" t="s">
        <v>1133</v>
      </c>
      <c r="D1023" s="218" t="s">
        <v>14</v>
      </c>
      <c r="E1023" s="219" t="s">
        <v>1313</v>
      </c>
      <c r="F1023" s="219" t="s">
        <v>1412</v>
      </c>
      <c r="G1023" s="224" t="s">
        <v>283</v>
      </c>
      <c r="H1023" s="220" t="s">
        <v>283</v>
      </c>
      <c r="I1023" s="220" t="s">
        <v>17</v>
      </c>
      <c r="J1023" s="220" t="s">
        <v>283</v>
      </c>
      <c r="K1023" s="220" t="s">
        <v>17</v>
      </c>
      <c r="L1023" s="220" t="s">
        <v>283</v>
      </c>
      <c r="M1023" s="220" t="s">
        <v>283</v>
      </c>
      <c r="N1023" s="220" t="s">
        <v>283</v>
      </c>
      <c r="O1023" s="221" t="s">
        <v>17</v>
      </c>
      <c r="P1023" s="221" t="s">
        <v>17</v>
      </c>
      <c r="Q1023" s="221" t="s">
        <v>15</v>
      </c>
      <c r="R1023" s="221" t="s">
        <v>15</v>
      </c>
      <c r="S1023" s="221" t="s">
        <v>16</v>
      </c>
      <c r="T1023" s="221" t="s">
        <v>330</v>
      </c>
      <c r="U1023" s="221" t="s">
        <v>250</v>
      </c>
      <c r="V1023" s="221" t="s">
        <v>283</v>
      </c>
      <c r="W1023" s="222" t="s">
        <v>283</v>
      </c>
      <c r="X1023" s="222" t="s">
        <v>283</v>
      </c>
      <c r="Y1023" s="223" t="s">
        <v>283</v>
      </c>
    </row>
    <row r="1024" spans="1:25">
      <c r="A1024" s="217">
        <v>19</v>
      </c>
      <c r="B1024" s="218" t="str">
        <f>VLOOKUP(Tabel10[[#This Row],[Code]],Ruimtegroepen[[Code]:[Ruimte omschrijving]],2,FALSE)</f>
        <v>kleedruimten</v>
      </c>
      <c r="C1024" s="219" t="s">
        <v>1138</v>
      </c>
      <c r="D1024" s="218" t="s">
        <v>13</v>
      </c>
      <c r="E1024" s="219" t="s">
        <v>100</v>
      </c>
      <c r="F1024" s="219" t="s">
        <v>1139</v>
      </c>
      <c r="G1024" s="224" t="s">
        <v>283</v>
      </c>
      <c r="H1024" s="220" t="s">
        <v>283</v>
      </c>
      <c r="I1024" s="220" t="s">
        <v>15</v>
      </c>
      <c r="J1024" s="220" t="s">
        <v>283</v>
      </c>
      <c r="K1024" s="220" t="s">
        <v>15</v>
      </c>
      <c r="L1024" s="220" t="s">
        <v>283</v>
      </c>
      <c r="M1024" s="220" t="s">
        <v>283</v>
      </c>
      <c r="N1024" s="220" t="s">
        <v>283</v>
      </c>
      <c r="O1024" s="221" t="s">
        <v>15</v>
      </c>
      <c r="P1024" s="221" t="s">
        <v>15</v>
      </c>
      <c r="Q1024" s="221" t="s">
        <v>15</v>
      </c>
      <c r="R1024" s="221" t="s">
        <v>15</v>
      </c>
      <c r="S1024" s="221" t="s">
        <v>16</v>
      </c>
      <c r="T1024" s="221" t="s">
        <v>330</v>
      </c>
      <c r="U1024" s="221" t="s">
        <v>250</v>
      </c>
      <c r="V1024" s="221" t="s">
        <v>283</v>
      </c>
      <c r="W1024" s="222" t="s">
        <v>283</v>
      </c>
      <c r="X1024" s="222" t="s">
        <v>283</v>
      </c>
      <c r="Y1024" s="223" t="s">
        <v>283</v>
      </c>
    </row>
    <row r="1025" spans="1:25">
      <c r="A1025" s="217">
        <v>19</v>
      </c>
      <c r="B1025" s="218" t="str">
        <f>VLOOKUP(Tabel10[[#This Row],[Code]],Ruimtegroepen[[Code]:[Ruimte omschrijving]],2,FALSE)</f>
        <v>kleedruimten</v>
      </c>
      <c r="C1025" s="219" t="s">
        <v>1138</v>
      </c>
      <c r="D1025" s="218" t="s">
        <v>13</v>
      </c>
      <c r="E1025" s="219" t="s">
        <v>99</v>
      </c>
      <c r="F1025" s="219" t="s">
        <v>1140</v>
      </c>
      <c r="G1025" s="224" t="s">
        <v>283</v>
      </c>
      <c r="H1025" s="220" t="s">
        <v>15</v>
      </c>
      <c r="I1025" s="220" t="s">
        <v>283</v>
      </c>
      <c r="J1025" s="220" t="s">
        <v>283</v>
      </c>
      <c r="K1025" s="220" t="s">
        <v>283</v>
      </c>
      <c r="L1025" s="220" t="s">
        <v>283</v>
      </c>
      <c r="M1025" s="220" t="s">
        <v>283</v>
      </c>
      <c r="N1025" s="220" t="s">
        <v>283</v>
      </c>
      <c r="O1025" s="221" t="s">
        <v>15</v>
      </c>
      <c r="P1025" s="221" t="s">
        <v>15</v>
      </c>
      <c r="Q1025" s="221" t="s">
        <v>15</v>
      </c>
      <c r="R1025" s="221" t="s">
        <v>15</v>
      </c>
      <c r="S1025" s="221" t="s">
        <v>16</v>
      </c>
      <c r="T1025" s="221" t="s">
        <v>330</v>
      </c>
      <c r="U1025" s="221" t="s">
        <v>250</v>
      </c>
      <c r="V1025" s="221" t="s">
        <v>283</v>
      </c>
      <c r="W1025" s="222" t="s">
        <v>283</v>
      </c>
      <c r="X1025" s="222" t="s">
        <v>283</v>
      </c>
      <c r="Y1025" s="223" t="s">
        <v>283</v>
      </c>
    </row>
    <row r="1026" spans="1:25">
      <c r="A1026" s="217">
        <v>19</v>
      </c>
      <c r="B1026" s="218" t="str">
        <f>VLOOKUP(Tabel10[[#This Row],[Code]],Ruimtegroepen[[Code]:[Ruimte omschrijving]],2,FALSE)</f>
        <v>kleedruimten</v>
      </c>
      <c r="C1026" s="219" t="s">
        <v>1138</v>
      </c>
      <c r="D1026" s="218" t="s">
        <v>13</v>
      </c>
      <c r="E1026" s="219" t="s">
        <v>101</v>
      </c>
      <c r="F1026" s="219" t="s">
        <v>1141</v>
      </c>
      <c r="G1026" s="224" t="s">
        <v>283</v>
      </c>
      <c r="H1026" s="220" t="s">
        <v>283</v>
      </c>
      <c r="I1026" s="220" t="s">
        <v>15</v>
      </c>
      <c r="J1026" s="220" t="s">
        <v>283</v>
      </c>
      <c r="K1026" s="220" t="s">
        <v>15</v>
      </c>
      <c r="L1026" s="220" t="s">
        <v>283</v>
      </c>
      <c r="M1026" s="220" t="s">
        <v>283</v>
      </c>
      <c r="N1026" s="220" t="s">
        <v>283</v>
      </c>
      <c r="O1026" s="221" t="s">
        <v>15</v>
      </c>
      <c r="P1026" s="221" t="s">
        <v>15</v>
      </c>
      <c r="Q1026" s="221" t="s">
        <v>15</v>
      </c>
      <c r="R1026" s="221" t="s">
        <v>15</v>
      </c>
      <c r="S1026" s="221" t="s">
        <v>16</v>
      </c>
      <c r="T1026" s="221" t="s">
        <v>330</v>
      </c>
      <c r="U1026" s="221" t="s">
        <v>250</v>
      </c>
      <c r="V1026" s="221" t="s">
        <v>283</v>
      </c>
      <c r="W1026" s="222" t="s">
        <v>283</v>
      </c>
      <c r="X1026" s="222" t="s">
        <v>283</v>
      </c>
      <c r="Y1026" s="223" t="s">
        <v>283</v>
      </c>
    </row>
    <row r="1027" spans="1:25">
      <c r="A1027" s="217">
        <v>19</v>
      </c>
      <c r="B1027" s="218" t="str">
        <f>VLOOKUP(Tabel10[[#This Row],[Code]],Ruimtegroepen[[Code]:[Ruimte omschrijving]],2,FALSE)</f>
        <v>kleedruimten</v>
      </c>
      <c r="C1027" s="219" t="s">
        <v>1138</v>
      </c>
      <c r="D1027" s="218" t="s">
        <v>13</v>
      </c>
      <c r="E1027" s="219" t="s">
        <v>102</v>
      </c>
      <c r="F1027" s="219" t="s">
        <v>1142</v>
      </c>
      <c r="G1027" s="224" t="s">
        <v>283</v>
      </c>
      <c r="H1027" s="220" t="s">
        <v>283</v>
      </c>
      <c r="I1027" s="220" t="s">
        <v>15</v>
      </c>
      <c r="J1027" s="220" t="s">
        <v>283</v>
      </c>
      <c r="K1027" s="220" t="s">
        <v>15</v>
      </c>
      <c r="L1027" s="220" t="s">
        <v>283</v>
      </c>
      <c r="M1027" s="220" t="s">
        <v>283</v>
      </c>
      <c r="N1027" s="220" t="s">
        <v>283</v>
      </c>
      <c r="O1027" s="221" t="s">
        <v>15</v>
      </c>
      <c r="P1027" s="221" t="s">
        <v>15</v>
      </c>
      <c r="Q1027" s="221" t="s">
        <v>15</v>
      </c>
      <c r="R1027" s="221" t="s">
        <v>15</v>
      </c>
      <c r="S1027" s="221" t="s">
        <v>16</v>
      </c>
      <c r="T1027" s="221" t="s">
        <v>330</v>
      </c>
      <c r="U1027" s="221" t="s">
        <v>250</v>
      </c>
      <c r="V1027" s="221" t="s">
        <v>283</v>
      </c>
      <c r="W1027" s="222" t="s">
        <v>283</v>
      </c>
      <c r="X1027" s="222" t="s">
        <v>283</v>
      </c>
      <c r="Y1027" s="223" t="s">
        <v>283</v>
      </c>
    </row>
    <row r="1028" spans="1:25">
      <c r="A1028" s="217">
        <v>19</v>
      </c>
      <c r="B1028" s="218" t="str">
        <f>VLOOKUP(Tabel10[[#This Row],[Code]],Ruimtegroepen[[Code]:[Ruimte omschrijving]],2,FALSE)</f>
        <v>kleedruimten</v>
      </c>
      <c r="C1028" s="219" t="s">
        <v>1138</v>
      </c>
      <c r="D1028" s="218" t="s">
        <v>13</v>
      </c>
      <c r="E1028" s="219" t="s">
        <v>99</v>
      </c>
      <c r="F1028" s="219" t="s">
        <v>1140</v>
      </c>
      <c r="G1028" s="224" t="s">
        <v>283</v>
      </c>
      <c r="H1028" s="220" t="s">
        <v>15</v>
      </c>
      <c r="I1028" s="220" t="s">
        <v>283</v>
      </c>
      <c r="J1028" s="220" t="s">
        <v>283</v>
      </c>
      <c r="K1028" s="220" t="s">
        <v>283</v>
      </c>
      <c r="L1028" s="220" t="s">
        <v>283</v>
      </c>
      <c r="M1028" s="220" t="s">
        <v>283</v>
      </c>
      <c r="N1028" s="220" t="s">
        <v>283</v>
      </c>
      <c r="O1028" s="221" t="s">
        <v>15</v>
      </c>
      <c r="P1028" s="221" t="s">
        <v>15</v>
      </c>
      <c r="Q1028" s="221" t="s">
        <v>15</v>
      </c>
      <c r="R1028" s="221" t="s">
        <v>15</v>
      </c>
      <c r="S1028" s="221" t="s">
        <v>16</v>
      </c>
      <c r="T1028" s="221" t="s">
        <v>330</v>
      </c>
      <c r="U1028" s="221" t="s">
        <v>250</v>
      </c>
      <c r="V1028" s="221" t="s">
        <v>283</v>
      </c>
      <c r="W1028" s="222" t="s">
        <v>283</v>
      </c>
      <c r="X1028" s="222" t="s">
        <v>283</v>
      </c>
      <c r="Y1028" s="223" t="s">
        <v>283</v>
      </c>
    </row>
    <row r="1029" spans="1:25">
      <c r="A1029" s="217">
        <v>19</v>
      </c>
      <c r="B1029" s="218" t="str">
        <f>VLOOKUP(Tabel10[[#This Row],[Code]],Ruimtegroepen[[Code]:[Ruimte omschrijving]],2,FALSE)</f>
        <v>kleedruimten</v>
      </c>
      <c r="C1029" s="219" t="s">
        <v>1138</v>
      </c>
      <c r="D1029" s="218" t="s">
        <v>13</v>
      </c>
      <c r="E1029" s="219" t="s">
        <v>1313</v>
      </c>
      <c r="F1029" s="219" t="s">
        <v>1379</v>
      </c>
      <c r="G1029" s="224" t="s">
        <v>283</v>
      </c>
      <c r="H1029" s="220" t="s">
        <v>283</v>
      </c>
      <c r="I1029" s="220" t="s">
        <v>15</v>
      </c>
      <c r="J1029" s="220" t="s">
        <v>283</v>
      </c>
      <c r="K1029" s="220" t="s">
        <v>15</v>
      </c>
      <c r="L1029" s="220" t="s">
        <v>283</v>
      </c>
      <c r="M1029" s="220" t="s">
        <v>283</v>
      </c>
      <c r="N1029" s="220" t="s">
        <v>283</v>
      </c>
      <c r="O1029" s="221" t="s">
        <v>15</v>
      </c>
      <c r="P1029" s="221" t="s">
        <v>15</v>
      </c>
      <c r="Q1029" s="221" t="s">
        <v>15</v>
      </c>
      <c r="R1029" s="221" t="s">
        <v>15</v>
      </c>
      <c r="S1029" s="221" t="s">
        <v>16</v>
      </c>
      <c r="T1029" s="221" t="s">
        <v>330</v>
      </c>
      <c r="U1029" s="221" t="s">
        <v>250</v>
      </c>
      <c r="V1029" s="221" t="s">
        <v>283</v>
      </c>
      <c r="W1029" s="222" t="s">
        <v>283</v>
      </c>
      <c r="X1029" s="222" t="s">
        <v>283</v>
      </c>
      <c r="Y1029" s="223" t="s">
        <v>283</v>
      </c>
    </row>
    <row r="1030" spans="1:25">
      <c r="A1030" s="217">
        <v>19</v>
      </c>
      <c r="B1030" s="218" t="str">
        <f>VLOOKUP(Tabel10[[#This Row],[Code]],Ruimtegroepen[[Code]:[Ruimte omschrijving]],2,FALSE)</f>
        <v>kleedruimten</v>
      </c>
      <c r="C1030" s="219" t="s">
        <v>1143</v>
      </c>
      <c r="D1030" s="218" t="s">
        <v>0</v>
      </c>
      <c r="E1030" s="219" t="s">
        <v>100</v>
      </c>
      <c r="F1030" s="219" t="s">
        <v>1144</v>
      </c>
      <c r="G1030" s="224" t="s">
        <v>283</v>
      </c>
      <c r="H1030" s="220" t="s">
        <v>283</v>
      </c>
      <c r="I1030" s="220" t="s">
        <v>16</v>
      </c>
      <c r="J1030" s="220" t="s">
        <v>283</v>
      </c>
      <c r="K1030" s="220" t="s">
        <v>16</v>
      </c>
      <c r="L1030" s="220" t="s">
        <v>283</v>
      </c>
      <c r="M1030" s="220" t="s">
        <v>283</v>
      </c>
      <c r="N1030" s="220" t="s">
        <v>283</v>
      </c>
      <c r="O1030" s="221" t="s">
        <v>16</v>
      </c>
      <c r="P1030" s="221" t="s">
        <v>16</v>
      </c>
      <c r="Q1030" s="221" t="s">
        <v>16</v>
      </c>
      <c r="R1030" s="221" t="s">
        <v>16</v>
      </c>
      <c r="S1030" s="221" t="s">
        <v>16</v>
      </c>
      <c r="T1030" s="221" t="s">
        <v>330</v>
      </c>
      <c r="U1030" s="221" t="s">
        <v>250</v>
      </c>
      <c r="V1030" s="221" t="s">
        <v>283</v>
      </c>
      <c r="W1030" s="222" t="s">
        <v>283</v>
      </c>
      <c r="X1030" s="222" t="s">
        <v>283</v>
      </c>
      <c r="Y1030" s="223" t="s">
        <v>283</v>
      </c>
    </row>
    <row r="1031" spans="1:25">
      <c r="A1031" s="217">
        <v>19</v>
      </c>
      <c r="B1031" s="218" t="str">
        <f>VLOOKUP(Tabel10[[#This Row],[Code]],Ruimtegroepen[[Code]:[Ruimte omschrijving]],2,FALSE)</f>
        <v>kleedruimten</v>
      </c>
      <c r="C1031" s="219" t="s">
        <v>1143</v>
      </c>
      <c r="D1031" s="218" t="s">
        <v>0</v>
      </c>
      <c r="E1031" s="219" t="s">
        <v>99</v>
      </c>
      <c r="F1031" s="219" t="s">
        <v>1145</v>
      </c>
      <c r="G1031" s="224" t="s">
        <v>283</v>
      </c>
      <c r="H1031" s="220" t="s">
        <v>16</v>
      </c>
      <c r="I1031" s="220" t="s">
        <v>283</v>
      </c>
      <c r="J1031" s="220" t="s">
        <v>283</v>
      </c>
      <c r="K1031" s="220" t="s">
        <v>283</v>
      </c>
      <c r="L1031" s="220" t="s">
        <v>283</v>
      </c>
      <c r="M1031" s="220" t="s">
        <v>283</v>
      </c>
      <c r="N1031" s="220" t="s">
        <v>283</v>
      </c>
      <c r="O1031" s="221" t="s">
        <v>16</v>
      </c>
      <c r="P1031" s="221" t="s">
        <v>16</v>
      </c>
      <c r="Q1031" s="221" t="s">
        <v>16</v>
      </c>
      <c r="R1031" s="221" t="s">
        <v>16</v>
      </c>
      <c r="S1031" s="221" t="s">
        <v>16</v>
      </c>
      <c r="T1031" s="221" t="s">
        <v>330</v>
      </c>
      <c r="U1031" s="221" t="s">
        <v>250</v>
      </c>
      <c r="V1031" s="221" t="s">
        <v>283</v>
      </c>
      <c r="W1031" s="222" t="s">
        <v>283</v>
      </c>
      <c r="X1031" s="222" t="s">
        <v>283</v>
      </c>
      <c r="Y1031" s="223" t="s">
        <v>283</v>
      </c>
    </row>
    <row r="1032" spans="1:25">
      <c r="A1032" s="217">
        <v>19</v>
      </c>
      <c r="B1032" s="218" t="str">
        <f>VLOOKUP(Tabel10[[#This Row],[Code]],Ruimtegroepen[[Code]:[Ruimte omschrijving]],2,FALSE)</f>
        <v>kleedruimten</v>
      </c>
      <c r="C1032" s="219" t="s">
        <v>1143</v>
      </c>
      <c r="D1032" s="218" t="s">
        <v>0</v>
      </c>
      <c r="E1032" s="219" t="s">
        <v>101</v>
      </c>
      <c r="F1032" s="219" t="s">
        <v>1146</v>
      </c>
      <c r="G1032" s="224" t="s">
        <v>283</v>
      </c>
      <c r="H1032" s="220" t="s">
        <v>283</v>
      </c>
      <c r="I1032" s="220" t="s">
        <v>16</v>
      </c>
      <c r="J1032" s="220" t="s">
        <v>362</v>
      </c>
      <c r="K1032" s="220" t="s">
        <v>16</v>
      </c>
      <c r="L1032" s="220" t="s">
        <v>283</v>
      </c>
      <c r="M1032" s="220" t="s">
        <v>283</v>
      </c>
      <c r="N1032" s="220" t="s">
        <v>283</v>
      </c>
      <c r="O1032" s="221" t="s">
        <v>16</v>
      </c>
      <c r="P1032" s="221" t="s">
        <v>16</v>
      </c>
      <c r="Q1032" s="221" t="s">
        <v>16</v>
      </c>
      <c r="R1032" s="221" t="s">
        <v>16</v>
      </c>
      <c r="S1032" s="221" t="s">
        <v>16</v>
      </c>
      <c r="T1032" s="221" t="s">
        <v>330</v>
      </c>
      <c r="U1032" s="221" t="s">
        <v>250</v>
      </c>
      <c r="V1032" s="221" t="s">
        <v>283</v>
      </c>
      <c r="W1032" s="222" t="s">
        <v>283</v>
      </c>
      <c r="X1032" s="222" t="s">
        <v>283</v>
      </c>
      <c r="Y1032" s="223" t="s">
        <v>283</v>
      </c>
    </row>
    <row r="1033" spans="1:25">
      <c r="A1033" s="217">
        <v>19</v>
      </c>
      <c r="B1033" s="218" t="str">
        <f>VLOOKUP(Tabel10[[#This Row],[Code]],Ruimtegroepen[[Code]:[Ruimte omschrijving]],2,FALSE)</f>
        <v>kleedruimten</v>
      </c>
      <c r="C1033" s="219" t="s">
        <v>1143</v>
      </c>
      <c r="D1033" s="218" t="s">
        <v>0</v>
      </c>
      <c r="E1033" s="219" t="s">
        <v>102</v>
      </c>
      <c r="F1033" s="219" t="s">
        <v>1147</v>
      </c>
      <c r="G1033" s="224" t="s">
        <v>283</v>
      </c>
      <c r="H1033" s="220" t="s">
        <v>283</v>
      </c>
      <c r="I1033" s="220" t="s">
        <v>16</v>
      </c>
      <c r="J1033" s="220" t="s">
        <v>283</v>
      </c>
      <c r="K1033" s="220" t="s">
        <v>16</v>
      </c>
      <c r="L1033" s="220" t="s">
        <v>283</v>
      </c>
      <c r="M1033" s="220" t="s">
        <v>283</v>
      </c>
      <c r="N1033" s="220" t="s">
        <v>283</v>
      </c>
      <c r="O1033" s="221" t="s">
        <v>16</v>
      </c>
      <c r="P1033" s="221" t="s">
        <v>16</v>
      </c>
      <c r="Q1033" s="221" t="s">
        <v>16</v>
      </c>
      <c r="R1033" s="221" t="s">
        <v>16</v>
      </c>
      <c r="S1033" s="221" t="s">
        <v>16</v>
      </c>
      <c r="T1033" s="221" t="s">
        <v>330</v>
      </c>
      <c r="U1033" s="221" t="s">
        <v>250</v>
      </c>
      <c r="V1033" s="221" t="s">
        <v>283</v>
      </c>
      <c r="W1033" s="222" t="s">
        <v>283</v>
      </c>
      <c r="X1033" s="222" t="s">
        <v>283</v>
      </c>
      <c r="Y1033" s="223" t="s">
        <v>283</v>
      </c>
    </row>
    <row r="1034" spans="1:25">
      <c r="A1034" s="217">
        <v>19</v>
      </c>
      <c r="B1034" s="218" t="str">
        <f>VLOOKUP(Tabel10[[#This Row],[Code]],Ruimtegroepen[[Code]:[Ruimte omschrijving]],2,FALSE)</f>
        <v>kleedruimten</v>
      </c>
      <c r="C1034" s="219" t="s">
        <v>1143</v>
      </c>
      <c r="D1034" s="218" t="s">
        <v>0</v>
      </c>
      <c r="E1034" s="219" t="s">
        <v>99</v>
      </c>
      <c r="F1034" s="219" t="s">
        <v>1145</v>
      </c>
      <c r="G1034" s="224" t="s">
        <v>283</v>
      </c>
      <c r="H1034" s="220" t="s">
        <v>16</v>
      </c>
      <c r="I1034" s="220" t="s">
        <v>283</v>
      </c>
      <c r="J1034" s="220" t="s">
        <v>283</v>
      </c>
      <c r="K1034" s="220" t="s">
        <v>283</v>
      </c>
      <c r="L1034" s="220" t="s">
        <v>283</v>
      </c>
      <c r="M1034" s="220" t="s">
        <v>283</v>
      </c>
      <c r="N1034" s="220" t="s">
        <v>283</v>
      </c>
      <c r="O1034" s="221" t="s">
        <v>16</v>
      </c>
      <c r="P1034" s="221" t="s">
        <v>16</v>
      </c>
      <c r="Q1034" s="221" t="s">
        <v>16</v>
      </c>
      <c r="R1034" s="221" t="s">
        <v>16</v>
      </c>
      <c r="S1034" s="221" t="s">
        <v>16</v>
      </c>
      <c r="T1034" s="221" t="s">
        <v>330</v>
      </c>
      <c r="U1034" s="221" t="s">
        <v>250</v>
      </c>
      <c r="V1034" s="221" t="s">
        <v>283</v>
      </c>
      <c r="W1034" s="222" t="s">
        <v>283</v>
      </c>
      <c r="X1034" s="222" t="s">
        <v>283</v>
      </c>
      <c r="Y1034" s="223" t="s">
        <v>283</v>
      </c>
    </row>
    <row r="1035" spans="1:25">
      <c r="A1035" s="217">
        <v>19</v>
      </c>
      <c r="B1035" s="218" t="str">
        <f>VLOOKUP(Tabel10[[#This Row],[Code]],Ruimtegroepen[[Code]:[Ruimte omschrijving]],2,FALSE)</f>
        <v>kleedruimten</v>
      </c>
      <c r="C1035" s="219" t="s">
        <v>1143</v>
      </c>
      <c r="D1035" s="218" t="s">
        <v>0</v>
      </c>
      <c r="E1035" s="219" t="s">
        <v>1313</v>
      </c>
      <c r="F1035" s="219" t="s">
        <v>1363</v>
      </c>
      <c r="G1035" s="224" t="s">
        <v>283</v>
      </c>
      <c r="H1035" s="220" t="s">
        <v>283</v>
      </c>
      <c r="I1035" s="220" t="s">
        <v>16</v>
      </c>
      <c r="J1035" s="220" t="s">
        <v>283</v>
      </c>
      <c r="K1035" s="220" t="s">
        <v>16</v>
      </c>
      <c r="L1035" s="220" t="s">
        <v>283</v>
      </c>
      <c r="M1035" s="220" t="s">
        <v>283</v>
      </c>
      <c r="N1035" s="220" t="s">
        <v>283</v>
      </c>
      <c r="O1035" s="221" t="s">
        <v>16</v>
      </c>
      <c r="P1035" s="221" t="s">
        <v>16</v>
      </c>
      <c r="Q1035" s="221" t="s">
        <v>16</v>
      </c>
      <c r="R1035" s="221" t="s">
        <v>16</v>
      </c>
      <c r="S1035" s="221" t="s">
        <v>16</v>
      </c>
      <c r="T1035" s="221" t="s">
        <v>330</v>
      </c>
      <c r="U1035" s="221" t="s">
        <v>250</v>
      </c>
      <c r="V1035" s="221" t="s">
        <v>283</v>
      </c>
      <c r="W1035" s="222" t="s">
        <v>283</v>
      </c>
      <c r="X1035" s="222" t="s">
        <v>283</v>
      </c>
      <c r="Y1035" s="223" t="s">
        <v>283</v>
      </c>
    </row>
    <row r="1036" spans="1:25">
      <c r="A1036" s="217">
        <v>19</v>
      </c>
      <c r="B1036" s="218" t="str">
        <f>VLOOKUP(Tabel10[[#This Row],[Code]],Ruimtegroepen[[Code]:[Ruimte omschrijving]],2,FALSE)</f>
        <v>kleedruimten</v>
      </c>
      <c r="C1036" s="219" t="s">
        <v>1148</v>
      </c>
      <c r="D1036" s="218" t="s">
        <v>27</v>
      </c>
      <c r="E1036" s="219" t="s">
        <v>100</v>
      </c>
      <c r="F1036" s="219" t="s">
        <v>1149</v>
      </c>
      <c r="G1036" s="224" t="s">
        <v>283</v>
      </c>
      <c r="H1036" s="220" t="s">
        <v>283</v>
      </c>
      <c r="I1036" s="220" t="s">
        <v>15</v>
      </c>
      <c r="J1036" s="220" t="s">
        <v>283</v>
      </c>
      <c r="K1036" s="220" t="s">
        <v>283</v>
      </c>
      <c r="L1036" s="220" t="s">
        <v>283</v>
      </c>
      <c r="M1036" s="220" t="s">
        <v>283</v>
      </c>
      <c r="N1036" s="220" t="s">
        <v>283</v>
      </c>
      <c r="O1036" s="221" t="s">
        <v>15</v>
      </c>
      <c r="P1036" s="221" t="s">
        <v>15</v>
      </c>
      <c r="Q1036" s="221" t="s">
        <v>15</v>
      </c>
      <c r="R1036" s="221" t="s">
        <v>283</v>
      </c>
      <c r="S1036" s="221" t="s">
        <v>283</v>
      </c>
      <c r="T1036" s="221" t="s">
        <v>283</v>
      </c>
      <c r="U1036" s="221" t="s">
        <v>283</v>
      </c>
      <c r="V1036" s="221" t="s">
        <v>283</v>
      </c>
      <c r="W1036" s="222" t="s">
        <v>283</v>
      </c>
      <c r="X1036" s="222" t="s">
        <v>283</v>
      </c>
      <c r="Y1036" s="223" t="s">
        <v>283</v>
      </c>
    </row>
    <row r="1037" spans="1:25">
      <c r="A1037" s="217">
        <v>19</v>
      </c>
      <c r="B1037" s="218" t="str">
        <f>VLOOKUP(Tabel10[[#This Row],[Code]],Ruimtegroepen[[Code]:[Ruimte omschrijving]],2,FALSE)</f>
        <v>kleedruimten</v>
      </c>
      <c r="C1037" s="219" t="s">
        <v>1148</v>
      </c>
      <c r="D1037" s="218" t="s">
        <v>27</v>
      </c>
      <c r="E1037" s="219" t="s">
        <v>99</v>
      </c>
      <c r="F1037" s="219" t="s">
        <v>1150</v>
      </c>
      <c r="G1037" s="224" t="s">
        <v>283</v>
      </c>
      <c r="H1037" s="220" t="s">
        <v>15</v>
      </c>
      <c r="I1037" s="220" t="s">
        <v>283</v>
      </c>
      <c r="J1037" s="220" t="s">
        <v>283</v>
      </c>
      <c r="K1037" s="220" t="s">
        <v>283</v>
      </c>
      <c r="L1037" s="220" t="s">
        <v>283</v>
      </c>
      <c r="M1037" s="220" t="s">
        <v>283</v>
      </c>
      <c r="N1037" s="220" t="s">
        <v>283</v>
      </c>
      <c r="O1037" s="221" t="s">
        <v>15</v>
      </c>
      <c r="P1037" s="221" t="s">
        <v>15</v>
      </c>
      <c r="Q1037" s="221" t="s">
        <v>15</v>
      </c>
      <c r="R1037" s="221" t="s">
        <v>283</v>
      </c>
      <c r="S1037" s="221" t="s">
        <v>283</v>
      </c>
      <c r="T1037" s="221" t="s">
        <v>283</v>
      </c>
      <c r="U1037" s="221" t="s">
        <v>283</v>
      </c>
      <c r="V1037" s="221" t="s">
        <v>283</v>
      </c>
      <c r="W1037" s="222" t="s">
        <v>283</v>
      </c>
      <c r="X1037" s="222" t="s">
        <v>283</v>
      </c>
      <c r="Y1037" s="223" t="s">
        <v>283</v>
      </c>
    </row>
    <row r="1038" spans="1:25">
      <c r="A1038" s="217">
        <v>19</v>
      </c>
      <c r="B1038" s="218" t="str">
        <f>VLOOKUP(Tabel10[[#This Row],[Code]],Ruimtegroepen[[Code]:[Ruimte omschrijving]],2,FALSE)</f>
        <v>kleedruimten</v>
      </c>
      <c r="C1038" s="219" t="s">
        <v>1148</v>
      </c>
      <c r="D1038" s="218" t="s">
        <v>27</v>
      </c>
      <c r="E1038" s="219" t="s">
        <v>101</v>
      </c>
      <c r="F1038" s="219" t="s">
        <v>1151</v>
      </c>
      <c r="G1038" s="224" t="s">
        <v>283</v>
      </c>
      <c r="H1038" s="220" t="s">
        <v>283</v>
      </c>
      <c r="I1038" s="220" t="s">
        <v>15</v>
      </c>
      <c r="J1038" s="220" t="s">
        <v>283</v>
      </c>
      <c r="K1038" s="220" t="s">
        <v>283</v>
      </c>
      <c r="L1038" s="220" t="s">
        <v>283</v>
      </c>
      <c r="M1038" s="220" t="s">
        <v>283</v>
      </c>
      <c r="N1038" s="220" t="s">
        <v>283</v>
      </c>
      <c r="O1038" s="221" t="s">
        <v>15</v>
      </c>
      <c r="P1038" s="221" t="s">
        <v>15</v>
      </c>
      <c r="Q1038" s="221" t="s">
        <v>15</v>
      </c>
      <c r="R1038" s="221" t="s">
        <v>283</v>
      </c>
      <c r="S1038" s="221" t="s">
        <v>283</v>
      </c>
      <c r="T1038" s="221" t="s">
        <v>283</v>
      </c>
      <c r="U1038" s="221" t="s">
        <v>283</v>
      </c>
      <c r="V1038" s="221" t="s">
        <v>283</v>
      </c>
      <c r="W1038" s="222" t="s">
        <v>283</v>
      </c>
      <c r="X1038" s="222" t="s">
        <v>283</v>
      </c>
      <c r="Y1038" s="223" t="s">
        <v>283</v>
      </c>
    </row>
    <row r="1039" spans="1:25">
      <c r="A1039" s="217">
        <v>19</v>
      </c>
      <c r="B1039" s="218" t="str">
        <f>VLOOKUP(Tabel10[[#This Row],[Code]],Ruimtegroepen[[Code]:[Ruimte omschrijving]],2,FALSE)</f>
        <v>kleedruimten</v>
      </c>
      <c r="C1039" s="219" t="s">
        <v>1148</v>
      </c>
      <c r="D1039" s="218" t="s">
        <v>27</v>
      </c>
      <c r="E1039" s="219" t="s">
        <v>102</v>
      </c>
      <c r="F1039" s="219" t="s">
        <v>1152</v>
      </c>
      <c r="G1039" s="224" t="s">
        <v>283</v>
      </c>
      <c r="H1039" s="220" t="s">
        <v>283</v>
      </c>
      <c r="I1039" s="220" t="s">
        <v>15</v>
      </c>
      <c r="J1039" s="220" t="s">
        <v>283</v>
      </c>
      <c r="K1039" s="220" t="s">
        <v>283</v>
      </c>
      <c r="L1039" s="220" t="s">
        <v>283</v>
      </c>
      <c r="M1039" s="220" t="s">
        <v>283</v>
      </c>
      <c r="N1039" s="220" t="s">
        <v>283</v>
      </c>
      <c r="O1039" s="221" t="s">
        <v>15</v>
      </c>
      <c r="P1039" s="221" t="s">
        <v>15</v>
      </c>
      <c r="Q1039" s="221" t="s">
        <v>15</v>
      </c>
      <c r="R1039" s="221" t="s">
        <v>283</v>
      </c>
      <c r="S1039" s="221" t="s">
        <v>283</v>
      </c>
      <c r="T1039" s="221" t="s">
        <v>283</v>
      </c>
      <c r="U1039" s="221" t="s">
        <v>283</v>
      </c>
      <c r="V1039" s="221" t="s">
        <v>283</v>
      </c>
      <c r="W1039" s="222" t="s">
        <v>283</v>
      </c>
      <c r="X1039" s="222" t="s">
        <v>283</v>
      </c>
      <c r="Y1039" s="223" t="s">
        <v>283</v>
      </c>
    </row>
    <row r="1040" spans="1:25">
      <c r="A1040" s="217">
        <v>19</v>
      </c>
      <c r="B1040" s="218" t="str">
        <f>VLOOKUP(Tabel10[[#This Row],[Code]],Ruimtegroepen[[Code]:[Ruimte omschrijving]],2,FALSE)</f>
        <v>kleedruimten</v>
      </c>
      <c r="C1040" s="219" t="s">
        <v>1148</v>
      </c>
      <c r="D1040" s="218" t="s">
        <v>27</v>
      </c>
      <c r="E1040" s="219" t="s">
        <v>99</v>
      </c>
      <c r="F1040" s="219" t="s">
        <v>1150</v>
      </c>
      <c r="G1040" s="224" t="s">
        <v>283</v>
      </c>
      <c r="H1040" s="220" t="s">
        <v>15</v>
      </c>
      <c r="I1040" s="220" t="s">
        <v>283</v>
      </c>
      <c r="J1040" s="220" t="s">
        <v>283</v>
      </c>
      <c r="K1040" s="220" t="s">
        <v>283</v>
      </c>
      <c r="L1040" s="220" t="s">
        <v>283</v>
      </c>
      <c r="M1040" s="220" t="s">
        <v>283</v>
      </c>
      <c r="N1040" s="220" t="s">
        <v>283</v>
      </c>
      <c r="O1040" s="221" t="s">
        <v>15</v>
      </c>
      <c r="P1040" s="221" t="s">
        <v>15</v>
      </c>
      <c r="Q1040" s="221" t="s">
        <v>15</v>
      </c>
      <c r="R1040" s="221" t="s">
        <v>283</v>
      </c>
      <c r="S1040" s="221" t="s">
        <v>283</v>
      </c>
      <c r="T1040" s="221" t="s">
        <v>283</v>
      </c>
      <c r="U1040" s="221" t="s">
        <v>283</v>
      </c>
      <c r="V1040" s="221" t="s">
        <v>283</v>
      </c>
      <c r="W1040" s="222" t="s">
        <v>283</v>
      </c>
      <c r="X1040" s="222" t="s">
        <v>283</v>
      </c>
      <c r="Y1040" s="223" t="s">
        <v>283</v>
      </c>
    </row>
    <row r="1041" spans="1:25">
      <c r="A1041" s="217">
        <v>19</v>
      </c>
      <c r="B1041" s="218" t="str">
        <f>VLOOKUP(Tabel10[[#This Row],[Code]],Ruimtegroepen[[Code]:[Ruimte omschrijving]],2,FALSE)</f>
        <v>kleedruimten</v>
      </c>
      <c r="C1041" s="219" t="s">
        <v>1148</v>
      </c>
      <c r="D1041" s="218" t="s">
        <v>27</v>
      </c>
      <c r="E1041" s="219" t="s">
        <v>1313</v>
      </c>
      <c r="F1041" s="219" t="s">
        <v>1396</v>
      </c>
      <c r="G1041" s="224" t="s">
        <v>283</v>
      </c>
      <c r="H1041" s="220" t="s">
        <v>283</v>
      </c>
      <c r="I1041" s="220" t="s">
        <v>15</v>
      </c>
      <c r="J1041" s="220" t="s">
        <v>283</v>
      </c>
      <c r="K1041" s="220" t="s">
        <v>283</v>
      </c>
      <c r="L1041" s="220" t="s">
        <v>283</v>
      </c>
      <c r="M1041" s="220" t="s">
        <v>283</v>
      </c>
      <c r="N1041" s="220" t="s">
        <v>283</v>
      </c>
      <c r="O1041" s="221" t="s">
        <v>15</v>
      </c>
      <c r="P1041" s="221" t="s">
        <v>15</v>
      </c>
      <c r="Q1041" s="221" t="s">
        <v>15</v>
      </c>
      <c r="R1041" s="221" t="s">
        <v>283</v>
      </c>
      <c r="S1041" s="221" t="s">
        <v>283</v>
      </c>
      <c r="T1041" s="221" t="s">
        <v>283</v>
      </c>
      <c r="U1041" s="221" t="s">
        <v>283</v>
      </c>
      <c r="V1041" s="221" t="s">
        <v>283</v>
      </c>
      <c r="W1041" s="222" t="s">
        <v>283</v>
      </c>
      <c r="X1041" s="222" t="s">
        <v>283</v>
      </c>
      <c r="Y1041" s="223" t="s">
        <v>283</v>
      </c>
    </row>
    <row r="1042" spans="1:25">
      <c r="A1042" s="217">
        <v>19</v>
      </c>
      <c r="B1042" s="218" t="str">
        <f>VLOOKUP(Tabel10[[#This Row],[Code]],Ruimtegroepen[[Code]:[Ruimte omschrijving]],2,FALSE)</f>
        <v>kleedruimten</v>
      </c>
      <c r="C1042" s="219" t="s">
        <v>1153</v>
      </c>
      <c r="D1042" s="218" t="s">
        <v>28</v>
      </c>
      <c r="E1042" s="219" t="s">
        <v>100</v>
      </c>
      <c r="F1042" s="219" t="s">
        <v>1154</v>
      </c>
      <c r="G1042" s="224" t="s">
        <v>283</v>
      </c>
      <c r="H1042" s="220" t="s">
        <v>283</v>
      </c>
      <c r="I1042" s="220" t="s">
        <v>17</v>
      </c>
      <c r="J1042" s="220" t="s">
        <v>283</v>
      </c>
      <c r="K1042" s="220" t="s">
        <v>283</v>
      </c>
      <c r="L1042" s="220" t="s">
        <v>283</v>
      </c>
      <c r="M1042" s="220" t="s">
        <v>283</v>
      </c>
      <c r="N1042" s="220" t="s">
        <v>283</v>
      </c>
      <c r="O1042" s="221" t="s">
        <v>17</v>
      </c>
      <c r="P1042" s="221" t="s">
        <v>17</v>
      </c>
      <c r="Q1042" s="221" t="s">
        <v>15</v>
      </c>
      <c r="R1042" s="221" t="s">
        <v>283</v>
      </c>
      <c r="S1042" s="221" t="s">
        <v>283</v>
      </c>
      <c r="T1042" s="221" t="s">
        <v>283</v>
      </c>
      <c r="U1042" s="221" t="s">
        <v>283</v>
      </c>
      <c r="V1042" s="221" t="s">
        <v>283</v>
      </c>
      <c r="W1042" s="222" t="s">
        <v>283</v>
      </c>
      <c r="X1042" s="222" t="s">
        <v>283</v>
      </c>
      <c r="Y1042" s="223" t="s">
        <v>283</v>
      </c>
    </row>
    <row r="1043" spans="1:25">
      <c r="A1043" s="217">
        <v>19</v>
      </c>
      <c r="B1043" s="218" t="str">
        <f>VLOOKUP(Tabel10[[#This Row],[Code]],Ruimtegroepen[[Code]:[Ruimte omschrijving]],2,FALSE)</f>
        <v>kleedruimten</v>
      </c>
      <c r="C1043" s="219" t="s">
        <v>1153</v>
      </c>
      <c r="D1043" s="218" t="s">
        <v>28</v>
      </c>
      <c r="E1043" s="219" t="s">
        <v>99</v>
      </c>
      <c r="F1043" s="219" t="s">
        <v>1155</v>
      </c>
      <c r="G1043" s="224" t="s">
        <v>283</v>
      </c>
      <c r="H1043" s="220" t="s">
        <v>17</v>
      </c>
      <c r="I1043" s="220" t="s">
        <v>283</v>
      </c>
      <c r="J1043" s="220" t="s">
        <v>283</v>
      </c>
      <c r="K1043" s="220" t="s">
        <v>283</v>
      </c>
      <c r="L1043" s="220" t="s">
        <v>283</v>
      </c>
      <c r="M1043" s="220" t="s">
        <v>283</v>
      </c>
      <c r="N1043" s="220" t="s">
        <v>283</v>
      </c>
      <c r="O1043" s="221" t="s">
        <v>17</v>
      </c>
      <c r="P1043" s="221" t="s">
        <v>17</v>
      </c>
      <c r="Q1043" s="221" t="s">
        <v>15</v>
      </c>
      <c r="R1043" s="221" t="s">
        <v>283</v>
      </c>
      <c r="S1043" s="221" t="s">
        <v>283</v>
      </c>
      <c r="T1043" s="221" t="s">
        <v>283</v>
      </c>
      <c r="U1043" s="221" t="s">
        <v>283</v>
      </c>
      <c r="V1043" s="221" t="s">
        <v>283</v>
      </c>
      <c r="W1043" s="222" t="s">
        <v>283</v>
      </c>
      <c r="X1043" s="222" t="s">
        <v>283</v>
      </c>
      <c r="Y1043" s="223" t="s">
        <v>283</v>
      </c>
    </row>
    <row r="1044" spans="1:25">
      <c r="A1044" s="217">
        <v>19</v>
      </c>
      <c r="B1044" s="218" t="str">
        <f>VLOOKUP(Tabel10[[#This Row],[Code]],Ruimtegroepen[[Code]:[Ruimte omschrijving]],2,FALSE)</f>
        <v>kleedruimten</v>
      </c>
      <c r="C1044" s="219" t="s">
        <v>1153</v>
      </c>
      <c r="D1044" s="218" t="s">
        <v>28</v>
      </c>
      <c r="E1044" s="219" t="s">
        <v>101</v>
      </c>
      <c r="F1044" s="219" t="s">
        <v>1156</v>
      </c>
      <c r="G1044" s="224" t="s">
        <v>283</v>
      </c>
      <c r="H1044" s="220" t="s">
        <v>283</v>
      </c>
      <c r="I1044" s="220" t="s">
        <v>17</v>
      </c>
      <c r="J1044" s="220" t="s">
        <v>283</v>
      </c>
      <c r="K1044" s="220" t="s">
        <v>283</v>
      </c>
      <c r="L1044" s="220" t="s">
        <v>283</v>
      </c>
      <c r="M1044" s="220" t="s">
        <v>283</v>
      </c>
      <c r="N1044" s="220" t="s">
        <v>283</v>
      </c>
      <c r="O1044" s="221" t="s">
        <v>17</v>
      </c>
      <c r="P1044" s="221" t="s">
        <v>17</v>
      </c>
      <c r="Q1044" s="221" t="s">
        <v>15</v>
      </c>
      <c r="R1044" s="221" t="s">
        <v>283</v>
      </c>
      <c r="S1044" s="221" t="s">
        <v>283</v>
      </c>
      <c r="T1044" s="221" t="s">
        <v>283</v>
      </c>
      <c r="U1044" s="221" t="s">
        <v>283</v>
      </c>
      <c r="V1044" s="221" t="s">
        <v>283</v>
      </c>
      <c r="W1044" s="222" t="s">
        <v>283</v>
      </c>
      <c r="X1044" s="222" t="s">
        <v>283</v>
      </c>
      <c r="Y1044" s="223" t="s">
        <v>283</v>
      </c>
    </row>
    <row r="1045" spans="1:25">
      <c r="A1045" s="217">
        <v>19</v>
      </c>
      <c r="B1045" s="218" t="str">
        <f>VLOOKUP(Tabel10[[#This Row],[Code]],Ruimtegroepen[[Code]:[Ruimte omschrijving]],2,FALSE)</f>
        <v>kleedruimten</v>
      </c>
      <c r="C1045" s="219" t="s">
        <v>1153</v>
      </c>
      <c r="D1045" s="218" t="s">
        <v>28</v>
      </c>
      <c r="E1045" s="219" t="s">
        <v>102</v>
      </c>
      <c r="F1045" s="219" t="s">
        <v>1157</v>
      </c>
      <c r="G1045" s="224" t="s">
        <v>283</v>
      </c>
      <c r="H1045" s="220" t="s">
        <v>283</v>
      </c>
      <c r="I1045" s="220" t="s">
        <v>17</v>
      </c>
      <c r="J1045" s="220" t="s">
        <v>283</v>
      </c>
      <c r="K1045" s="220" t="s">
        <v>283</v>
      </c>
      <c r="L1045" s="220" t="s">
        <v>283</v>
      </c>
      <c r="M1045" s="220" t="s">
        <v>283</v>
      </c>
      <c r="N1045" s="220" t="s">
        <v>283</v>
      </c>
      <c r="O1045" s="221" t="s">
        <v>17</v>
      </c>
      <c r="P1045" s="221" t="s">
        <v>17</v>
      </c>
      <c r="Q1045" s="221" t="s">
        <v>15</v>
      </c>
      <c r="R1045" s="221" t="s">
        <v>283</v>
      </c>
      <c r="S1045" s="221" t="s">
        <v>283</v>
      </c>
      <c r="T1045" s="221" t="s">
        <v>283</v>
      </c>
      <c r="U1045" s="221" t="s">
        <v>283</v>
      </c>
      <c r="V1045" s="221" t="s">
        <v>283</v>
      </c>
      <c r="W1045" s="222" t="s">
        <v>283</v>
      </c>
      <c r="X1045" s="222" t="s">
        <v>283</v>
      </c>
      <c r="Y1045" s="223" t="s">
        <v>283</v>
      </c>
    </row>
    <row r="1046" spans="1:25">
      <c r="A1046" s="217">
        <v>19</v>
      </c>
      <c r="B1046" s="218" t="str">
        <f>VLOOKUP(Tabel10[[#This Row],[Code]],Ruimtegroepen[[Code]:[Ruimte omschrijving]],2,FALSE)</f>
        <v>kleedruimten</v>
      </c>
      <c r="C1046" s="219" t="s">
        <v>1153</v>
      </c>
      <c r="D1046" s="218" t="s">
        <v>28</v>
      </c>
      <c r="E1046" s="219" t="s">
        <v>99</v>
      </c>
      <c r="F1046" s="219" t="s">
        <v>1155</v>
      </c>
      <c r="G1046" s="224" t="s">
        <v>283</v>
      </c>
      <c r="H1046" s="220" t="s">
        <v>17</v>
      </c>
      <c r="I1046" s="220" t="s">
        <v>283</v>
      </c>
      <c r="J1046" s="220" t="s">
        <v>283</v>
      </c>
      <c r="K1046" s="220" t="s">
        <v>283</v>
      </c>
      <c r="L1046" s="220" t="s">
        <v>283</v>
      </c>
      <c r="M1046" s="220" t="s">
        <v>283</v>
      </c>
      <c r="N1046" s="220" t="s">
        <v>283</v>
      </c>
      <c r="O1046" s="221" t="s">
        <v>17</v>
      </c>
      <c r="P1046" s="221" t="s">
        <v>17</v>
      </c>
      <c r="Q1046" s="221" t="s">
        <v>15</v>
      </c>
      <c r="R1046" s="221" t="s">
        <v>283</v>
      </c>
      <c r="S1046" s="221" t="s">
        <v>283</v>
      </c>
      <c r="T1046" s="221" t="s">
        <v>283</v>
      </c>
      <c r="U1046" s="221" t="s">
        <v>283</v>
      </c>
      <c r="V1046" s="221" t="s">
        <v>283</v>
      </c>
      <c r="W1046" s="222" t="s">
        <v>283</v>
      </c>
      <c r="X1046" s="222" t="s">
        <v>283</v>
      </c>
      <c r="Y1046" s="223" t="s">
        <v>283</v>
      </c>
    </row>
    <row r="1047" spans="1:25">
      <c r="A1047" s="217">
        <v>19</v>
      </c>
      <c r="B1047" s="218" t="str">
        <f>VLOOKUP(Tabel10[[#This Row],[Code]],Ruimtegroepen[[Code]:[Ruimte omschrijving]],2,FALSE)</f>
        <v>kleedruimten</v>
      </c>
      <c r="C1047" s="219" t="s">
        <v>1153</v>
      </c>
      <c r="D1047" s="218" t="s">
        <v>28</v>
      </c>
      <c r="E1047" s="219" t="s">
        <v>1313</v>
      </c>
      <c r="F1047" s="219" t="s">
        <v>1429</v>
      </c>
      <c r="G1047" s="224" t="s">
        <v>283</v>
      </c>
      <c r="H1047" s="220" t="s">
        <v>283</v>
      </c>
      <c r="I1047" s="220" t="s">
        <v>17</v>
      </c>
      <c r="J1047" s="220" t="s">
        <v>283</v>
      </c>
      <c r="K1047" s="220" t="s">
        <v>283</v>
      </c>
      <c r="L1047" s="220" t="s">
        <v>283</v>
      </c>
      <c r="M1047" s="220" t="s">
        <v>283</v>
      </c>
      <c r="N1047" s="220" t="s">
        <v>283</v>
      </c>
      <c r="O1047" s="221" t="s">
        <v>17</v>
      </c>
      <c r="P1047" s="221" t="s">
        <v>17</v>
      </c>
      <c r="Q1047" s="221" t="s">
        <v>15</v>
      </c>
      <c r="R1047" s="221" t="s">
        <v>283</v>
      </c>
      <c r="S1047" s="221" t="s">
        <v>283</v>
      </c>
      <c r="T1047" s="221" t="s">
        <v>283</v>
      </c>
      <c r="U1047" s="221" t="s">
        <v>283</v>
      </c>
      <c r="V1047" s="221" t="s">
        <v>283</v>
      </c>
      <c r="W1047" s="222" t="s">
        <v>283</v>
      </c>
      <c r="X1047" s="222" t="s">
        <v>283</v>
      </c>
      <c r="Y1047" s="223" t="s">
        <v>283</v>
      </c>
    </row>
    <row r="1048" spans="1:25">
      <c r="A1048" s="217">
        <v>20</v>
      </c>
      <c r="B1048" s="218" t="str">
        <f>VLOOKUP(Tabel10[[#This Row],[Code]],Ruimtegroepen[[Code]:[Ruimte omschrijving]],2,FALSE)</f>
        <v>Niet in Onderhoud</v>
      </c>
      <c r="C1048" s="219" t="s">
        <v>1158</v>
      </c>
      <c r="D1048" s="218" t="s">
        <v>29</v>
      </c>
      <c r="E1048" s="219" t="s">
        <v>100</v>
      </c>
      <c r="F1048" s="219" t="s">
        <v>1159</v>
      </c>
      <c r="G1048" s="224" t="s">
        <v>283</v>
      </c>
      <c r="H1048" s="220" t="s">
        <v>283</v>
      </c>
      <c r="I1048" s="220" t="s">
        <v>283</v>
      </c>
      <c r="J1048" s="220" t="s">
        <v>283</v>
      </c>
      <c r="K1048" s="220" t="s">
        <v>283</v>
      </c>
      <c r="L1048" s="220" t="s">
        <v>283</v>
      </c>
      <c r="M1048" s="220" t="s">
        <v>283</v>
      </c>
      <c r="N1048" s="220" t="s">
        <v>283</v>
      </c>
      <c r="O1048" s="221" t="s">
        <v>283</v>
      </c>
      <c r="P1048" s="221" t="s">
        <v>283</v>
      </c>
      <c r="Q1048" s="221" t="s">
        <v>283</v>
      </c>
      <c r="R1048" s="221" t="s">
        <v>283</v>
      </c>
      <c r="S1048" s="221" t="s">
        <v>283</v>
      </c>
      <c r="T1048" s="221" t="s">
        <v>283</v>
      </c>
      <c r="U1048" s="221" t="s">
        <v>283</v>
      </c>
      <c r="V1048" s="221" t="s">
        <v>283</v>
      </c>
      <c r="W1048" s="222" t="s">
        <v>283</v>
      </c>
      <c r="X1048" s="222" t="s">
        <v>283</v>
      </c>
      <c r="Y1048" s="223" t="s">
        <v>283</v>
      </c>
    </row>
    <row r="1049" spans="1:25">
      <c r="A1049" s="217">
        <v>20</v>
      </c>
      <c r="B1049" s="218" t="str">
        <f>VLOOKUP(Tabel10[[#This Row],[Code]],Ruimtegroepen[[Code]:[Ruimte omschrijving]],2,FALSE)</f>
        <v>Niet in Onderhoud</v>
      </c>
      <c r="C1049" s="219" t="s">
        <v>1158</v>
      </c>
      <c r="D1049" s="218" t="s">
        <v>29</v>
      </c>
      <c r="E1049" s="219" t="s">
        <v>99</v>
      </c>
      <c r="F1049" s="219" t="s">
        <v>1160</v>
      </c>
      <c r="G1049" s="224" t="s">
        <v>283</v>
      </c>
      <c r="H1049" s="220" t="s">
        <v>283</v>
      </c>
      <c r="I1049" s="220" t="s">
        <v>283</v>
      </c>
      <c r="J1049" s="220" t="s">
        <v>283</v>
      </c>
      <c r="K1049" s="220" t="s">
        <v>283</v>
      </c>
      <c r="L1049" s="220" t="s">
        <v>283</v>
      </c>
      <c r="M1049" s="220" t="s">
        <v>283</v>
      </c>
      <c r="N1049" s="220" t="s">
        <v>283</v>
      </c>
      <c r="O1049" s="221" t="s">
        <v>283</v>
      </c>
      <c r="P1049" s="221" t="s">
        <v>283</v>
      </c>
      <c r="Q1049" s="221" t="s">
        <v>283</v>
      </c>
      <c r="R1049" s="221" t="s">
        <v>283</v>
      </c>
      <c r="S1049" s="221" t="s">
        <v>283</v>
      </c>
      <c r="T1049" s="221" t="s">
        <v>283</v>
      </c>
      <c r="U1049" s="221" t="s">
        <v>283</v>
      </c>
      <c r="V1049" s="221" t="s">
        <v>283</v>
      </c>
      <c r="W1049" s="222" t="s">
        <v>283</v>
      </c>
      <c r="X1049" s="222" t="s">
        <v>283</v>
      </c>
      <c r="Y1049" s="223" t="s">
        <v>283</v>
      </c>
    </row>
    <row r="1050" spans="1:25">
      <c r="A1050" s="217">
        <v>20</v>
      </c>
      <c r="B1050" s="218" t="str">
        <f>VLOOKUP(Tabel10[[#This Row],[Code]],Ruimtegroepen[[Code]:[Ruimte omschrijving]],2,FALSE)</f>
        <v>Niet in Onderhoud</v>
      </c>
      <c r="C1050" s="219" t="s">
        <v>1158</v>
      </c>
      <c r="D1050" s="218" t="s">
        <v>29</v>
      </c>
      <c r="E1050" s="219" t="s">
        <v>101</v>
      </c>
      <c r="F1050" s="219" t="s">
        <v>1161</v>
      </c>
      <c r="G1050" s="224" t="s">
        <v>283</v>
      </c>
      <c r="H1050" s="220" t="s">
        <v>283</v>
      </c>
      <c r="I1050" s="220" t="s">
        <v>283</v>
      </c>
      <c r="J1050" s="220" t="s">
        <v>283</v>
      </c>
      <c r="K1050" s="220" t="s">
        <v>283</v>
      </c>
      <c r="L1050" s="220" t="s">
        <v>283</v>
      </c>
      <c r="M1050" s="220" t="s">
        <v>283</v>
      </c>
      <c r="N1050" s="220" t="s">
        <v>283</v>
      </c>
      <c r="O1050" s="221" t="s">
        <v>283</v>
      </c>
      <c r="P1050" s="221" t="s">
        <v>283</v>
      </c>
      <c r="Q1050" s="221" t="s">
        <v>283</v>
      </c>
      <c r="R1050" s="221" t="s">
        <v>283</v>
      </c>
      <c r="S1050" s="221" t="s">
        <v>283</v>
      </c>
      <c r="T1050" s="221" t="s">
        <v>283</v>
      </c>
      <c r="U1050" s="221" t="s">
        <v>283</v>
      </c>
      <c r="V1050" s="221" t="s">
        <v>283</v>
      </c>
      <c r="W1050" s="222" t="s">
        <v>283</v>
      </c>
      <c r="X1050" s="222" t="s">
        <v>283</v>
      </c>
      <c r="Y1050" s="223" t="s">
        <v>283</v>
      </c>
    </row>
    <row r="1051" spans="1:25">
      <c r="A1051" s="217">
        <v>20</v>
      </c>
      <c r="B1051" s="218" t="str">
        <f>VLOOKUP(Tabel10[[#This Row],[Code]],Ruimtegroepen[[Code]:[Ruimte omschrijving]],2,FALSE)</f>
        <v>Niet in Onderhoud</v>
      </c>
      <c r="C1051" s="219" t="s">
        <v>1158</v>
      </c>
      <c r="D1051" s="218" t="s">
        <v>29</v>
      </c>
      <c r="E1051" s="219" t="s">
        <v>102</v>
      </c>
      <c r="F1051" s="219" t="s">
        <v>1162</v>
      </c>
      <c r="G1051" s="224" t="s">
        <v>283</v>
      </c>
      <c r="H1051" s="220" t="s">
        <v>283</v>
      </c>
      <c r="I1051" s="220" t="s">
        <v>283</v>
      </c>
      <c r="J1051" s="220" t="s">
        <v>283</v>
      </c>
      <c r="K1051" s="220" t="s">
        <v>283</v>
      </c>
      <c r="L1051" s="220" t="s">
        <v>283</v>
      </c>
      <c r="M1051" s="220" t="s">
        <v>283</v>
      </c>
      <c r="N1051" s="220" t="s">
        <v>283</v>
      </c>
      <c r="O1051" s="221" t="s">
        <v>283</v>
      </c>
      <c r="P1051" s="221" t="s">
        <v>283</v>
      </c>
      <c r="Q1051" s="221" t="s">
        <v>283</v>
      </c>
      <c r="R1051" s="221" t="s">
        <v>283</v>
      </c>
      <c r="S1051" s="221" t="s">
        <v>283</v>
      </c>
      <c r="T1051" s="221" t="s">
        <v>283</v>
      </c>
      <c r="U1051" s="221" t="s">
        <v>283</v>
      </c>
      <c r="V1051" s="221" t="s">
        <v>283</v>
      </c>
      <c r="W1051" s="222" t="s">
        <v>283</v>
      </c>
      <c r="X1051" s="222" t="s">
        <v>283</v>
      </c>
      <c r="Y1051" s="223" t="s">
        <v>283</v>
      </c>
    </row>
    <row r="1052" spans="1:25">
      <c r="A1052" s="217">
        <v>20</v>
      </c>
      <c r="B1052" s="218" t="str">
        <f>VLOOKUP(Tabel10[[#This Row],[Code]],Ruimtegroepen[[Code]:[Ruimte omschrijving]],2,FALSE)</f>
        <v>Niet in Onderhoud</v>
      </c>
      <c r="C1052" s="219" t="s">
        <v>1158</v>
      </c>
      <c r="D1052" s="218" t="s">
        <v>29</v>
      </c>
      <c r="E1052" s="219" t="s">
        <v>99</v>
      </c>
      <c r="F1052" s="219" t="s">
        <v>1160</v>
      </c>
      <c r="G1052" s="224" t="s">
        <v>283</v>
      </c>
      <c r="H1052" s="220" t="s">
        <v>283</v>
      </c>
      <c r="I1052" s="220" t="s">
        <v>283</v>
      </c>
      <c r="J1052" s="220" t="s">
        <v>283</v>
      </c>
      <c r="K1052" s="220" t="s">
        <v>283</v>
      </c>
      <c r="L1052" s="220" t="s">
        <v>283</v>
      </c>
      <c r="M1052" s="220" t="s">
        <v>283</v>
      </c>
      <c r="N1052" s="220" t="s">
        <v>283</v>
      </c>
      <c r="O1052" s="221" t="s">
        <v>283</v>
      </c>
      <c r="P1052" s="221" t="s">
        <v>283</v>
      </c>
      <c r="Q1052" s="221" t="s">
        <v>283</v>
      </c>
      <c r="R1052" s="221" t="s">
        <v>283</v>
      </c>
      <c r="S1052" s="221" t="s">
        <v>283</v>
      </c>
      <c r="T1052" s="221" t="s">
        <v>283</v>
      </c>
      <c r="U1052" s="221" t="s">
        <v>283</v>
      </c>
      <c r="V1052" s="221" t="s">
        <v>283</v>
      </c>
      <c r="W1052" s="222" t="s">
        <v>283</v>
      </c>
      <c r="X1052" s="222" t="s">
        <v>283</v>
      </c>
      <c r="Y1052" s="223" t="s">
        <v>283</v>
      </c>
    </row>
    <row r="1053" spans="1:25">
      <c r="A1053" s="217">
        <v>20</v>
      </c>
      <c r="B1053" s="218" t="str">
        <f>VLOOKUP(Tabel10[[#This Row],[Code]],Ruimtegroepen[[Code]:[Ruimte omschrijving]],2,FALSE)</f>
        <v>Niet in Onderhoud</v>
      </c>
      <c r="C1053" s="219" t="s">
        <v>1158</v>
      </c>
      <c r="D1053" s="218" t="s">
        <v>29</v>
      </c>
      <c r="E1053" s="219" t="s">
        <v>1313</v>
      </c>
      <c r="F1053" s="219" t="s">
        <v>1331</v>
      </c>
      <c r="G1053" s="224" t="s">
        <v>283</v>
      </c>
      <c r="H1053" s="220" t="s">
        <v>283</v>
      </c>
      <c r="I1053" s="220" t="s">
        <v>283</v>
      </c>
      <c r="J1053" s="220" t="s">
        <v>283</v>
      </c>
      <c r="K1053" s="220" t="s">
        <v>283</v>
      </c>
      <c r="L1053" s="220" t="s">
        <v>283</v>
      </c>
      <c r="M1053" s="220" t="s">
        <v>283</v>
      </c>
      <c r="N1053" s="220" t="s">
        <v>283</v>
      </c>
      <c r="O1053" s="221" t="s">
        <v>283</v>
      </c>
      <c r="P1053" s="221" t="s">
        <v>283</v>
      </c>
      <c r="Q1053" s="221" t="s">
        <v>283</v>
      </c>
      <c r="R1053" s="221" t="s">
        <v>283</v>
      </c>
      <c r="S1053" s="221" t="s">
        <v>283</v>
      </c>
      <c r="T1053" s="221" t="s">
        <v>283</v>
      </c>
      <c r="U1053" s="221" t="s">
        <v>283</v>
      </c>
      <c r="V1053" s="221" t="s">
        <v>283</v>
      </c>
      <c r="W1053" s="222" t="s">
        <v>283</v>
      </c>
      <c r="X1053" s="222" t="s">
        <v>283</v>
      </c>
      <c r="Y1053" s="223" t="s">
        <v>283</v>
      </c>
    </row>
    <row r="1054" spans="1:25">
      <c r="A1054" s="217">
        <v>20</v>
      </c>
      <c r="B1054" s="218" t="str">
        <f>VLOOKUP(Tabel10[[#This Row],[Code]],Ruimtegroepen[[Code]:[Ruimte omschrijving]],2,FALSE)</f>
        <v>Niet in Onderhoud</v>
      </c>
      <c r="C1054" s="219" t="s">
        <v>1163</v>
      </c>
      <c r="D1054" s="218" t="s">
        <v>1</v>
      </c>
      <c r="E1054" s="219" t="s">
        <v>100</v>
      </c>
      <c r="F1054" s="219" t="s">
        <v>1164</v>
      </c>
      <c r="G1054" s="224" t="s">
        <v>283</v>
      </c>
      <c r="H1054" s="220" t="s">
        <v>283</v>
      </c>
      <c r="I1054" s="220" t="s">
        <v>283</v>
      </c>
      <c r="J1054" s="220" t="s">
        <v>283</v>
      </c>
      <c r="K1054" s="220" t="s">
        <v>283</v>
      </c>
      <c r="L1054" s="220" t="s">
        <v>283</v>
      </c>
      <c r="M1054" s="220" t="s">
        <v>283</v>
      </c>
      <c r="N1054" s="220" t="s">
        <v>283</v>
      </c>
      <c r="O1054" s="221" t="s">
        <v>283</v>
      </c>
      <c r="P1054" s="221" t="s">
        <v>283</v>
      </c>
      <c r="Q1054" s="221" t="s">
        <v>283</v>
      </c>
      <c r="R1054" s="221" t="s">
        <v>283</v>
      </c>
      <c r="S1054" s="221" t="s">
        <v>283</v>
      </c>
      <c r="T1054" s="221" t="s">
        <v>283</v>
      </c>
      <c r="U1054" s="221" t="s">
        <v>283</v>
      </c>
      <c r="V1054" s="221" t="s">
        <v>283</v>
      </c>
      <c r="W1054" s="222" t="s">
        <v>283</v>
      </c>
      <c r="X1054" s="222" t="s">
        <v>283</v>
      </c>
      <c r="Y1054" s="223" t="s">
        <v>283</v>
      </c>
    </row>
    <row r="1055" spans="1:25">
      <c r="A1055" s="217">
        <v>20</v>
      </c>
      <c r="B1055" s="218" t="str">
        <f>VLOOKUP(Tabel10[[#This Row],[Code]],Ruimtegroepen[[Code]:[Ruimte omschrijving]],2,FALSE)</f>
        <v>Niet in Onderhoud</v>
      </c>
      <c r="C1055" s="219" t="s">
        <v>1163</v>
      </c>
      <c r="D1055" s="218" t="s">
        <v>1</v>
      </c>
      <c r="E1055" s="219" t="s">
        <v>99</v>
      </c>
      <c r="F1055" s="219" t="s">
        <v>1165</v>
      </c>
      <c r="G1055" s="224" t="s">
        <v>283</v>
      </c>
      <c r="H1055" s="220" t="s">
        <v>283</v>
      </c>
      <c r="I1055" s="220" t="s">
        <v>283</v>
      </c>
      <c r="J1055" s="220" t="s">
        <v>283</v>
      </c>
      <c r="K1055" s="220" t="s">
        <v>283</v>
      </c>
      <c r="L1055" s="220" t="s">
        <v>283</v>
      </c>
      <c r="M1055" s="220" t="s">
        <v>283</v>
      </c>
      <c r="N1055" s="220" t="s">
        <v>283</v>
      </c>
      <c r="O1055" s="221" t="s">
        <v>283</v>
      </c>
      <c r="P1055" s="221" t="s">
        <v>283</v>
      </c>
      <c r="Q1055" s="221" t="s">
        <v>283</v>
      </c>
      <c r="R1055" s="221" t="s">
        <v>283</v>
      </c>
      <c r="S1055" s="221" t="s">
        <v>283</v>
      </c>
      <c r="T1055" s="221" t="s">
        <v>283</v>
      </c>
      <c r="U1055" s="221" t="s">
        <v>283</v>
      </c>
      <c r="V1055" s="221" t="s">
        <v>283</v>
      </c>
      <c r="W1055" s="222" t="s">
        <v>283</v>
      </c>
      <c r="X1055" s="222" t="s">
        <v>283</v>
      </c>
      <c r="Y1055" s="223" t="s">
        <v>283</v>
      </c>
    </row>
    <row r="1056" spans="1:25">
      <c r="A1056" s="217">
        <v>20</v>
      </c>
      <c r="B1056" s="218" t="str">
        <f>VLOOKUP(Tabel10[[#This Row],[Code]],Ruimtegroepen[[Code]:[Ruimte omschrijving]],2,FALSE)</f>
        <v>Niet in Onderhoud</v>
      </c>
      <c r="C1056" s="219" t="s">
        <v>1163</v>
      </c>
      <c r="D1056" s="218" t="s">
        <v>1</v>
      </c>
      <c r="E1056" s="219" t="s">
        <v>101</v>
      </c>
      <c r="F1056" s="219" t="s">
        <v>1166</v>
      </c>
      <c r="G1056" s="224" t="s">
        <v>283</v>
      </c>
      <c r="H1056" s="220" t="s">
        <v>283</v>
      </c>
      <c r="I1056" s="220" t="s">
        <v>283</v>
      </c>
      <c r="J1056" s="220" t="s">
        <v>283</v>
      </c>
      <c r="K1056" s="220" t="s">
        <v>283</v>
      </c>
      <c r="L1056" s="220" t="s">
        <v>283</v>
      </c>
      <c r="M1056" s="220" t="s">
        <v>283</v>
      </c>
      <c r="N1056" s="220" t="s">
        <v>283</v>
      </c>
      <c r="O1056" s="221" t="s">
        <v>283</v>
      </c>
      <c r="P1056" s="221" t="s">
        <v>283</v>
      </c>
      <c r="Q1056" s="221" t="s">
        <v>283</v>
      </c>
      <c r="R1056" s="221" t="s">
        <v>283</v>
      </c>
      <c r="S1056" s="221" t="s">
        <v>283</v>
      </c>
      <c r="T1056" s="221" t="s">
        <v>283</v>
      </c>
      <c r="U1056" s="221" t="s">
        <v>283</v>
      </c>
      <c r="V1056" s="221" t="s">
        <v>283</v>
      </c>
      <c r="W1056" s="222" t="s">
        <v>283</v>
      </c>
      <c r="X1056" s="222" t="s">
        <v>283</v>
      </c>
      <c r="Y1056" s="223" t="s">
        <v>283</v>
      </c>
    </row>
    <row r="1057" spans="1:25">
      <c r="A1057" s="217">
        <v>20</v>
      </c>
      <c r="B1057" s="218" t="str">
        <f>VLOOKUP(Tabel10[[#This Row],[Code]],Ruimtegroepen[[Code]:[Ruimte omschrijving]],2,FALSE)</f>
        <v>Niet in Onderhoud</v>
      </c>
      <c r="C1057" s="219" t="s">
        <v>1163</v>
      </c>
      <c r="D1057" s="218" t="s">
        <v>1</v>
      </c>
      <c r="E1057" s="219" t="s">
        <v>102</v>
      </c>
      <c r="F1057" s="219" t="s">
        <v>1167</v>
      </c>
      <c r="G1057" s="224" t="s">
        <v>283</v>
      </c>
      <c r="H1057" s="220" t="s">
        <v>283</v>
      </c>
      <c r="I1057" s="220" t="s">
        <v>283</v>
      </c>
      <c r="J1057" s="220" t="s">
        <v>283</v>
      </c>
      <c r="K1057" s="220" t="s">
        <v>283</v>
      </c>
      <c r="L1057" s="220" t="s">
        <v>283</v>
      </c>
      <c r="M1057" s="220" t="s">
        <v>283</v>
      </c>
      <c r="N1057" s="220" t="s">
        <v>283</v>
      </c>
      <c r="O1057" s="221" t="s">
        <v>283</v>
      </c>
      <c r="P1057" s="221" t="s">
        <v>283</v>
      </c>
      <c r="Q1057" s="221" t="s">
        <v>283</v>
      </c>
      <c r="R1057" s="221" t="s">
        <v>283</v>
      </c>
      <c r="S1057" s="221" t="s">
        <v>283</v>
      </c>
      <c r="T1057" s="221" t="s">
        <v>283</v>
      </c>
      <c r="U1057" s="221" t="s">
        <v>283</v>
      </c>
      <c r="V1057" s="221" t="s">
        <v>283</v>
      </c>
      <c r="W1057" s="222" t="s">
        <v>283</v>
      </c>
      <c r="X1057" s="222" t="s">
        <v>283</v>
      </c>
      <c r="Y1057" s="223" t="s">
        <v>283</v>
      </c>
    </row>
    <row r="1058" spans="1:25">
      <c r="A1058" s="217">
        <v>20</v>
      </c>
      <c r="B1058" s="218" t="str">
        <f>VLOOKUP(Tabel10[[#This Row],[Code]],Ruimtegroepen[[Code]:[Ruimte omschrijving]],2,FALSE)</f>
        <v>Niet in Onderhoud</v>
      </c>
      <c r="C1058" s="219" t="s">
        <v>1163</v>
      </c>
      <c r="D1058" s="218" t="s">
        <v>1</v>
      </c>
      <c r="E1058" s="219" t="s">
        <v>99</v>
      </c>
      <c r="F1058" s="219" t="s">
        <v>1165</v>
      </c>
      <c r="G1058" s="224" t="s">
        <v>283</v>
      </c>
      <c r="H1058" s="220" t="s">
        <v>283</v>
      </c>
      <c r="I1058" s="220" t="s">
        <v>283</v>
      </c>
      <c r="J1058" s="220" t="s">
        <v>283</v>
      </c>
      <c r="K1058" s="220" t="s">
        <v>283</v>
      </c>
      <c r="L1058" s="220" t="s">
        <v>283</v>
      </c>
      <c r="M1058" s="220" t="s">
        <v>283</v>
      </c>
      <c r="N1058" s="220" t="s">
        <v>283</v>
      </c>
      <c r="O1058" s="221" t="s">
        <v>283</v>
      </c>
      <c r="P1058" s="221" t="s">
        <v>283</v>
      </c>
      <c r="Q1058" s="221" t="s">
        <v>283</v>
      </c>
      <c r="R1058" s="221" t="s">
        <v>283</v>
      </c>
      <c r="S1058" s="221" t="s">
        <v>283</v>
      </c>
      <c r="T1058" s="221" t="s">
        <v>283</v>
      </c>
      <c r="U1058" s="221" t="s">
        <v>283</v>
      </c>
      <c r="V1058" s="221" t="s">
        <v>283</v>
      </c>
      <c r="W1058" s="222" t="s">
        <v>283</v>
      </c>
      <c r="X1058" s="222" t="s">
        <v>283</v>
      </c>
      <c r="Y1058" s="223" t="s">
        <v>283</v>
      </c>
    </row>
    <row r="1059" spans="1:25">
      <c r="A1059" s="217">
        <v>20</v>
      </c>
      <c r="B1059" s="218" t="str">
        <f>VLOOKUP(Tabel10[[#This Row],[Code]],Ruimtegroepen[[Code]:[Ruimte omschrijving]],2,FALSE)</f>
        <v>Niet in Onderhoud</v>
      </c>
      <c r="C1059" s="219" t="s">
        <v>1163</v>
      </c>
      <c r="D1059" s="218" t="s">
        <v>1</v>
      </c>
      <c r="E1059" s="219" t="s">
        <v>1313</v>
      </c>
      <c r="F1059" s="219" t="s">
        <v>1330</v>
      </c>
      <c r="G1059" s="224" t="s">
        <v>283</v>
      </c>
      <c r="H1059" s="220" t="s">
        <v>283</v>
      </c>
      <c r="I1059" s="220" t="s">
        <v>283</v>
      </c>
      <c r="J1059" s="220" t="s">
        <v>283</v>
      </c>
      <c r="K1059" s="220" t="s">
        <v>283</v>
      </c>
      <c r="L1059" s="220" t="s">
        <v>283</v>
      </c>
      <c r="M1059" s="220" t="s">
        <v>283</v>
      </c>
      <c r="N1059" s="220" t="s">
        <v>283</v>
      </c>
      <c r="O1059" s="221" t="s">
        <v>283</v>
      </c>
      <c r="P1059" s="221" t="s">
        <v>283</v>
      </c>
      <c r="Q1059" s="221" t="s">
        <v>283</v>
      </c>
      <c r="R1059" s="221" t="s">
        <v>283</v>
      </c>
      <c r="S1059" s="221" t="s">
        <v>283</v>
      </c>
      <c r="T1059" s="221" t="s">
        <v>283</v>
      </c>
      <c r="U1059" s="221" t="s">
        <v>283</v>
      </c>
      <c r="V1059" s="221" t="s">
        <v>283</v>
      </c>
      <c r="W1059" s="222" t="s">
        <v>283</v>
      </c>
      <c r="X1059" s="222" t="s">
        <v>283</v>
      </c>
      <c r="Y1059" s="223" t="s">
        <v>283</v>
      </c>
    </row>
    <row r="1060" spans="1:25">
      <c r="A1060" s="217">
        <v>20</v>
      </c>
      <c r="B1060" s="218" t="str">
        <f>VLOOKUP(Tabel10[[#This Row],[Code]],Ruimtegroepen[[Code]:[Ruimte omschrijving]],2,FALSE)</f>
        <v>Niet in Onderhoud</v>
      </c>
      <c r="C1060" s="219" t="s">
        <v>1168</v>
      </c>
      <c r="D1060" s="218" t="s">
        <v>21</v>
      </c>
      <c r="E1060" s="219" t="s">
        <v>100</v>
      </c>
      <c r="F1060" s="219" t="s">
        <v>1169</v>
      </c>
      <c r="G1060" s="224" t="s">
        <v>283</v>
      </c>
      <c r="H1060" s="220" t="s">
        <v>283</v>
      </c>
      <c r="I1060" s="220" t="s">
        <v>283</v>
      </c>
      <c r="J1060" s="220" t="s">
        <v>283</v>
      </c>
      <c r="K1060" s="220" t="s">
        <v>283</v>
      </c>
      <c r="L1060" s="220" t="s">
        <v>283</v>
      </c>
      <c r="M1060" s="220" t="s">
        <v>283</v>
      </c>
      <c r="N1060" s="220" t="s">
        <v>283</v>
      </c>
      <c r="O1060" s="221" t="s">
        <v>283</v>
      </c>
      <c r="P1060" s="221" t="s">
        <v>283</v>
      </c>
      <c r="Q1060" s="221" t="s">
        <v>283</v>
      </c>
      <c r="R1060" s="221" t="s">
        <v>283</v>
      </c>
      <c r="S1060" s="221" t="s">
        <v>283</v>
      </c>
      <c r="T1060" s="221" t="s">
        <v>283</v>
      </c>
      <c r="U1060" s="221" t="s">
        <v>283</v>
      </c>
      <c r="V1060" s="221" t="s">
        <v>283</v>
      </c>
      <c r="W1060" s="222" t="s">
        <v>283</v>
      </c>
      <c r="X1060" s="222" t="s">
        <v>283</v>
      </c>
      <c r="Y1060" s="223" t="s">
        <v>283</v>
      </c>
    </row>
    <row r="1061" spans="1:25">
      <c r="A1061" s="217">
        <v>20</v>
      </c>
      <c r="B1061" s="218" t="str">
        <f>VLOOKUP(Tabel10[[#This Row],[Code]],Ruimtegroepen[[Code]:[Ruimte omschrijving]],2,FALSE)</f>
        <v>Niet in Onderhoud</v>
      </c>
      <c r="C1061" s="219" t="s">
        <v>1168</v>
      </c>
      <c r="D1061" s="218" t="s">
        <v>21</v>
      </c>
      <c r="E1061" s="219" t="s">
        <v>99</v>
      </c>
      <c r="F1061" s="219" t="s">
        <v>1170</v>
      </c>
      <c r="G1061" s="224" t="s">
        <v>283</v>
      </c>
      <c r="H1061" s="220" t="s">
        <v>283</v>
      </c>
      <c r="I1061" s="220" t="s">
        <v>283</v>
      </c>
      <c r="J1061" s="220" t="s">
        <v>283</v>
      </c>
      <c r="K1061" s="220" t="s">
        <v>283</v>
      </c>
      <c r="L1061" s="220" t="s">
        <v>283</v>
      </c>
      <c r="M1061" s="220" t="s">
        <v>283</v>
      </c>
      <c r="N1061" s="220" t="s">
        <v>283</v>
      </c>
      <c r="O1061" s="221" t="s">
        <v>283</v>
      </c>
      <c r="P1061" s="221" t="s">
        <v>283</v>
      </c>
      <c r="Q1061" s="221" t="s">
        <v>283</v>
      </c>
      <c r="R1061" s="221" t="s">
        <v>283</v>
      </c>
      <c r="S1061" s="221" t="s">
        <v>283</v>
      </c>
      <c r="T1061" s="221" t="s">
        <v>283</v>
      </c>
      <c r="U1061" s="221" t="s">
        <v>283</v>
      </c>
      <c r="V1061" s="221" t="s">
        <v>283</v>
      </c>
      <c r="W1061" s="222" t="s">
        <v>283</v>
      </c>
      <c r="X1061" s="222" t="s">
        <v>283</v>
      </c>
      <c r="Y1061" s="223" t="s">
        <v>283</v>
      </c>
    </row>
    <row r="1062" spans="1:25">
      <c r="A1062" s="217">
        <v>20</v>
      </c>
      <c r="B1062" s="218" t="str">
        <f>VLOOKUP(Tabel10[[#This Row],[Code]],Ruimtegroepen[[Code]:[Ruimte omschrijving]],2,FALSE)</f>
        <v>Niet in Onderhoud</v>
      </c>
      <c r="C1062" s="219" t="s">
        <v>1168</v>
      </c>
      <c r="D1062" s="218" t="s">
        <v>21</v>
      </c>
      <c r="E1062" s="219" t="s">
        <v>101</v>
      </c>
      <c r="F1062" s="219" t="s">
        <v>1171</v>
      </c>
      <c r="G1062" s="224" t="s">
        <v>283</v>
      </c>
      <c r="H1062" s="220" t="s">
        <v>283</v>
      </c>
      <c r="I1062" s="220" t="s">
        <v>283</v>
      </c>
      <c r="J1062" s="220" t="s">
        <v>283</v>
      </c>
      <c r="K1062" s="220" t="s">
        <v>283</v>
      </c>
      <c r="L1062" s="220" t="s">
        <v>283</v>
      </c>
      <c r="M1062" s="220" t="s">
        <v>283</v>
      </c>
      <c r="N1062" s="220" t="s">
        <v>283</v>
      </c>
      <c r="O1062" s="221" t="s">
        <v>283</v>
      </c>
      <c r="P1062" s="221" t="s">
        <v>283</v>
      </c>
      <c r="Q1062" s="221" t="s">
        <v>283</v>
      </c>
      <c r="R1062" s="221" t="s">
        <v>283</v>
      </c>
      <c r="S1062" s="221" t="s">
        <v>283</v>
      </c>
      <c r="T1062" s="221" t="s">
        <v>283</v>
      </c>
      <c r="U1062" s="221" t="s">
        <v>283</v>
      </c>
      <c r="V1062" s="221" t="s">
        <v>283</v>
      </c>
      <c r="W1062" s="222" t="s">
        <v>283</v>
      </c>
      <c r="X1062" s="222" t="s">
        <v>283</v>
      </c>
      <c r="Y1062" s="223" t="s">
        <v>283</v>
      </c>
    </row>
    <row r="1063" spans="1:25">
      <c r="A1063" s="217">
        <v>20</v>
      </c>
      <c r="B1063" s="218" t="str">
        <f>VLOOKUP(Tabel10[[#This Row],[Code]],Ruimtegroepen[[Code]:[Ruimte omschrijving]],2,FALSE)</f>
        <v>Niet in Onderhoud</v>
      </c>
      <c r="C1063" s="219" t="s">
        <v>1168</v>
      </c>
      <c r="D1063" s="218" t="s">
        <v>21</v>
      </c>
      <c r="E1063" s="219" t="s">
        <v>102</v>
      </c>
      <c r="F1063" s="219" t="s">
        <v>1172</v>
      </c>
      <c r="G1063" s="224" t="s">
        <v>283</v>
      </c>
      <c r="H1063" s="220" t="s">
        <v>283</v>
      </c>
      <c r="I1063" s="220" t="s">
        <v>283</v>
      </c>
      <c r="J1063" s="220" t="s">
        <v>283</v>
      </c>
      <c r="K1063" s="220" t="s">
        <v>283</v>
      </c>
      <c r="L1063" s="220" t="s">
        <v>283</v>
      </c>
      <c r="M1063" s="220" t="s">
        <v>283</v>
      </c>
      <c r="N1063" s="220" t="s">
        <v>283</v>
      </c>
      <c r="O1063" s="221" t="s">
        <v>283</v>
      </c>
      <c r="P1063" s="221" t="s">
        <v>283</v>
      </c>
      <c r="Q1063" s="221" t="s">
        <v>283</v>
      </c>
      <c r="R1063" s="221" t="s">
        <v>283</v>
      </c>
      <c r="S1063" s="221" t="s">
        <v>283</v>
      </c>
      <c r="T1063" s="221" t="s">
        <v>283</v>
      </c>
      <c r="U1063" s="221" t="s">
        <v>283</v>
      </c>
      <c r="V1063" s="221" t="s">
        <v>283</v>
      </c>
      <c r="W1063" s="222" t="s">
        <v>283</v>
      </c>
      <c r="X1063" s="222" t="s">
        <v>283</v>
      </c>
      <c r="Y1063" s="223" t="s">
        <v>283</v>
      </c>
    </row>
    <row r="1064" spans="1:25">
      <c r="A1064" s="217">
        <v>20</v>
      </c>
      <c r="B1064" s="218" t="str">
        <f>VLOOKUP(Tabel10[[#This Row],[Code]],Ruimtegroepen[[Code]:[Ruimte omschrijving]],2,FALSE)</f>
        <v>Niet in Onderhoud</v>
      </c>
      <c r="C1064" s="219" t="s">
        <v>1168</v>
      </c>
      <c r="D1064" s="218" t="s">
        <v>21</v>
      </c>
      <c r="E1064" s="219" t="s">
        <v>99</v>
      </c>
      <c r="F1064" s="219" t="s">
        <v>1170</v>
      </c>
      <c r="G1064" s="224" t="s">
        <v>283</v>
      </c>
      <c r="H1064" s="220" t="s">
        <v>283</v>
      </c>
      <c r="I1064" s="220" t="s">
        <v>283</v>
      </c>
      <c r="J1064" s="220" t="s">
        <v>283</v>
      </c>
      <c r="K1064" s="220" t="s">
        <v>283</v>
      </c>
      <c r="L1064" s="220" t="s">
        <v>283</v>
      </c>
      <c r="M1064" s="220" t="s">
        <v>283</v>
      </c>
      <c r="N1064" s="220" t="s">
        <v>283</v>
      </c>
      <c r="O1064" s="221" t="s">
        <v>283</v>
      </c>
      <c r="P1064" s="221" t="s">
        <v>283</v>
      </c>
      <c r="Q1064" s="221" t="s">
        <v>283</v>
      </c>
      <c r="R1064" s="221" t="s">
        <v>283</v>
      </c>
      <c r="S1064" s="221" t="s">
        <v>283</v>
      </c>
      <c r="T1064" s="221" t="s">
        <v>283</v>
      </c>
      <c r="U1064" s="221" t="s">
        <v>283</v>
      </c>
      <c r="V1064" s="221" t="s">
        <v>283</v>
      </c>
      <c r="W1064" s="222" t="s">
        <v>283</v>
      </c>
      <c r="X1064" s="222" t="s">
        <v>283</v>
      </c>
      <c r="Y1064" s="223" t="s">
        <v>283</v>
      </c>
    </row>
    <row r="1065" spans="1:25">
      <c r="A1065" s="217">
        <v>20</v>
      </c>
      <c r="B1065" s="218" t="str">
        <f>VLOOKUP(Tabel10[[#This Row],[Code]],Ruimtegroepen[[Code]:[Ruimte omschrijving]],2,FALSE)</f>
        <v>Niet in Onderhoud</v>
      </c>
      <c r="C1065" s="219" t="s">
        <v>1168</v>
      </c>
      <c r="D1065" s="218" t="s">
        <v>21</v>
      </c>
      <c r="E1065" s="219" t="s">
        <v>1313</v>
      </c>
      <c r="F1065" s="219" t="s">
        <v>1329</v>
      </c>
      <c r="G1065" s="224" t="s">
        <v>283</v>
      </c>
      <c r="H1065" s="220" t="s">
        <v>283</v>
      </c>
      <c r="I1065" s="220" t="s">
        <v>283</v>
      </c>
      <c r="J1065" s="220" t="s">
        <v>283</v>
      </c>
      <c r="K1065" s="220" t="s">
        <v>283</v>
      </c>
      <c r="L1065" s="220" t="s">
        <v>283</v>
      </c>
      <c r="M1065" s="220" t="s">
        <v>283</v>
      </c>
      <c r="N1065" s="220" t="s">
        <v>283</v>
      </c>
      <c r="O1065" s="221" t="s">
        <v>283</v>
      </c>
      <c r="P1065" s="221" t="s">
        <v>283</v>
      </c>
      <c r="Q1065" s="221" t="s">
        <v>283</v>
      </c>
      <c r="R1065" s="221" t="s">
        <v>283</v>
      </c>
      <c r="S1065" s="221" t="s">
        <v>283</v>
      </c>
      <c r="T1065" s="221" t="s">
        <v>283</v>
      </c>
      <c r="U1065" s="221" t="s">
        <v>283</v>
      </c>
      <c r="V1065" s="221" t="s">
        <v>283</v>
      </c>
      <c r="W1065" s="222" t="s">
        <v>283</v>
      </c>
      <c r="X1065" s="222" t="s">
        <v>283</v>
      </c>
      <c r="Y1065" s="223" t="s">
        <v>283</v>
      </c>
    </row>
    <row r="1066" spans="1:25">
      <c r="A1066" s="217">
        <v>20</v>
      </c>
      <c r="B1066" s="218" t="str">
        <f>VLOOKUP(Tabel10[[#This Row],[Code]],Ruimtegroepen[[Code]:[Ruimte omschrijving]],2,FALSE)</f>
        <v>Niet in Onderhoud</v>
      </c>
      <c r="C1066" s="219" t="s">
        <v>1173</v>
      </c>
      <c r="D1066" s="218" t="s">
        <v>12</v>
      </c>
      <c r="E1066" s="219" t="s">
        <v>100</v>
      </c>
      <c r="F1066" s="219" t="s">
        <v>1174</v>
      </c>
      <c r="G1066" s="224" t="s">
        <v>283</v>
      </c>
      <c r="H1066" s="220" t="s">
        <v>283</v>
      </c>
      <c r="I1066" s="220" t="s">
        <v>283</v>
      </c>
      <c r="J1066" s="220" t="s">
        <v>283</v>
      </c>
      <c r="K1066" s="220" t="s">
        <v>283</v>
      </c>
      <c r="L1066" s="220" t="s">
        <v>283</v>
      </c>
      <c r="M1066" s="220" t="s">
        <v>283</v>
      </c>
      <c r="N1066" s="220" t="s">
        <v>283</v>
      </c>
      <c r="O1066" s="221" t="s">
        <v>283</v>
      </c>
      <c r="P1066" s="221" t="s">
        <v>283</v>
      </c>
      <c r="Q1066" s="221" t="s">
        <v>283</v>
      </c>
      <c r="R1066" s="221" t="s">
        <v>283</v>
      </c>
      <c r="S1066" s="221" t="s">
        <v>283</v>
      </c>
      <c r="T1066" s="221" t="s">
        <v>283</v>
      </c>
      <c r="U1066" s="221" t="s">
        <v>283</v>
      </c>
      <c r="V1066" s="221" t="s">
        <v>283</v>
      </c>
      <c r="W1066" s="222" t="s">
        <v>283</v>
      </c>
      <c r="X1066" s="222" t="s">
        <v>283</v>
      </c>
      <c r="Y1066" s="223" t="s">
        <v>283</v>
      </c>
    </row>
    <row r="1067" spans="1:25">
      <c r="A1067" s="217">
        <v>20</v>
      </c>
      <c r="B1067" s="218" t="str">
        <f>VLOOKUP(Tabel10[[#This Row],[Code]],Ruimtegroepen[[Code]:[Ruimte omschrijving]],2,FALSE)</f>
        <v>Niet in Onderhoud</v>
      </c>
      <c r="C1067" s="219" t="s">
        <v>1173</v>
      </c>
      <c r="D1067" s="218" t="s">
        <v>12</v>
      </c>
      <c r="E1067" s="219" t="s">
        <v>99</v>
      </c>
      <c r="F1067" s="219" t="s">
        <v>1175</v>
      </c>
      <c r="G1067" s="224" t="s">
        <v>283</v>
      </c>
      <c r="H1067" s="220" t="s">
        <v>283</v>
      </c>
      <c r="I1067" s="220" t="s">
        <v>283</v>
      </c>
      <c r="J1067" s="220" t="s">
        <v>283</v>
      </c>
      <c r="K1067" s="220" t="s">
        <v>283</v>
      </c>
      <c r="L1067" s="220" t="s">
        <v>283</v>
      </c>
      <c r="M1067" s="220" t="s">
        <v>283</v>
      </c>
      <c r="N1067" s="220" t="s">
        <v>283</v>
      </c>
      <c r="O1067" s="221" t="s">
        <v>283</v>
      </c>
      <c r="P1067" s="221" t="s">
        <v>283</v>
      </c>
      <c r="Q1067" s="221" t="s">
        <v>283</v>
      </c>
      <c r="R1067" s="221" t="s">
        <v>283</v>
      </c>
      <c r="S1067" s="221" t="s">
        <v>283</v>
      </c>
      <c r="T1067" s="221" t="s">
        <v>283</v>
      </c>
      <c r="U1067" s="221" t="s">
        <v>283</v>
      </c>
      <c r="V1067" s="221" t="s">
        <v>283</v>
      </c>
      <c r="W1067" s="222" t="s">
        <v>283</v>
      </c>
      <c r="X1067" s="222" t="s">
        <v>283</v>
      </c>
      <c r="Y1067" s="223" t="s">
        <v>283</v>
      </c>
    </row>
    <row r="1068" spans="1:25">
      <c r="A1068" s="217">
        <v>20</v>
      </c>
      <c r="B1068" s="218" t="str">
        <f>VLOOKUP(Tabel10[[#This Row],[Code]],Ruimtegroepen[[Code]:[Ruimte omschrijving]],2,FALSE)</f>
        <v>Niet in Onderhoud</v>
      </c>
      <c r="C1068" s="219" t="s">
        <v>1173</v>
      </c>
      <c r="D1068" s="218" t="s">
        <v>12</v>
      </c>
      <c r="E1068" s="219" t="s">
        <v>101</v>
      </c>
      <c r="F1068" s="219" t="s">
        <v>1176</v>
      </c>
      <c r="G1068" s="224" t="s">
        <v>283</v>
      </c>
      <c r="H1068" s="220" t="s">
        <v>283</v>
      </c>
      <c r="I1068" s="220" t="s">
        <v>283</v>
      </c>
      <c r="J1068" s="220" t="s">
        <v>283</v>
      </c>
      <c r="K1068" s="220" t="s">
        <v>283</v>
      </c>
      <c r="L1068" s="220" t="s">
        <v>283</v>
      </c>
      <c r="M1068" s="220" t="s">
        <v>283</v>
      </c>
      <c r="N1068" s="220" t="s">
        <v>283</v>
      </c>
      <c r="O1068" s="221" t="s">
        <v>283</v>
      </c>
      <c r="P1068" s="221" t="s">
        <v>283</v>
      </c>
      <c r="Q1068" s="221" t="s">
        <v>283</v>
      </c>
      <c r="R1068" s="221" t="s">
        <v>283</v>
      </c>
      <c r="S1068" s="221" t="s">
        <v>283</v>
      </c>
      <c r="T1068" s="221" t="s">
        <v>283</v>
      </c>
      <c r="U1068" s="221" t="s">
        <v>283</v>
      </c>
      <c r="V1068" s="221" t="s">
        <v>283</v>
      </c>
      <c r="W1068" s="222" t="s">
        <v>283</v>
      </c>
      <c r="X1068" s="222" t="s">
        <v>283</v>
      </c>
      <c r="Y1068" s="223" t="s">
        <v>283</v>
      </c>
    </row>
    <row r="1069" spans="1:25">
      <c r="A1069" s="217">
        <v>20</v>
      </c>
      <c r="B1069" s="218" t="str">
        <f>VLOOKUP(Tabel10[[#This Row],[Code]],Ruimtegroepen[[Code]:[Ruimte omschrijving]],2,FALSE)</f>
        <v>Niet in Onderhoud</v>
      </c>
      <c r="C1069" s="219" t="s">
        <v>1173</v>
      </c>
      <c r="D1069" s="218" t="s">
        <v>12</v>
      </c>
      <c r="E1069" s="219" t="s">
        <v>102</v>
      </c>
      <c r="F1069" s="219" t="s">
        <v>1177</v>
      </c>
      <c r="G1069" s="224" t="s">
        <v>283</v>
      </c>
      <c r="H1069" s="220" t="s">
        <v>283</v>
      </c>
      <c r="I1069" s="220" t="s">
        <v>283</v>
      </c>
      <c r="J1069" s="220" t="s">
        <v>283</v>
      </c>
      <c r="K1069" s="220" t="s">
        <v>283</v>
      </c>
      <c r="L1069" s="220" t="s">
        <v>283</v>
      </c>
      <c r="M1069" s="220" t="s">
        <v>283</v>
      </c>
      <c r="N1069" s="220" t="s">
        <v>283</v>
      </c>
      <c r="O1069" s="221" t="s">
        <v>283</v>
      </c>
      <c r="P1069" s="221" t="s">
        <v>283</v>
      </c>
      <c r="Q1069" s="221" t="s">
        <v>283</v>
      </c>
      <c r="R1069" s="221" t="s">
        <v>283</v>
      </c>
      <c r="S1069" s="221" t="s">
        <v>283</v>
      </c>
      <c r="T1069" s="221" t="s">
        <v>283</v>
      </c>
      <c r="U1069" s="221" t="s">
        <v>283</v>
      </c>
      <c r="V1069" s="221" t="s">
        <v>283</v>
      </c>
      <c r="W1069" s="222" t="s">
        <v>283</v>
      </c>
      <c r="X1069" s="222" t="s">
        <v>283</v>
      </c>
      <c r="Y1069" s="223" t="s">
        <v>283</v>
      </c>
    </row>
    <row r="1070" spans="1:25">
      <c r="A1070" s="217">
        <v>20</v>
      </c>
      <c r="B1070" s="218" t="str">
        <f>VLOOKUP(Tabel10[[#This Row],[Code]],Ruimtegroepen[[Code]:[Ruimte omschrijving]],2,FALSE)</f>
        <v>Niet in Onderhoud</v>
      </c>
      <c r="C1070" s="219" t="s">
        <v>1173</v>
      </c>
      <c r="D1070" s="218" t="s">
        <v>12</v>
      </c>
      <c r="E1070" s="219" t="s">
        <v>99</v>
      </c>
      <c r="F1070" s="219" t="s">
        <v>1175</v>
      </c>
      <c r="G1070" s="224" t="s">
        <v>283</v>
      </c>
      <c r="H1070" s="220" t="s">
        <v>283</v>
      </c>
      <c r="I1070" s="220" t="s">
        <v>283</v>
      </c>
      <c r="J1070" s="220" t="s">
        <v>283</v>
      </c>
      <c r="K1070" s="220" t="s">
        <v>283</v>
      </c>
      <c r="L1070" s="220" t="s">
        <v>283</v>
      </c>
      <c r="M1070" s="220" t="s">
        <v>283</v>
      </c>
      <c r="N1070" s="220" t="s">
        <v>283</v>
      </c>
      <c r="O1070" s="221" t="s">
        <v>283</v>
      </c>
      <c r="P1070" s="221" t="s">
        <v>283</v>
      </c>
      <c r="Q1070" s="221" t="s">
        <v>283</v>
      </c>
      <c r="R1070" s="221" t="s">
        <v>283</v>
      </c>
      <c r="S1070" s="221" t="s">
        <v>283</v>
      </c>
      <c r="T1070" s="221" t="s">
        <v>283</v>
      </c>
      <c r="U1070" s="221" t="s">
        <v>283</v>
      </c>
      <c r="V1070" s="221" t="s">
        <v>283</v>
      </c>
      <c r="W1070" s="222" t="s">
        <v>283</v>
      </c>
      <c r="X1070" s="222" t="s">
        <v>283</v>
      </c>
      <c r="Y1070" s="223" t="s">
        <v>283</v>
      </c>
    </row>
    <row r="1071" spans="1:25">
      <c r="A1071" s="217">
        <v>20</v>
      </c>
      <c r="B1071" s="218" t="str">
        <f>VLOOKUP(Tabel10[[#This Row],[Code]],Ruimtegroepen[[Code]:[Ruimte omschrijving]],2,FALSE)</f>
        <v>Niet in Onderhoud</v>
      </c>
      <c r="C1071" s="219" t="s">
        <v>1173</v>
      </c>
      <c r="D1071" s="218" t="s">
        <v>12</v>
      </c>
      <c r="E1071" s="219" t="s">
        <v>1313</v>
      </c>
      <c r="F1071" s="219" t="s">
        <v>1328</v>
      </c>
      <c r="G1071" s="224" t="s">
        <v>283</v>
      </c>
      <c r="H1071" s="220" t="s">
        <v>283</v>
      </c>
      <c r="I1071" s="220" t="s">
        <v>283</v>
      </c>
      <c r="J1071" s="220" t="s">
        <v>283</v>
      </c>
      <c r="K1071" s="220" t="s">
        <v>283</v>
      </c>
      <c r="L1071" s="220" t="s">
        <v>283</v>
      </c>
      <c r="M1071" s="220" t="s">
        <v>283</v>
      </c>
      <c r="N1071" s="220" t="s">
        <v>283</v>
      </c>
      <c r="O1071" s="221" t="s">
        <v>283</v>
      </c>
      <c r="P1071" s="221" t="s">
        <v>283</v>
      </c>
      <c r="Q1071" s="221" t="s">
        <v>283</v>
      </c>
      <c r="R1071" s="221" t="s">
        <v>283</v>
      </c>
      <c r="S1071" s="221" t="s">
        <v>283</v>
      </c>
      <c r="T1071" s="221" t="s">
        <v>283</v>
      </c>
      <c r="U1071" s="221" t="s">
        <v>283</v>
      </c>
      <c r="V1071" s="221" t="s">
        <v>283</v>
      </c>
      <c r="W1071" s="222" t="s">
        <v>283</v>
      </c>
      <c r="X1071" s="222" t="s">
        <v>283</v>
      </c>
      <c r="Y1071" s="223" t="s">
        <v>283</v>
      </c>
    </row>
    <row r="1072" spans="1:25">
      <c r="A1072" s="217">
        <v>20</v>
      </c>
      <c r="B1072" s="218" t="str">
        <f>VLOOKUP(Tabel10[[#This Row],[Code]],Ruimtegroepen[[Code]:[Ruimte omschrijving]],2,FALSE)</f>
        <v>Niet in Onderhoud</v>
      </c>
      <c r="C1072" s="219" t="s">
        <v>1178</v>
      </c>
      <c r="D1072" s="218" t="s">
        <v>14</v>
      </c>
      <c r="E1072" s="219" t="s">
        <v>100</v>
      </c>
      <c r="F1072" s="219" t="s">
        <v>1179</v>
      </c>
      <c r="G1072" s="224" t="s">
        <v>283</v>
      </c>
      <c r="H1072" s="220" t="s">
        <v>283</v>
      </c>
      <c r="I1072" s="220" t="s">
        <v>283</v>
      </c>
      <c r="J1072" s="220" t="s">
        <v>283</v>
      </c>
      <c r="K1072" s="220" t="s">
        <v>283</v>
      </c>
      <c r="L1072" s="220" t="s">
        <v>283</v>
      </c>
      <c r="M1072" s="220" t="s">
        <v>283</v>
      </c>
      <c r="N1072" s="220" t="s">
        <v>283</v>
      </c>
      <c r="O1072" s="221" t="s">
        <v>283</v>
      </c>
      <c r="P1072" s="221" t="s">
        <v>283</v>
      </c>
      <c r="Q1072" s="221" t="s">
        <v>283</v>
      </c>
      <c r="R1072" s="221" t="s">
        <v>283</v>
      </c>
      <c r="S1072" s="221" t="s">
        <v>283</v>
      </c>
      <c r="T1072" s="221" t="s">
        <v>283</v>
      </c>
      <c r="U1072" s="221" t="s">
        <v>283</v>
      </c>
      <c r="V1072" s="221" t="s">
        <v>283</v>
      </c>
      <c r="W1072" s="222" t="s">
        <v>283</v>
      </c>
      <c r="X1072" s="222" t="s">
        <v>283</v>
      </c>
      <c r="Y1072" s="223" t="s">
        <v>283</v>
      </c>
    </row>
    <row r="1073" spans="1:25">
      <c r="A1073" s="217">
        <v>20</v>
      </c>
      <c r="B1073" s="218" t="str">
        <f>VLOOKUP(Tabel10[[#This Row],[Code]],Ruimtegroepen[[Code]:[Ruimte omschrijving]],2,FALSE)</f>
        <v>Niet in Onderhoud</v>
      </c>
      <c r="C1073" s="219" t="s">
        <v>1178</v>
      </c>
      <c r="D1073" s="218" t="s">
        <v>14</v>
      </c>
      <c r="E1073" s="219" t="s">
        <v>99</v>
      </c>
      <c r="F1073" s="219" t="s">
        <v>1180</v>
      </c>
      <c r="G1073" s="224" t="s">
        <v>283</v>
      </c>
      <c r="H1073" s="220" t="s">
        <v>283</v>
      </c>
      <c r="I1073" s="220" t="s">
        <v>283</v>
      </c>
      <c r="J1073" s="220" t="s">
        <v>283</v>
      </c>
      <c r="K1073" s="220" t="s">
        <v>283</v>
      </c>
      <c r="L1073" s="220" t="s">
        <v>283</v>
      </c>
      <c r="M1073" s="220" t="s">
        <v>283</v>
      </c>
      <c r="N1073" s="220" t="s">
        <v>283</v>
      </c>
      <c r="O1073" s="221" t="s">
        <v>283</v>
      </c>
      <c r="P1073" s="221" t="s">
        <v>283</v>
      </c>
      <c r="Q1073" s="221" t="s">
        <v>283</v>
      </c>
      <c r="R1073" s="221" t="s">
        <v>283</v>
      </c>
      <c r="S1073" s="221" t="s">
        <v>283</v>
      </c>
      <c r="T1073" s="221" t="s">
        <v>283</v>
      </c>
      <c r="U1073" s="221" t="s">
        <v>283</v>
      </c>
      <c r="V1073" s="221" t="s">
        <v>283</v>
      </c>
      <c r="W1073" s="222" t="s">
        <v>283</v>
      </c>
      <c r="X1073" s="222" t="s">
        <v>283</v>
      </c>
      <c r="Y1073" s="223" t="s">
        <v>283</v>
      </c>
    </row>
    <row r="1074" spans="1:25">
      <c r="A1074" s="217">
        <v>20</v>
      </c>
      <c r="B1074" s="218" t="str">
        <f>VLOOKUP(Tabel10[[#This Row],[Code]],Ruimtegroepen[[Code]:[Ruimte omschrijving]],2,FALSE)</f>
        <v>Niet in Onderhoud</v>
      </c>
      <c r="C1074" s="219" t="s">
        <v>1178</v>
      </c>
      <c r="D1074" s="218" t="s">
        <v>14</v>
      </c>
      <c r="E1074" s="219" t="s">
        <v>101</v>
      </c>
      <c r="F1074" s="219" t="s">
        <v>1181</v>
      </c>
      <c r="G1074" s="224" t="s">
        <v>283</v>
      </c>
      <c r="H1074" s="220" t="s">
        <v>283</v>
      </c>
      <c r="I1074" s="220" t="s">
        <v>283</v>
      </c>
      <c r="J1074" s="220" t="s">
        <v>283</v>
      </c>
      <c r="K1074" s="220" t="s">
        <v>283</v>
      </c>
      <c r="L1074" s="220" t="s">
        <v>283</v>
      </c>
      <c r="M1074" s="220" t="s">
        <v>283</v>
      </c>
      <c r="N1074" s="220" t="s">
        <v>283</v>
      </c>
      <c r="O1074" s="221" t="s">
        <v>283</v>
      </c>
      <c r="P1074" s="221" t="s">
        <v>283</v>
      </c>
      <c r="Q1074" s="221" t="s">
        <v>283</v>
      </c>
      <c r="R1074" s="221" t="s">
        <v>283</v>
      </c>
      <c r="S1074" s="221" t="s">
        <v>283</v>
      </c>
      <c r="T1074" s="221" t="s">
        <v>283</v>
      </c>
      <c r="U1074" s="221" t="s">
        <v>283</v>
      </c>
      <c r="V1074" s="221" t="s">
        <v>283</v>
      </c>
      <c r="W1074" s="222" t="s">
        <v>283</v>
      </c>
      <c r="X1074" s="222" t="s">
        <v>283</v>
      </c>
      <c r="Y1074" s="223" t="s">
        <v>283</v>
      </c>
    </row>
    <row r="1075" spans="1:25">
      <c r="A1075" s="217">
        <v>20</v>
      </c>
      <c r="B1075" s="218" t="str">
        <f>VLOOKUP(Tabel10[[#This Row],[Code]],Ruimtegroepen[[Code]:[Ruimte omschrijving]],2,FALSE)</f>
        <v>Niet in Onderhoud</v>
      </c>
      <c r="C1075" s="219" t="s">
        <v>1178</v>
      </c>
      <c r="D1075" s="218" t="s">
        <v>14</v>
      </c>
      <c r="E1075" s="219" t="s">
        <v>102</v>
      </c>
      <c r="F1075" s="219" t="s">
        <v>1182</v>
      </c>
      <c r="G1075" s="224" t="s">
        <v>283</v>
      </c>
      <c r="H1075" s="220" t="s">
        <v>283</v>
      </c>
      <c r="I1075" s="220" t="s">
        <v>283</v>
      </c>
      <c r="J1075" s="220" t="s">
        <v>283</v>
      </c>
      <c r="K1075" s="220" t="s">
        <v>283</v>
      </c>
      <c r="L1075" s="220" t="s">
        <v>283</v>
      </c>
      <c r="M1075" s="220" t="s">
        <v>283</v>
      </c>
      <c r="N1075" s="220" t="s">
        <v>283</v>
      </c>
      <c r="O1075" s="221" t="s">
        <v>283</v>
      </c>
      <c r="P1075" s="221" t="s">
        <v>283</v>
      </c>
      <c r="Q1075" s="221" t="s">
        <v>283</v>
      </c>
      <c r="R1075" s="221" t="s">
        <v>283</v>
      </c>
      <c r="S1075" s="221" t="s">
        <v>283</v>
      </c>
      <c r="T1075" s="221" t="s">
        <v>283</v>
      </c>
      <c r="U1075" s="221" t="s">
        <v>283</v>
      </c>
      <c r="V1075" s="221" t="s">
        <v>283</v>
      </c>
      <c r="W1075" s="222" t="s">
        <v>283</v>
      </c>
      <c r="X1075" s="222" t="s">
        <v>283</v>
      </c>
      <c r="Y1075" s="223" t="s">
        <v>283</v>
      </c>
    </row>
    <row r="1076" spans="1:25">
      <c r="A1076" s="217">
        <v>20</v>
      </c>
      <c r="B1076" s="218" t="str">
        <f>VLOOKUP(Tabel10[[#This Row],[Code]],Ruimtegroepen[[Code]:[Ruimte omschrijving]],2,FALSE)</f>
        <v>Niet in Onderhoud</v>
      </c>
      <c r="C1076" s="219" t="s">
        <v>1178</v>
      </c>
      <c r="D1076" s="218" t="s">
        <v>14</v>
      </c>
      <c r="E1076" s="219" t="s">
        <v>99</v>
      </c>
      <c r="F1076" s="219" t="s">
        <v>1180</v>
      </c>
      <c r="G1076" s="224" t="s">
        <v>283</v>
      </c>
      <c r="H1076" s="220" t="s">
        <v>283</v>
      </c>
      <c r="I1076" s="220" t="s">
        <v>283</v>
      </c>
      <c r="J1076" s="220" t="s">
        <v>283</v>
      </c>
      <c r="K1076" s="220" t="s">
        <v>283</v>
      </c>
      <c r="L1076" s="220" t="s">
        <v>283</v>
      </c>
      <c r="M1076" s="220" t="s">
        <v>283</v>
      </c>
      <c r="N1076" s="220" t="s">
        <v>283</v>
      </c>
      <c r="O1076" s="221" t="s">
        <v>283</v>
      </c>
      <c r="P1076" s="221" t="s">
        <v>283</v>
      </c>
      <c r="Q1076" s="221" t="s">
        <v>283</v>
      </c>
      <c r="R1076" s="221" t="s">
        <v>283</v>
      </c>
      <c r="S1076" s="221" t="s">
        <v>283</v>
      </c>
      <c r="T1076" s="221" t="s">
        <v>283</v>
      </c>
      <c r="U1076" s="221" t="s">
        <v>283</v>
      </c>
      <c r="V1076" s="221" t="s">
        <v>283</v>
      </c>
      <c r="W1076" s="222" t="s">
        <v>283</v>
      </c>
      <c r="X1076" s="222" t="s">
        <v>283</v>
      </c>
      <c r="Y1076" s="223" t="s">
        <v>283</v>
      </c>
    </row>
    <row r="1077" spans="1:25">
      <c r="A1077" s="217">
        <v>20</v>
      </c>
      <c r="B1077" s="218" t="str">
        <f>VLOOKUP(Tabel10[[#This Row],[Code]],Ruimtegroepen[[Code]:[Ruimte omschrijving]],2,FALSE)</f>
        <v>Niet in Onderhoud</v>
      </c>
      <c r="C1077" s="219" t="s">
        <v>1178</v>
      </c>
      <c r="D1077" s="218" t="s">
        <v>14</v>
      </c>
      <c r="E1077" s="219" t="s">
        <v>1313</v>
      </c>
      <c r="F1077" s="219" t="s">
        <v>1327</v>
      </c>
      <c r="G1077" s="224" t="s">
        <v>283</v>
      </c>
      <c r="H1077" s="220" t="s">
        <v>283</v>
      </c>
      <c r="I1077" s="220" t="s">
        <v>283</v>
      </c>
      <c r="J1077" s="220" t="s">
        <v>283</v>
      </c>
      <c r="K1077" s="220" t="s">
        <v>283</v>
      </c>
      <c r="L1077" s="220" t="s">
        <v>283</v>
      </c>
      <c r="M1077" s="220" t="s">
        <v>283</v>
      </c>
      <c r="N1077" s="220" t="s">
        <v>283</v>
      </c>
      <c r="O1077" s="221" t="s">
        <v>283</v>
      </c>
      <c r="P1077" s="221" t="s">
        <v>283</v>
      </c>
      <c r="Q1077" s="221" t="s">
        <v>283</v>
      </c>
      <c r="R1077" s="221" t="s">
        <v>283</v>
      </c>
      <c r="S1077" s="221" t="s">
        <v>283</v>
      </c>
      <c r="T1077" s="221" t="s">
        <v>283</v>
      </c>
      <c r="U1077" s="221" t="s">
        <v>283</v>
      </c>
      <c r="V1077" s="221" t="s">
        <v>283</v>
      </c>
      <c r="W1077" s="222" t="s">
        <v>283</v>
      </c>
      <c r="X1077" s="222" t="s">
        <v>283</v>
      </c>
      <c r="Y1077" s="223" t="s">
        <v>283</v>
      </c>
    </row>
    <row r="1078" spans="1:25">
      <c r="A1078" s="217">
        <v>20</v>
      </c>
      <c r="B1078" s="218" t="str">
        <f>VLOOKUP(Tabel10[[#This Row],[Code]],Ruimtegroepen[[Code]:[Ruimte omschrijving]],2,FALSE)</f>
        <v>Niet in Onderhoud</v>
      </c>
      <c r="C1078" s="219" t="s">
        <v>1183</v>
      </c>
      <c r="D1078" s="218" t="s">
        <v>13</v>
      </c>
      <c r="E1078" s="219" t="s">
        <v>100</v>
      </c>
      <c r="F1078" s="219" t="s">
        <v>1184</v>
      </c>
      <c r="G1078" s="224" t="s">
        <v>283</v>
      </c>
      <c r="H1078" s="220" t="s">
        <v>283</v>
      </c>
      <c r="I1078" s="220" t="s">
        <v>283</v>
      </c>
      <c r="J1078" s="220" t="s">
        <v>283</v>
      </c>
      <c r="K1078" s="220" t="s">
        <v>283</v>
      </c>
      <c r="L1078" s="220" t="s">
        <v>283</v>
      </c>
      <c r="M1078" s="220" t="s">
        <v>283</v>
      </c>
      <c r="N1078" s="220" t="s">
        <v>283</v>
      </c>
      <c r="O1078" s="221" t="s">
        <v>283</v>
      </c>
      <c r="P1078" s="221" t="s">
        <v>283</v>
      </c>
      <c r="Q1078" s="221" t="s">
        <v>283</v>
      </c>
      <c r="R1078" s="221" t="s">
        <v>283</v>
      </c>
      <c r="S1078" s="221" t="s">
        <v>283</v>
      </c>
      <c r="T1078" s="221" t="s">
        <v>283</v>
      </c>
      <c r="U1078" s="221" t="s">
        <v>283</v>
      </c>
      <c r="V1078" s="221" t="s">
        <v>283</v>
      </c>
      <c r="W1078" s="222" t="s">
        <v>283</v>
      </c>
      <c r="X1078" s="222" t="s">
        <v>283</v>
      </c>
      <c r="Y1078" s="223" t="s">
        <v>283</v>
      </c>
    </row>
    <row r="1079" spans="1:25">
      <c r="A1079" s="217">
        <v>20</v>
      </c>
      <c r="B1079" s="218" t="str">
        <f>VLOOKUP(Tabel10[[#This Row],[Code]],Ruimtegroepen[[Code]:[Ruimte omschrijving]],2,FALSE)</f>
        <v>Niet in Onderhoud</v>
      </c>
      <c r="C1079" s="219" t="s">
        <v>1183</v>
      </c>
      <c r="D1079" s="218" t="s">
        <v>13</v>
      </c>
      <c r="E1079" s="219" t="s">
        <v>99</v>
      </c>
      <c r="F1079" s="219" t="s">
        <v>1185</v>
      </c>
      <c r="G1079" s="224" t="s">
        <v>283</v>
      </c>
      <c r="H1079" s="220" t="s">
        <v>283</v>
      </c>
      <c r="I1079" s="220" t="s">
        <v>283</v>
      </c>
      <c r="J1079" s="220" t="s">
        <v>283</v>
      </c>
      <c r="K1079" s="220" t="s">
        <v>283</v>
      </c>
      <c r="L1079" s="220" t="s">
        <v>283</v>
      </c>
      <c r="M1079" s="220" t="s">
        <v>283</v>
      </c>
      <c r="N1079" s="220" t="s">
        <v>283</v>
      </c>
      <c r="O1079" s="221" t="s">
        <v>283</v>
      </c>
      <c r="P1079" s="221" t="s">
        <v>283</v>
      </c>
      <c r="Q1079" s="221" t="s">
        <v>283</v>
      </c>
      <c r="R1079" s="221" t="s">
        <v>283</v>
      </c>
      <c r="S1079" s="221" t="s">
        <v>283</v>
      </c>
      <c r="T1079" s="221" t="s">
        <v>283</v>
      </c>
      <c r="U1079" s="221" t="s">
        <v>283</v>
      </c>
      <c r="V1079" s="221" t="s">
        <v>283</v>
      </c>
      <c r="W1079" s="222" t="s">
        <v>283</v>
      </c>
      <c r="X1079" s="222" t="s">
        <v>283</v>
      </c>
      <c r="Y1079" s="223" t="s">
        <v>283</v>
      </c>
    </row>
    <row r="1080" spans="1:25">
      <c r="A1080" s="217">
        <v>20</v>
      </c>
      <c r="B1080" s="218" t="str">
        <f>VLOOKUP(Tabel10[[#This Row],[Code]],Ruimtegroepen[[Code]:[Ruimte omschrijving]],2,FALSE)</f>
        <v>Niet in Onderhoud</v>
      </c>
      <c r="C1080" s="219" t="s">
        <v>1183</v>
      </c>
      <c r="D1080" s="218" t="s">
        <v>13</v>
      </c>
      <c r="E1080" s="219" t="s">
        <v>101</v>
      </c>
      <c r="F1080" s="219" t="s">
        <v>1186</v>
      </c>
      <c r="G1080" s="224" t="s">
        <v>283</v>
      </c>
      <c r="H1080" s="220" t="s">
        <v>283</v>
      </c>
      <c r="I1080" s="220" t="s">
        <v>283</v>
      </c>
      <c r="J1080" s="220" t="s">
        <v>283</v>
      </c>
      <c r="K1080" s="220" t="s">
        <v>283</v>
      </c>
      <c r="L1080" s="220" t="s">
        <v>283</v>
      </c>
      <c r="M1080" s="220" t="s">
        <v>283</v>
      </c>
      <c r="N1080" s="220" t="s">
        <v>283</v>
      </c>
      <c r="O1080" s="221" t="s">
        <v>283</v>
      </c>
      <c r="P1080" s="221" t="s">
        <v>283</v>
      </c>
      <c r="Q1080" s="221" t="s">
        <v>283</v>
      </c>
      <c r="R1080" s="221" t="s">
        <v>283</v>
      </c>
      <c r="S1080" s="221" t="s">
        <v>283</v>
      </c>
      <c r="T1080" s="221" t="s">
        <v>283</v>
      </c>
      <c r="U1080" s="221" t="s">
        <v>283</v>
      </c>
      <c r="V1080" s="221" t="s">
        <v>283</v>
      </c>
      <c r="W1080" s="222" t="s">
        <v>283</v>
      </c>
      <c r="X1080" s="222" t="s">
        <v>283</v>
      </c>
      <c r="Y1080" s="223" t="s">
        <v>283</v>
      </c>
    </row>
    <row r="1081" spans="1:25">
      <c r="A1081" s="217">
        <v>20</v>
      </c>
      <c r="B1081" s="218" t="str">
        <f>VLOOKUP(Tabel10[[#This Row],[Code]],Ruimtegroepen[[Code]:[Ruimte omschrijving]],2,FALSE)</f>
        <v>Niet in Onderhoud</v>
      </c>
      <c r="C1081" s="219" t="s">
        <v>1183</v>
      </c>
      <c r="D1081" s="218" t="s">
        <v>13</v>
      </c>
      <c r="E1081" s="219" t="s">
        <v>102</v>
      </c>
      <c r="F1081" s="219" t="s">
        <v>1187</v>
      </c>
      <c r="G1081" s="224" t="s">
        <v>283</v>
      </c>
      <c r="H1081" s="220" t="s">
        <v>283</v>
      </c>
      <c r="I1081" s="220" t="s">
        <v>283</v>
      </c>
      <c r="J1081" s="220" t="s">
        <v>283</v>
      </c>
      <c r="K1081" s="220" t="s">
        <v>283</v>
      </c>
      <c r="L1081" s="220" t="s">
        <v>283</v>
      </c>
      <c r="M1081" s="220" t="s">
        <v>283</v>
      </c>
      <c r="N1081" s="220" t="s">
        <v>283</v>
      </c>
      <c r="O1081" s="221" t="s">
        <v>283</v>
      </c>
      <c r="P1081" s="221" t="s">
        <v>283</v>
      </c>
      <c r="Q1081" s="221" t="s">
        <v>283</v>
      </c>
      <c r="R1081" s="221" t="s">
        <v>283</v>
      </c>
      <c r="S1081" s="221" t="s">
        <v>283</v>
      </c>
      <c r="T1081" s="221" t="s">
        <v>283</v>
      </c>
      <c r="U1081" s="221" t="s">
        <v>283</v>
      </c>
      <c r="V1081" s="221" t="s">
        <v>283</v>
      </c>
      <c r="W1081" s="222" t="s">
        <v>283</v>
      </c>
      <c r="X1081" s="222" t="s">
        <v>283</v>
      </c>
      <c r="Y1081" s="223" t="s">
        <v>283</v>
      </c>
    </row>
    <row r="1082" spans="1:25">
      <c r="A1082" s="217">
        <v>20</v>
      </c>
      <c r="B1082" s="218" t="str">
        <f>VLOOKUP(Tabel10[[#This Row],[Code]],Ruimtegroepen[[Code]:[Ruimte omschrijving]],2,FALSE)</f>
        <v>Niet in Onderhoud</v>
      </c>
      <c r="C1082" s="219" t="s">
        <v>1183</v>
      </c>
      <c r="D1082" s="218" t="s">
        <v>13</v>
      </c>
      <c r="E1082" s="219" t="s">
        <v>99</v>
      </c>
      <c r="F1082" s="219" t="s">
        <v>1185</v>
      </c>
      <c r="G1082" s="224" t="s">
        <v>283</v>
      </c>
      <c r="H1082" s="220" t="s">
        <v>283</v>
      </c>
      <c r="I1082" s="220" t="s">
        <v>283</v>
      </c>
      <c r="J1082" s="220" t="s">
        <v>283</v>
      </c>
      <c r="K1082" s="220" t="s">
        <v>283</v>
      </c>
      <c r="L1082" s="220" t="s">
        <v>283</v>
      </c>
      <c r="M1082" s="220" t="s">
        <v>283</v>
      </c>
      <c r="N1082" s="220" t="s">
        <v>283</v>
      </c>
      <c r="O1082" s="221" t="s">
        <v>283</v>
      </c>
      <c r="P1082" s="221" t="s">
        <v>283</v>
      </c>
      <c r="Q1082" s="221" t="s">
        <v>283</v>
      </c>
      <c r="R1082" s="221" t="s">
        <v>283</v>
      </c>
      <c r="S1082" s="221" t="s">
        <v>283</v>
      </c>
      <c r="T1082" s="221" t="s">
        <v>283</v>
      </c>
      <c r="U1082" s="221" t="s">
        <v>283</v>
      </c>
      <c r="V1082" s="221" t="s">
        <v>283</v>
      </c>
      <c r="W1082" s="222" t="s">
        <v>283</v>
      </c>
      <c r="X1082" s="222" t="s">
        <v>283</v>
      </c>
      <c r="Y1082" s="223" t="s">
        <v>283</v>
      </c>
    </row>
    <row r="1083" spans="1:25">
      <c r="A1083" s="217">
        <v>20</v>
      </c>
      <c r="B1083" s="218" t="str">
        <f>VLOOKUP(Tabel10[[#This Row],[Code]],Ruimtegroepen[[Code]:[Ruimte omschrijving]],2,FALSE)</f>
        <v>Niet in Onderhoud</v>
      </c>
      <c r="C1083" s="219" t="s">
        <v>1183</v>
      </c>
      <c r="D1083" s="218" t="s">
        <v>13</v>
      </c>
      <c r="E1083" s="219" t="s">
        <v>1313</v>
      </c>
      <c r="F1083" s="219" t="s">
        <v>1326</v>
      </c>
      <c r="G1083" s="224" t="s">
        <v>283</v>
      </c>
      <c r="H1083" s="220" t="s">
        <v>283</v>
      </c>
      <c r="I1083" s="220" t="s">
        <v>283</v>
      </c>
      <c r="J1083" s="220" t="s">
        <v>283</v>
      </c>
      <c r="K1083" s="220" t="s">
        <v>283</v>
      </c>
      <c r="L1083" s="220" t="s">
        <v>283</v>
      </c>
      <c r="M1083" s="220" t="s">
        <v>283</v>
      </c>
      <c r="N1083" s="220" t="s">
        <v>283</v>
      </c>
      <c r="O1083" s="221" t="s">
        <v>283</v>
      </c>
      <c r="P1083" s="221" t="s">
        <v>283</v>
      </c>
      <c r="Q1083" s="221" t="s">
        <v>283</v>
      </c>
      <c r="R1083" s="221" t="s">
        <v>283</v>
      </c>
      <c r="S1083" s="221" t="s">
        <v>283</v>
      </c>
      <c r="T1083" s="221" t="s">
        <v>283</v>
      </c>
      <c r="U1083" s="221" t="s">
        <v>283</v>
      </c>
      <c r="V1083" s="221" t="s">
        <v>283</v>
      </c>
      <c r="W1083" s="222" t="s">
        <v>283</v>
      </c>
      <c r="X1083" s="222" t="s">
        <v>283</v>
      </c>
      <c r="Y1083" s="223" t="s">
        <v>283</v>
      </c>
    </row>
    <row r="1084" spans="1:25">
      <c r="A1084" s="217">
        <v>20</v>
      </c>
      <c r="B1084" s="218" t="str">
        <f>VLOOKUP(Tabel10[[#This Row],[Code]],Ruimtegroepen[[Code]:[Ruimte omschrijving]],2,FALSE)</f>
        <v>Niet in Onderhoud</v>
      </c>
      <c r="C1084" s="219" t="s">
        <v>1188</v>
      </c>
      <c r="D1084" s="218" t="s">
        <v>0</v>
      </c>
      <c r="E1084" s="219" t="s">
        <v>100</v>
      </c>
      <c r="F1084" s="219" t="s">
        <v>1189</v>
      </c>
      <c r="G1084" s="224" t="s">
        <v>283</v>
      </c>
      <c r="H1084" s="220" t="s">
        <v>283</v>
      </c>
      <c r="I1084" s="220" t="s">
        <v>283</v>
      </c>
      <c r="J1084" s="220" t="s">
        <v>283</v>
      </c>
      <c r="K1084" s="220" t="s">
        <v>283</v>
      </c>
      <c r="L1084" s="220" t="s">
        <v>283</v>
      </c>
      <c r="M1084" s="220" t="s">
        <v>283</v>
      </c>
      <c r="N1084" s="220" t="s">
        <v>283</v>
      </c>
      <c r="O1084" s="221" t="s">
        <v>283</v>
      </c>
      <c r="P1084" s="221" t="s">
        <v>283</v>
      </c>
      <c r="Q1084" s="221" t="s">
        <v>283</v>
      </c>
      <c r="R1084" s="221" t="s">
        <v>283</v>
      </c>
      <c r="S1084" s="221" t="s">
        <v>283</v>
      </c>
      <c r="T1084" s="221" t="s">
        <v>283</v>
      </c>
      <c r="U1084" s="221" t="s">
        <v>283</v>
      </c>
      <c r="V1084" s="221" t="s">
        <v>283</v>
      </c>
      <c r="W1084" s="222" t="s">
        <v>283</v>
      </c>
      <c r="X1084" s="222" t="s">
        <v>283</v>
      </c>
      <c r="Y1084" s="223" t="s">
        <v>283</v>
      </c>
    </row>
    <row r="1085" spans="1:25">
      <c r="A1085" s="217">
        <v>20</v>
      </c>
      <c r="B1085" s="218" t="str">
        <f>VLOOKUP(Tabel10[[#This Row],[Code]],Ruimtegroepen[[Code]:[Ruimte omschrijving]],2,FALSE)</f>
        <v>Niet in Onderhoud</v>
      </c>
      <c r="C1085" s="219" t="s">
        <v>1188</v>
      </c>
      <c r="D1085" s="218" t="s">
        <v>0</v>
      </c>
      <c r="E1085" s="219" t="s">
        <v>99</v>
      </c>
      <c r="F1085" s="219" t="s">
        <v>1190</v>
      </c>
      <c r="G1085" s="224" t="s">
        <v>283</v>
      </c>
      <c r="H1085" s="220" t="s">
        <v>283</v>
      </c>
      <c r="I1085" s="220" t="s">
        <v>283</v>
      </c>
      <c r="J1085" s="220" t="s">
        <v>283</v>
      </c>
      <c r="K1085" s="220" t="s">
        <v>283</v>
      </c>
      <c r="L1085" s="220" t="s">
        <v>283</v>
      </c>
      <c r="M1085" s="220" t="s">
        <v>283</v>
      </c>
      <c r="N1085" s="220" t="s">
        <v>283</v>
      </c>
      <c r="O1085" s="221" t="s">
        <v>283</v>
      </c>
      <c r="P1085" s="221" t="s">
        <v>283</v>
      </c>
      <c r="Q1085" s="221" t="s">
        <v>283</v>
      </c>
      <c r="R1085" s="221" t="s">
        <v>283</v>
      </c>
      <c r="S1085" s="221" t="s">
        <v>283</v>
      </c>
      <c r="T1085" s="221" t="s">
        <v>283</v>
      </c>
      <c r="U1085" s="221" t="s">
        <v>283</v>
      </c>
      <c r="V1085" s="221" t="s">
        <v>283</v>
      </c>
      <c r="W1085" s="222" t="s">
        <v>283</v>
      </c>
      <c r="X1085" s="222" t="s">
        <v>283</v>
      </c>
      <c r="Y1085" s="223" t="s">
        <v>283</v>
      </c>
    </row>
    <row r="1086" spans="1:25">
      <c r="A1086" s="217">
        <v>20</v>
      </c>
      <c r="B1086" s="218" t="str">
        <f>VLOOKUP(Tabel10[[#This Row],[Code]],Ruimtegroepen[[Code]:[Ruimte omschrijving]],2,FALSE)</f>
        <v>Niet in Onderhoud</v>
      </c>
      <c r="C1086" s="219" t="s">
        <v>1188</v>
      </c>
      <c r="D1086" s="218" t="s">
        <v>0</v>
      </c>
      <c r="E1086" s="219" t="s">
        <v>101</v>
      </c>
      <c r="F1086" s="219" t="s">
        <v>1191</v>
      </c>
      <c r="G1086" s="224" t="s">
        <v>283</v>
      </c>
      <c r="H1086" s="220" t="s">
        <v>283</v>
      </c>
      <c r="I1086" s="220" t="s">
        <v>283</v>
      </c>
      <c r="J1086" s="220" t="s">
        <v>283</v>
      </c>
      <c r="K1086" s="220" t="s">
        <v>283</v>
      </c>
      <c r="L1086" s="220" t="s">
        <v>283</v>
      </c>
      <c r="M1086" s="220" t="s">
        <v>283</v>
      </c>
      <c r="N1086" s="220" t="s">
        <v>283</v>
      </c>
      <c r="O1086" s="221" t="s">
        <v>283</v>
      </c>
      <c r="P1086" s="221" t="s">
        <v>283</v>
      </c>
      <c r="Q1086" s="221" t="s">
        <v>283</v>
      </c>
      <c r="R1086" s="221" t="s">
        <v>283</v>
      </c>
      <c r="S1086" s="221" t="s">
        <v>283</v>
      </c>
      <c r="T1086" s="221" t="s">
        <v>283</v>
      </c>
      <c r="U1086" s="221" t="s">
        <v>283</v>
      </c>
      <c r="V1086" s="221" t="s">
        <v>283</v>
      </c>
      <c r="W1086" s="222" t="s">
        <v>283</v>
      </c>
      <c r="X1086" s="222" t="s">
        <v>283</v>
      </c>
      <c r="Y1086" s="223" t="s">
        <v>283</v>
      </c>
    </row>
    <row r="1087" spans="1:25">
      <c r="A1087" s="217">
        <v>20</v>
      </c>
      <c r="B1087" s="218" t="str">
        <f>VLOOKUP(Tabel10[[#This Row],[Code]],Ruimtegroepen[[Code]:[Ruimte omschrijving]],2,FALSE)</f>
        <v>Niet in Onderhoud</v>
      </c>
      <c r="C1087" s="219" t="s">
        <v>1188</v>
      </c>
      <c r="D1087" s="218" t="s">
        <v>0</v>
      </c>
      <c r="E1087" s="219" t="s">
        <v>102</v>
      </c>
      <c r="F1087" s="219" t="s">
        <v>1192</v>
      </c>
      <c r="G1087" s="224" t="s">
        <v>283</v>
      </c>
      <c r="H1087" s="220" t="s">
        <v>283</v>
      </c>
      <c r="I1087" s="220" t="s">
        <v>283</v>
      </c>
      <c r="J1087" s="220" t="s">
        <v>283</v>
      </c>
      <c r="K1087" s="220" t="s">
        <v>283</v>
      </c>
      <c r="L1087" s="220" t="s">
        <v>283</v>
      </c>
      <c r="M1087" s="220" t="s">
        <v>283</v>
      </c>
      <c r="N1087" s="220" t="s">
        <v>283</v>
      </c>
      <c r="O1087" s="221" t="s">
        <v>283</v>
      </c>
      <c r="P1087" s="221" t="s">
        <v>283</v>
      </c>
      <c r="Q1087" s="221" t="s">
        <v>283</v>
      </c>
      <c r="R1087" s="221" t="s">
        <v>283</v>
      </c>
      <c r="S1087" s="221" t="s">
        <v>283</v>
      </c>
      <c r="T1087" s="221" t="s">
        <v>283</v>
      </c>
      <c r="U1087" s="221" t="s">
        <v>283</v>
      </c>
      <c r="V1087" s="221" t="s">
        <v>283</v>
      </c>
      <c r="W1087" s="222" t="s">
        <v>283</v>
      </c>
      <c r="X1087" s="222" t="s">
        <v>283</v>
      </c>
      <c r="Y1087" s="223" t="s">
        <v>283</v>
      </c>
    </row>
    <row r="1088" spans="1:25">
      <c r="A1088" s="217">
        <v>20</v>
      </c>
      <c r="B1088" s="218" t="str">
        <f>VLOOKUP(Tabel10[[#This Row],[Code]],Ruimtegroepen[[Code]:[Ruimte omschrijving]],2,FALSE)</f>
        <v>Niet in Onderhoud</v>
      </c>
      <c r="C1088" s="219" t="s">
        <v>1188</v>
      </c>
      <c r="D1088" s="218" t="s">
        <v>0</v>
      </c>
      <c r="E1088" s="219" t="s">
        <v>99</v>
      </c>
      <c r="F1088" s="219" t="s">
        <v>1190</v>
      </c>
      <c r="G1088" s="224" t="s">
        <v>283</v>
      </c>
      <c r="H1088" s="220" t="s">
        <v>283</v>
      </c>
      <c r="I1088" s="220" t="s">
        <v>283</v>
      </c>
      <c r="J1088" s="220" t="s">
        <v>283</v>
      </c>
      <c r="K1088" s="220" t="s">
        <v>283</v>
      </c>
      <c r="L1088" s="220" t="s">
        <v>283</v>
      </c>
      <c r="M1088" s="220" t="s">
        <v>283</v>
      </c>
      <c r="N1088" s="220" t="s">
        <v>283</v>
      </c>
      <c r="O1088" s="221" t="s">
        <v>283</v>
      </c>
      <c r="P1088" s="221" t="s">
        <v>283</v>
      </c>
      <c r="Q1088" s="221" t="s">
        <v>283</v>
      </c>
      <c r="R1088" s="221" t="s">
        <v>283</v>
      </c>
      <c r="S1088" s="221" t="s">
        <v>283</v>
      </c>
      <c r="T1088" s="221" t="s">
        <v>283</v>
      </c>
      <c r="U1088" s="221" t="s">
        <v>283</v>
      </c>
      <c r="V1088" s="221" t="s">
        <v>283</v>
      </c>
      <c r="W1088" s="222" t="s">
        <v>283</v>
      </c>
      <c r="X1088" s="222" t="s">
        <v>283</v>
      </c>
      <c r="Y1088" s="223" t="s">
        <v>283</v>
      </c>
    </row>
    <row r="1089" spans="1:25">
      <c r="A1089" s="217">
        <v>20</v>
      </c>
      <c r="B1089" s="218" t="str">
        <f>VLOOKUP(Tabel10[[#This Row],[Code]],Ruimtegroepen[[Code]:[Ruimte omschrijving]],2,FALSE)</f>
        <v>Niet in Onderhoud</v>
      </c>
      <c r="C1089" s="219" t="s">
        <v>1188</v>
      </c>
      <c r="D1089" s="218" t="s">
        <v>0</v>
      </c>
      <c r="E1089" s="219" t="s">
        <v>1313</v>
      </c>
      <c r="F1089" s="219" t="s">
        <v>1325</v>
      </c>
      <c r="G1089" s="224" t="s">
        <v>283</v>
      </c>
      <c r="H1089" s="220" t="s">
        <v>283</v>
      </c>
      <c r="I1089" s="220" t="s">
        <v>283</v>
      </c>
      <c r="J1089" s="220" t="s">
        <v>283</v>
      </c>
      <c r="K1089" s="220" t="s">
        <v>283</v>
      </c>
      <c r="L1089" s="220" t="s">
        <v>283</v>
      </c>
      <c r="M1089" s="220" t="s">
        <v>283</v>
      </c>
      <c r="N1089" s="220" t="s">
        <v>283</v>
      </c>
      <c r="O1089" s="221" t="s">
        <v>283</v>
      </c>
      <c r="P1089" s="221" t="s">
        <v>283</v>
      </c>
      <c r="Q1089" s="221" t="s">
        <v>283</v>
      </c>
      <c r="R1089" s="221" t="s">
        <v>283</v>
      </c>
      <c r="S1089" s="221" t="s">
        <v>283</v>
      </c>
      <c r="T1089" s="221" t="s">
        <v>283</v>
      </c>
      <c r="U1089" s="221" t="s">
        <v>283</v>
      </c>
      <c r="V1089" s="221" t="s">
        <v>283</v>
      </c>
      <c r="W1089" s="222" t="s">
        <v>283</v>
      </c>
      <c r="X1089" s="222" t="s">
        <v>283</v>
      </c>
      <c r="Y1089" s="223" t="s">
        <v>283</v>
      </c>
    </row>
    <row r="1090" spans="1:25">
      <c r="A1090" s="217">
        <v>20</v>
      </c>
      <c r="B1090" s="218" t="str">
        <f>VLOOKUP(Tabel10[[#This Row],[Code]],Ruimtegroepen[[Code]:[Ruimte omschrijving]],2,FALSE)</f>
        <v>Niet in Onderhoud</v>
      </c>
      <c r="C1090" s="219" t="s">
        <v>1193</v>
      </c>
      <c r="D1090" s="218" t="s">
        <v>27</v>
      </c>
      <c r="E1090" s="219" t="s">
        <v>100</v>
      </c>
      <c r="F1090" s="219" t="s">
        <v>1194</v>
      </c>
      <c r="G1090" s="224" t="s">
        <v>283</v>
      </c>
      <c r="H1090" s="220" t="s">
        <v>283</v>
      </c>
      <c r="I1090" s="220" t="s">
        <v>283</v>
      </c>
      <c r="J1090" s="220" t="s">
        <v>283</v>
      </c>
      <c r="K1090" s="220" t="s">
        <v>283</v>
      </c>
      <c r="L1090" s="220" t="s">
        <v>283</v>
      </c>
      <c r="M1090" s="220" t="s">
        <v>283</v>
      </c>
      <c r="N1090" s="220" t="s">
        <v>283</v>
      </c>
      <c r="O1090" s="221" t="s">
        <v>283</v>
      </c>
      <c r="P1090" s="221" t="s">
        <v>283</v>
      </c>
      <c r="Q1090" s="221" t="s">
        <v>283</v>
      </c>
      <c r="R1090" s="221" t="s">
        <v>283</v>
      </c>
      <c r="S1090" s="221" t="s">
        <v>283</v>
      </c>
      <c r="T1090" s="221" t="s">
        <v>283</v>
      </c>
      <c r="U1090" s="221" t="s">
        <v>283</v>
      </c>
      <c r="V1090" s="221" t="s">
        <v>283</v>
      </c>
      <c r="W1090" s="222" t="s">
        <v>283</v>
      </c>
      <c r="X1090" s="222" t="s">
        <v>283</v>
      </c>
      <c r="Y1090" s="223" t="s">
        <v>283</v>
      </c>
    </row>
    <row r="1091" spans="1:25">
      <c r="A1091" s="217">
        <v>20</v>
      </c>
      <c r="B1091" s="218" t="str">
        <f>VLOOKUP(Tabel10[[#This Row],[Code]],Ruimtegroepen[[Code]:[Ruimte omschrijving]],2,FALSE)</f>
        <v>Niet in Onderhoud</v>
      </c>
      <c r="C1091" s="219" t="s">
        <v>1193</v>
      </c>
      <c r="D1091" s="218" t="s">
        <v>27</v>
      </c>
      <c r="E1091" s="219" t="s">
        <v>99</v>
      </c>
      <c r="F1091" s="219" t="s">
        <v>1195</v>
      </c>
      <c r="G1091" s="224" t="s">
        <v>283</v>
      </c>
      <c r="H1091" s="220" t="s">
        <v>283</v>
      </c>
      <c r="I1091" s="220" t="s">
        <v>283</v>
      </c>
      <c r="J1091" s="220" t="s">
        <v>283</v>
      </c>
      <c r="K1091" s="220" t="s">
        <v>283</v>
      </c>
      <c r="L1091" s="220" t="s">
        <v>283</v>
      </c>
      <c r="M1091" s="220" t="s">
        <v>283</v>
      </c>
      <c r="N1091" s="220" t="s">
        <v>283</v>
      </c>
      <c r="O1091" s="221" t="s">
        <v>283</v>
      </c>
      <c r="P1091" s="221" t="s">
        <v>283</v>
      </c>
      <c r="Q1091" s="221" t="s">
        <v>283</v>
      </c>
      <c r="R1091" s="221" t="s">
        <v>283</v>
      </c>
      <c r="S1091" s="221" t="s">
        <v>283</v>
      </c>
      <c r="T1091" s="221" t="s">
        <v>283</v>
      </c>
      <c r="U1091" s="221" t="s">
        <v>283</v>
      </c>
      <c r="V1091" s="221" t="s">
        <v>283</v>
      </c>
      <c r="W1091" s="222" t="s">
        <v>283</v>
      </c>
      <c r="X1091" s="222" t="s">
        <v>283</v>
      </c>
      <c r="Y1091" s="223" t="s">
        <v>283</v>
      </c>
    </row>
    <row r="1092" spans="1:25">
      <c r="A1092" s="217">
        <v>20</v>
      </c>
      <c r="B1092" s="218" t="str">
        <f>VLOOKUP(Tabel10[[#This Row],[Code]],Ruimtegroepen[[Code]:[Ruimte omschrijving]],2,FALSE)</f>
        <v>Niet in Onderhoud</v>
      </c>
      <c r="C1092" s="219" t="s">
        <v>1193</v>
      </c>
      <c r="D1092" s="218" t="s">
        <v>27</v>
      </c>
      <c r="E1092" s="219" t="s">
        <v>101</v>
      </c>
      <c r="F1092" s="219" t="s">
        <v>1196</v>
      </c>
      <c r="G1092" s="224" t="s">
        <v>283</v>
      </c>
      <c r="H1092" s="220" t="s">
        <v>283</v>
      </c>
      <c r="I1092" s="220" t="s">
        <v>283</v>
      </c>
      <c r="J1092" s="220" t="s">
        <v>283</v>
      </c>
      <c r="K1092" s="220" t="s">
        <v>283</v>
      </c>
      <c r="L1092" s="220" t="s">
        <v>283</v>
      </c>
      <c r="M1092" s="220" t="s">
        <v>283</v>
      </c>
      <c r="N1092" s="220" t="s">
        <v>283</v>
      </c>
      <c r="O1092" s="221" t="s">
        <v>283</v>
      </c>
      <c r="P1092" s="221" t="s">
        <v>283</v>
      </c>
      <c r="Q1092" s="221" t="s">
        <v>283</v>
      </c>
      <c r="R1092" s="221" t="s">
        <v>283</v>
      </c>
      <c r="S1092" s="221" t="s">
        <v>283</v>
      </c>
      <c r="T1092" s="221" t="s">
        <v>283</v>
      </c>
      <c r="U1092" s="221" t="s">
        <v>283</v>
      </c>
      <c r="V1092" s="221" t="s">
        <v>283</v>
      </c>
      <c r="W1092" s="222" t="s">
        <v>283</v>
      </c>
      <c r="X1092" s="222" t="s">
        <v>283</v>
      </c>
      <c r="Y1092" s="223" t="s">
        <v>283</v>
      </c>
    </row>
    <row r="1093" spans="1:25">
      <c r="A1093" s="217">
        <v>20</v>
      </c>
      <c r="B1093" s="218" t="str">
        <f>VLOOKUP(Tabel10[[#This Row],[Code]],Ruimtegroepen[[Code]:[Ruimte omschrijving]],2,FALSE)</f>
        <v>Niet in Onderhoud</v>
      </c>
      <c r="C1093" s="219" t="s">
        <v>1193</v>
      </c>
      <c r="D1093" s="218" t="s">
        <v>27</v>
      </c>
      <c r="E1093" s="219" t="s">
        <v>102</v>
      </c>
      <c r="F1093" s="219" t="s">
        <v>1197</v>
      </c>
      <c r="G1093" s="224" t="s">
        <v>283</v>
      </c>
      <c r="H1093" s="220" t="s">
        <v>283</v>
      </c>
      <c r="I1093" s="220" t="s">
        <v>283</v>
      </c>
      <c r="J1093" s="220" t="s">
        <v>283</v>
      </c>
      <c r="K1093" s="220" t="s">
        <v>283</v>
      </c>
      <c r="L1093" s="220" t="s">
        <v>283</v>
      </c>
      <c r="M1093" s="220" t="s">
        <v>283</v>
      </c>
      <c r="N1093" s="220" t="s">
        <v>283</v>
      </c>
      <c r="O1093" s="221" t="s">
        <v>283</v>
      </c>
      <c r="P1093" s="221" t="s">
        <v>283</v>
      </c>
      <c r="Q1093" s="221" t="s">
        <v>283</v>
      </c>
      <c r="R1093" s="221" t="s">
        <v>283</v>
      </c>
      <c r="S1093" s="221" t="s">
        <v>283</v>
      </c>
      <c r="T1093" s="221" t="s">
        <v>283</v>
      </c>
      <c r="U1093" s="221" t="s">
        <v>283</v>
      </c>
      <c r="V1093" s="221" t="s">
        <v>283</v>
      </c>
      <c r="W1093" s="222" t="s">
        <v>283</v>
      </c>
      <c r="X1093" s="222" t="s">
        <v>283</v>
      </c>
      <c r="Y1093" s="223" t="s">
        <v>283</v>
      </c>
    </row>
    <row r="1094" spans="1:25">
      <c r="A1094" s="217">
        <v>20</v>
      </c>
      <c r="B1094" s="218" t="str">
        <f>VLOOKUP(Tabel10[[#This Row],[Code]],Ruimtegroepen[[Code]:[Ruimte omschrijving]],2,FALSE)</f>
        <v>Niet in Onderhoud</v>
      </c>
      <c r="C1094" s="219" t="s">
        <v>1193</v>
      </c>
      <c r="D1094" s="218" t="s">
        <v>27</v>
      </c>
      <c r="E1094" s="219" t="s">
        <v>99</v>
      </c>
      <c r="F1094" s="219" t="s">
        <v>1195</v>
      </c>
      <c r="G1094" s="224" t="s">
        <v>283</v>
      </c>
      <c r="H1094" s="220" t="s">
        <v>283</v>
      </c>
      <c r="I1094" s="220" t="s">
        <v>283</v>
      </c>
      <c r="J1094" s="220" t="s">
        <v>283</v>
      </c>
      <c r="K1094" s="220" t="s">
        <v>283</v>
      </c>
      <c r="L1094" s="220" t="s">
        <v>283</v>
      </c>
      <c r="M1094" s="220" t="s">
        <v>283</v>
      </c>
      <c r="N1094" s="220" t="s">
        <v>283</v>
      </c>
      <c r="O1094" s="221" t="s">
        <v>283</v>
      </c>
      <c r="P1094" s="221" t="s">
        <v>283</v>
      </c>
      <c r="Q1094" s="221" t="s">
        <v>283</v>
      </c>
      <c r="R1094" s="221" t="s">
        <v>283</v>
      </c>
      <c r="S1094" s="221" t="s">
        <v>283</v>
      </c>
      <c r="T1094" s="221" t="s">
        <v>283</v>
      </c>
      <c r="U1094" s="221" t="s">
        <v>283</v>
      </c>
      <c r="V1094" s="221" t="s">
        <v>283</v>
      </c>
      <c r="W1094" s="222" t="s">
        <v>283</v>
      </c>
      <c r="X1094" s="222" t="s">
        <v>283</v>
      </c>
      <c r="Y1094" s="223" t="s">
        <v>283</v>
      </c>
    </row>
    <row r="1095" spans="1:25">
      <c r="A1095" s="217">
        <v>20</v>
      </c>
      <c r="B1095" s="218" t="str">
        <f>VLOOKUP(Tabel10[[#This Row],[Code]],Ruimtegroepen[[Code]:[Ruimte omschrijving]],2,FALSE)</f>
        <v>Niet in Onderhoud</v>
      </c>
      <c r="C1095" s="219" t="s">
        <v>1193</v>
      </c>
      <c r="D1095" s="218" t="s">
        <v>27</v>
      </c>
      <c r="E1095" s="219" t="s">
        <v>1313</v>
      </c>
      <c r="F1095" s="219" t="s">
        <v>1324</v>
      </c>
      <c r="G1095" s="224" t="s">
        <v>283</v>
      </c>
      <c r="H1095" s="220" t="s">
        <v>283</v>
      </c>
      <c r="I1095" s="220" t="s">
        <v>283</v>
      </c>
      <c r="J1095" s="220" t="s">
        <v>283</v>
      </c>
      <c r="K1095" s="220" t="s">
        <v>283</v>
      </c>
      <c r="L1095" s="220" t="s">
        <v>283</v>
      </c>
      <c r="M1095" s="220" t="s">
        <v>283</v>
      </c>
      <c r="N1095" s="220" t="s">
        <v>283</v>
      </c>
      <c r="O1095" s="221" t="s">
        <v>283</v>
      </c>
      <c r="P1095" s="221" t="s">
        <v>283</v>
      </c>
      <c r="Q1095" s="221" t="s">
        <v>283</v>
      </c>
      <c r="R1095" s="221" t="s">
        <v>283</v>
      </c>
      <c r="S1095" s="221" t="s">
        <v>283</v>
      </c>
      <c r="T1095" s="221" t="s">
        <v>283</v>
      </c>
      <c r="U1095" s="221" t="s">
        <v>283</v>
      </c>
      <c r="V1095" s="221" t="s">
        <v>283</v>
      </c>
      <c r="W1095" s="222" t="s">
        <v>283</v>
      </c>
      <c r="X1095" s="222" t="s">
        <v>283</v>
      </c>
      <c r="Y1095" s="223" t="s">
        <v>283</v>
      </c>
    </row>
    <row r="1096" spans="1:25">
      <c r="A1096" s="217">
        <v>20</v>
      </c>
      <c r="B1096" s="218" t="str">
        <f>VLOOKUP(Tabel10[[#This Row],[Code]],Ruimtegroepen[[Code]:[Ruimte omschrijving]],2,FALSE)</f>
        <v>Niet in Onderhoud</v>
      </c>
      <c r="C1096" s="219" t="s">
        <v>1198</v>
      </c>
      <c r="D1096" s="218" t="s">
        <v>28</v>
      </c>
      <c r="E1096" s="219" t="s">
        <v>100</v>
      </c>
      <c r="F1096" s="219" t="s">
        <v>1199</v>
      </c>
      <c r="G1096" s="224" t="s">
        <v>283</v>
      </c>
      <c r="H1096" s="220" t="s">
        <v>283</v>
      </c>
      <c r="I1096" s="220" t="s">
        <v>283</v>
      </c>
      <c r="J1096" s="220" t="s">
        <v>283</v>
      </c>
      <c r="K1096" s="220" t="s">
        <v>283</v>
      </c>
      <c r="L1096" s="220" t="s">
        <v>283</v>
      </c>
      <c r="M1096" s="220" t="s">
        <v>283</v>
      </c>
      <c r="N1096" s="220" t="s">
        <v>283</v>
      </c>
      <c r="O1096" s="221" t="s">
        <v>283</v>
      </c>
      <c r="P1096" s="221" t="s">
        <v>283</v>
      </c>
      <c r="Q1096" s="221" t="s">
        <v>283</v>
      </c>
      <c r="R1096" s="221" t="s">
        <v>283</v>
      </c>
      <c r="S1096" s="221" t="s">
        <v>283</v>
      </c>
      <c r="T1096" s="221" t="s">
        <v>283</v>
      </c>
      <c r="U1096" s="221" t="s">
        <v>283</v>
      </c>
      <c r="V1096" s="221" t="s">
        <v>283</v>
      </c>
      <c r="W1096" s="222" t="s">
        <v>283</v>
      </c>
      <c r="X1096" s="222" t="s">
        <v>283</v>
      </c>
      <c r="Y1096" s="223" t="s">
        <v>283</v>
      </c>
    </row>
    <row r="1097" spans="1:25">
      <c r="A1097" s="217">
        <v>20</v>
      </c>
      <c r="B1097" s="218" t="str">
        <f>VLOOKUP(Tabel10[[#This Row],[Code]],Ruimtegroepen[[Code]:[Ruimte omschrijving]],2,FALSE)</f>
        <v>Niet in Onderhoud</v>
      </c>
      <c r="C1097" s="219" t="s">
        <v>1198</v>
      </c>
      <c r="D1097" s="218" t="s">
        <v>28</v>
      </c>
      <c r="E1097" s="219" t="s">
        <v>99</v>
      </c>
      <c r="F1097" s="219" t="s">
        <v>1200</v>
      </c>
      <c r="G1097" s="224" t="s">
        <v>283</v>
      </c>
      <c r="H1097" s="220" t="s">
        <v>283</v>
      </c>
      <c r="I1097" s="220" t="s">
        <v>283</v>
      </c>
      <c r="J1097" s="220" t="s">
        <v>283</v>
      </c>
      <c r="K1097" s="220" t="s">
        <v>283</v>
      </c>
      <c r="L1097" s="220" t="s">
        <v>283</v>
      </c>
      <c r="M1097" s="220" t="s">
        <v>283</v>
      </c>
      <c r="N1097" s="220" t="s">
        <v>283</v>
      </c>
      <c r="O1097" s="221" t="s">
        <v>283</v>
      </c>
      <c r="P1097" s="221" t="s">
        <v>283</v>
      </c>
      <c r="Q1097" s="221" t="s">
        <v>283</v>
      </c>
      <c r="R1097" s="221" t="s">
        <v>283</v>
      </c>
      <c r="S1097" s="221" t="s">
        <v>283</v>
      </c>
      <c r="T1097" s="221" t="s">
        <v>283</v>
      </c>
      <c r="U1097" s="221" t="s">
        <v>283</v>
      </c>
      <c r="V1097" s="221" t="s">
        <v>283</v>
      </c>
      <c r="W1097" s="222" t="s">
        <v>283</v>
      </c>
      <c r="X1097" s="222" t="s">
        <v>283</v>
      </c>
      <c r="Y1097" s="223" t="s">
        <v>283</v>
      </c>
    </row>
    <row r="1098" spans="1:25">
      <c r="A1098" s="217">
        <v>20</v>
      </c>
      <c r="B1098" s="218" t="str">
        <f>VLOOKUP(Tabel10[[#This Row],[Code]],Ruimtegroepen[[Code]:[Ruimte omschrijving]],2,FALSE)</f>
        <v>Niet in Onderhoud</v>
      </c>
      <c r="C1098" s="219" t="s">
        <v>1198</v>
      </c>
      <c r="D1098" s="218" t="s">
        <v>28</v>
      </c>
      <c r="E1098" s="219" t="s">
        <v>101</v>
      </c>
      <c r="F1098" s="219" t="s">
        <v>1201</v>
      </c>
      <c r="G1098" s="224" t="s">
        <v>283</v>
      </c>
      <c r="H1098" s="220" t="s">
        <v>283</v>
      </c>
      <c r="I1098" s="220" t="s">
        <v>283</v>
      </c>
      <c r="J1098" s="220" t="s">
        <v>283</v>
      </c>
      <c r="K1098" s="220" t="s">
        <v>283</v>
      </c>
      <c r="L1098" s="220" t="s">
        <v>283</v>
      </c>
      <c r="M1098" s="220" t="s">
        <v>283</v>
      </c>
      <c r="N1098" s="220" t="s">
        <v>283</v>
      </c>
      <c r="O1098" s="221" t="s">
        <v>283</v>
      </c>
      <c r="P1098" s="221" t="s">
        <v>283</v>
      </c>
      <c r="Q1098" s="221" t="s">
        <v>283</v>
      </c>
      <c r="R1098" s="221" t="s">
        <v>283</v>
      </c>
      <c r="S1098" s="221" t="s">
        <v>283</v>
      </c>
      <c r="T1098" s="221" t="s">
        <v>283</v>
      </c>
      <c r="U1098" s="221" t="s">
        <v>283</v>
      </c>
      <c r="V1098" s="221" t="s">
        <v>283</v>
      </c>
      <c r="W1098" s="222" t="s">
        <v>283</v>
      </c>
      <c r="X1098" s="222" t="s">
        <v>283</v>
      </c>
      <c r="Y1098" s="223" t="s">
        <v>283</v>
      </c>
    </row>
    <row r="1099" spans="1:25">
      <c r="A1099" s="217">
        <v>20</v>
      </c>
      <c r="B1099" s="218" t="str">
        <f>VLOOKUP(Tabel10[[#This Row],[Code]],Ruimtegroepen[[Code]:[Ruimte omschrijving]],2,FALSE)</f>
        <v>Niet in Onderhoud</v>
      </c>
      <c r="C1099" s="219" t="s">
        <v>1198</v>
      </c>
      <c r="D1099" s="218" t="s">
        <v>28</v>
      </c>
      <c r="E1099" s="219" t="s">
        <v>102</v>
      </c>
      <c r="F1099" s="219" t="s">
        <v>1202</v>
      </c>
      <c r="G1099" s="224" t="s">
        <v>283</v>
      </c>
      <c r="H1099" s="220" t="s">
        <v>283</v>
      </c>
      <c r="I1099" s="220" t="s">
        <v>283</v>
      </c>
      <c r="J1099" s="220" t="s">
        <v>283</v>
      </c>
      <c r="K1099" s="220" t="s">
        <v>283</v>
      </c>
      <c r="L1099" s="220" t="s">
        <v>283</v>
      </c>
      <c r="M1099" s="220" t="s">
        <v>283</v>
      </c>
      <c r="N1099" s="220" t="s">
        <v>283</v>
      </c>
      <c r="O1099" s="221" t="s">
        <v>283</v>
      </c>
      <c r="P1099" s="221" t="s">
        <v>283</v>
      </c>
      <c r="Q1099" s="221" t="s">
        <v>283</v>
      </c>
      <c r="R1099" s="221" t="s">
        <v>283</v>
      </c>
      <c r="S1099" s="221" t="s">
        <v>283</v>
      </c>
      <c r="T1099" s="221" t="s">
        <v>283</v>
      </c>
      <c r="U1099" s="221" t="s">
        <v>283</v>
      </c>
      <c r="V1099" s="221" t="s">
        <v>283</v>
      </c>
      <c r="W1099" s="222" t="s">
        <v>283</v>
      </c>
      <c r="X1099" s="222" t="s">
        <v>283</v>
      </c>
      <c r="Y1099" s="223" t="s">
        <v>283</v>
      </c>
    </row>
    <row r="1100" spans="1:25">
      <c r="A1100" s="217">
        <v>20</v>
      </c>
      <c r="B1100" s="218" t="str">
        <f>VLOOKUP(Tabel10[[#This Row],[Code]],Ruimtegroepen[[Code]:[Ruimte omschrijving]],2,FALSE)</f>
        <v>Niet in Onderhoud</v>
      </c>
      <c r="C1100" s="219" t="s">
        <v>1198</v>
      </c>
      <c r="D1100" s="218" t="s">
        <v>28</v>
      </c>
      <c r="E1100" s="219" t="s">
        <v>99</v>
      </c>
      <c r="F1100" s="219" t="s">
        <v>1200</v>
      </c>
      <c r="G1100" s="224" t="s">
        <v>283</v>
      </c>
      <c r="H1100" s="220" t="s">
        <v>283</v>
      </c>
      <c r="I1100" s="220" t="s">
        <v>283</v>
      </c>
      <c r="J1100" s="220" t="s">
        <v>283</v>
      </c>
      <c r="K1100" s="220" t="s">
        <v>283</v>
      </c>
      <c r="L1100" s="220" t="s">
        <v>283</v>
      </c>
      <c r="M1100" s="220" t="s">
        <v>283</v>
      </c>
      <c r="N1100" s="220" t="s">
        <v>283</v>
      </c>
      <c r="O1100" s="221" t="s">
        <v>283</v>
      </c>
      <c r="P1100" s="221" t="s">
        <v>283</v>
      </c>
      <c r="Q1100" s="221" t="s">
        <v>283</v>
      </c>
      <c r="R1100" s="221" t="s">
        <v>283</v>
      </c>
      <c r="S1100" s="221" t="s">
        <v>283</v>
      </c>
      <c r="T1100" s="221" t="s">
        <v>283</v>
      </c>
      <c r="U1100" s="221" t="s">
        <v>283</v>
      </c>
      <c r="V1100" s="221" t="s">
        <v>283</v>
      </c>
      <c r="W1100" s="222" t="s">
        <v>283</v>
      </c>
      <c r="X1100" s="222" t="s">
        <v>283</v>
      </c>
      <c r="Y1100" s="223" t="s">
        <v>283</v>
      </c>
    </row>
    <row r="1101" spans="1:25">
      <c r="A1101" s="217">
        <v>20</v>
      </c>
      <c r="B1101" s="218" t="str">
        <f>VLOOKUP(Tabel10[[#This Row],[Code]],Ruimtegroepen[[Code]:[Ruimte omschrijving]],2,FALSE)</f>
        <v>Niet in Onderhoud</v>
      </c>
      <c r="C1101" s="219" t="s">
        <v>1198</v>
      </c>
      <c r="D1101" s="218" t="s">
        <v>28</v>
      </c>
      <c r="E1101" s="219" t="s">
        <v>1313</v>
      </c>
      <c r="F1101" s="219" t="s">
        <v>1323</v>
      </c>
      <c r="G1101" s="224" t="s">
        <v>283</v>
      </c>
      <c r="H1101" s="220" t="s">
        <v>283</v>
      </c>
      <c r="I1101" s="220" t="s">
        <v>283</v>
      </c>
      <c r="J1101" s="220" t="s">
        <v>283</v>
      </c>
      <c r="K1101" s="220" t="s">
        <v>283</v>
      </c>
      <c r="L1101" s="220" t="s">
        <v>283</v>
      </c>
      <c r="M1101" s="220" t="s">
        <v>283</v>
      </c>
      <c r="N1101" s="220" t="s">
        <v>283</v>
      </c>
      <c r="O1101" s="221" t="s">
        <v>283</v>
      </c>
      <c r="P1101" s="221" t="s">
        <v>283</v>
      </c>
      <c r="Q1101" s="221" t="s">
        <v>283</v>
      </c>
      <c r="R1101" s="221" t="s">
        <v>283</v>
      </c>
      <c r="S1101" s="221" t="s">
        <v>283</v>
      </c>
      <c r="T1101" s="221" t="s">
        <v>283</v>
      </c>
      <c r="U1101" s="221" t="s">
        <v>283</v>
      </c>
      <c r="V1101" s="221" t="s">
        <v>283</v>
      </c>
      <c r="W1101" s="222" t="s">
        <v>283</v>
      </c>
      <c r="X1101" s="222" t="s">
        <v>283</v>
      </c>
      <c r="Y1101" s="223" t="s">
        <v>283</v>
      </c>
    </row>
  </sheetData>
  <sheetProtection algorithmName="SHA-512" hashValue="Cwc6gxhZeJYFHuUHEkrv0EnGyjKf1NIC7nRwAEp8I9Pp5kH+sRjk9gf2czYobujMO/t/GSoQ58fgHZk2agT6yw==" saltValue="HKzgCjN4/A9PSw29r7hOFg==" spinCount="100000" sheet="1" objects="1" scenarios="1" autoFilter="0"/>
  <mergeCells count="3">
    <mergeCell ref="G2:N2"/>
    <mergeCell ref="O2:V2"/>
    <mergeCell ref="W2:Y2"/>
  </mergeCells>
  <phoneticPr fontId="2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topLeftCell="A16" zoomScaleNormal="100" zoomScaleSheetLayoutView="100" workbookViewId="0">
      <selection activeCell="I24" sqref="I24"/>
    </sheetView>
  </sheetViews>
  <sheetFormatPr defaultColWidth="7.88671875" defaultRowHeight="15" customHeight="1"/>
  <cols>
    <col min="1" max="1" width="15.109375" style="28" bestFit="1" customWidth="1"/>
    <col min="2" max="2" width="26" style="28" customWidth="1"/>
    <col min="3" max="3" width="18.33203125" style="28" customWidth="1"/>
    <col min="4" max="4" width="17.6640625" style="28" bestFit="1" customWidth="1"/>
    <col min="5" max="5" width="18.33203125" style="31" customWidth="1"/>
    <col min="6" max="6" width="2.88671875" style="28" customWidth="1"/>
    <col min="7" max="7" width="14.88671875" style="28" customWidth="1"/>
    <col min="8" max="8" width="12" style="28" bestFit="1" customWidth="1"/>
    <col min="9" max="9" width="19.44140625" style="28" bestFit="1" customWidth="1"/>
    <col min="10" max="10" width="12" style="28" bestFit="1" customWidth="1"/>
    <col min="11" max="11" width="19.44140625" style="28" bestFit="1" customWidth="1"/>
    <col min="12" max="12" width="12" style="28" bestFit="1" customWidth="1"/>
    <col min="13" max="13" width="19.44140625" style="28" bestFit="1" customWidth="1"/>
    <col min="14" max="14" width="12" style="28" bestFit="1" customWidth="1"/>
    <col min="15" max="15" width="19.44140625" style="28" bestFit="1" customWidth="1"/>
    <col min="16" max="16" width="12" style="28" bestFit="1" customWidth="1"/>
    <col min="17" max="17" width="19.44140625" style="28" bestFit="1" customWidth="1"/>
    <col min="18" max="16384" width="7.88671875" style="28"/>
  </cols>
  <sheetData>
    <row r="1" spans="1:17" s="26" customFormat="1" ht="26.25" customHeight="1">
      <c r="A1" s="290" t="s">
        <v>34</v>
      </c>
      <c r="B1" s="290"/>
      <c r="C1" s="290"/>
      <c r="D1" s="290"/>
      <c r="E1" s="290"/>
      <c r="F1" s="291"/>
      <c r="G1" s="291"/>
      <c r="H1" s="291"/>
      <c r="I1" s="291"/>
      <c r="J1" s="291"/>
      <c r="K1" s="291"/>
      <c r="L1" s="291"/>
      <c r="M1" s="291"/>
      <c r="N1" s="291"/>
      <c r="O1" s="291"/>
      <c r="P1" s="291"/>
      <c r="Q1" s="291"/>
    </row>
    <row r="2" spans="1:17" s="26" customFormat="1" ht="15" customHeight="1">
      <c r="A2" s="292" t="s">
        <v>1590</v>
      </c>
      <c r="B2" s="292"/>
      <c r="C2" s="292"/>
      <c r="D2" s="292"/>
      <c r="E2" s="292"/>
      <c r="F2" s="291"/>
      <c r="G2" s="293" t="s">
        <v>244</v>
      </c>
      <c r="H2" s="293"/>
      <c r="I2" s="293"/>
      <c r="J2" s="293"/>
      <c r="K2" s="293"/>
      <c r="L2" s="293"/>
      <c r="M2" s="293"/>
      <c r="N2" s="293"/>
      <c r="O2" s="293"/>
      <c r="P2" s="293"/>
      <c r="Q2" s="293"/>
    </row>
    <row r="3" spans="1:17" ht="15" customHeight="1">
      <c r="A3" s="294"/>
      <c r="B3" s="294"/>
      <c r="C3" s="294"/>
      <c r="D3" s="294"/>
      <c r="E3" s="294"/>
      <c r="F3" s="294"/>
      <c r="G3" s="295"/>
      <c r="H3" s="296">
        <v>2027</v>
      </c>
      <c r="I3" s="296"/>
      <c r="J3" s="297">
        <v>2028</v>
      </c>
      <c r="K3" s="298"/>
      <c r="L3" s="297">
        <v>2029</v>
      </c>
      <c r="M3" s="298"/>
      <c r="N3" s="297">
        <v>2030</v>
      </c>
      <c r="O3" s="298"/>
      <c r="P3" s="297">
        <v>2031</v>
      </c>
      <c r="Q3" s="298"/>
    </row>
    <row r="4" spans="1:17" s="29" customFormat="1" ht="26.25" customHeight="1">
      <c r="A4" s="299" t="s">
        <v>72</v>
      </c>
      <c r="B4" s="300"/>
      <c r="C4" s="301" t="s">
        <v>196</v>
      </c>
      <c r="D4" s="301" t="s">
        <v>208</v>
      </c>
      <c r="E4" s="301" t="s">
        <v>79</v>
      </c>
      <c r="F4" s="302"/>
      <c r="G4" s="301" t="s">
        <v>1291</v>
      </c>
      <c r="H4" s="301" t="s">
        <v>1292</v>
      </c>
      <c r="I4" s="301" t="s">
        <v>1293</v>
      </c>
      <c r="J4" s="301" t="s">
        <v>1292</v>
      </c>
      <c r="K4" s="301" t="s">
        <v>1293</v>
      </c>
      <c r="L4" s="301" t="s">
        <v>1292</v>
      </c>
      <c r="M4" s="301" t="s">
        <v>1293</v>
      </c>
      <c r="N4" s="301" t="s">
        <v>1292</v>
      </c>
      <c r="O4" s="301" t="s">
        <v>1293</v>
      </c>
      <c r="P4" s="301" t="s">
        <v>1292</v>
      </c>
      <c r="Q4" s="301" t="s">
        <v>1293</v>
      </c>
    </row>
    <row r="5" spans="1:17" ht="15" customHeight="1">
      <c r="A5" s="303" t="s">
        <v>93</v>
      </c>
      <c r="B5" s="304"/>
      <c r="C5" s="353">
        <v>0</v>
      </c>
      <c r="D5" s="356">
        <v>0</v>
      </c>
      <c r="E5" s="305">
        <f>C5*D5</f>
        <v>0</v>
      </c>
      <c r="F5" s="294"/>
      <c r="G5" s="306"/>
      <c r="H5" s="306"/>
      <c r="I5" s="306"/>
      <c r="J5" s="306"/>
      <c r="K5" s="306"/>
      <c r="L5" s="306"/>
      <c r="M5" s="306"/>
      <c r="N5" s="306"/>
      <c r="O5" s="306"/>
      <c r="P5" s="306"/>
      <c r="Q5" s="306"/>
    </row>
    <row r="6" spans="1:17" ht="15" customHeight="1">
      <c r="A6" s="303" t="s">
        <v>64</v>
      </c>
      <c r="B6" s="304"/>
      <c r="C6" s="353">
        <v>0</v>
      </c>
      <c r="D6" s="356">
        <v>0</v>
      </c>
      <c r="E6" s="305">
        <f>C6*D6</f>
        <v>0</v>
      </c>
      <c r="F6" s="294"/>
      <c r="G6" s="306"/>
      <c r="H6" s="306"/>
      <c r="I6" s="306"/>
      <c r="J6" s="306"/>
      <c r="K6" s="306"/>
      <c r="L6" s="306"/>
      <c r="M6" s="306"/>
      <c r="N6" s="306"/>
      <c r="O6" s="306"/>
      <c r="P6" s="306"/>
      <c r="Q6" s="306"/>
    </row>
    <row r="7" spans="1:17" ht="15" customHeight="1">
      <c r="A7" s="354"/>
      <c r="B7" s="355"/>
      <c r="C7" s="353">
        <v>0</v>
      </c>
      <c r="D7" s="356">
        <v>0</v>
      </c>
      <c r="E7" s="305">
        <f>C7*D7</f>
        <v>0</v>
      </c>
      <c r="F7" s="294"/>
      <c r="G7" s="306"/>
      <c r="H7" s="306"/>
      <c r="I7" s="306"/>
      <c r="J7" s="306"/>
      <c r="K7" s="306"/>
      <c r="L7" s="306"/>
      <c r="M7" s="306"/>
      <c r="N7" s="306"/>
      <c r="O7" s="306"/>
      <c r="P7" s="306"/>
      <c r="Q7" s="306"/>
    </row>
    <row r="8" spans="1:17" ht="15" customHeight="1">
      <c r="A8" s="307" t="s">
        <v>65</v>
      </c>
      <c r="B8" s="308"/>
      <c r="C8" s="353">
        <v>0</v>
      </c>
      <c r="D8" s="356">
        <v>0</v>
      </c>
      <c r="E8" s="305">
        <f>C8*D8</f>
        <v>0</v>
      </c>
      <c r="F8" s="294"/>
      <c r="G8" s="306"/>
      <c r="H8" s="306"/>
      <c r="I8" s="306"/>
      <c r="J8" s="306"/>
      <c r="K8" s="306"/>
      <c r="L8" s="306"/>
      <c r="M8" s="306"/>
      <c r="N8" s="306"/>
      <c r="O8" s="306"/>
      <c r="P8" s="306"/>
      <c r="Q8" s="306"/>
    </row>
    <row r="9" spans="1:17" ht="15" customHeight="1">
      <c r="A9" s="309" t="s">
        <v>94</v>
      </c>
      <c r="B9" s="310"/>
      <c r="C9" s="311"/>
      <c r="D9" s="312">
        <f>SUM(D5:D8)</f>
        <v>0</v>
      </c>
      <c r="E9" s="305" t="str">
        <f>IF(SUM($D$5:$D$8)=100%,SUM(E5:E8),"    GEEN 100%")</f>
        <v xml:space="preserve">    GEEN 100%</v>
      </c>
      <c r="F9" s="294"/>
      <c r="G9" s="306"/>
      <c r="H9" s="313"/>
      <c r="I9" s="306"/>
      <c r="J9" s="306"/>
      <c r="K9" s="306"/>
      <c r="L9" s="306"/>
      <c r="M9" s="306"/>
      <c r="N9" s="306"/>
      <c r="O9" s="306"/>
      <c r="P9" s="306"/>
      <c r="Q9" s="306"/>
    </row>
    <row r="10" spans="1:17" ht="15" customHeight="1">
      <c r="A10" s="314" t="s">
        <v>66</v>
      </c>
      <c r="B10" s="314"/>
      <c r="C10" s="314"/>
      <c r="D10" s="315" t="s">
        <v>3</v>
      </c>
      <c r="E10" s="316">
        <f>SUM(E9:E9)</f>
        <v>0</v>
      </c>
      <c r="F10" s="294"/>
      <c r="G10" s="306" t="s">
        <v>1294</v>
      </c>
      <c r="H10" s="317">
        <v>0</v>
      </c>
      <c r="I10" s="316">
        <f>(E10*H10)+E10</f>
        <v>0</v>
      </c>
      <c r="J10" s="317">
        <v>0</v>
      </c>
      <c r="K10" s="316">
        <f>(I10*J10)+I10</f>
        <v>0</v>
      </c>
      <c r="L10" s="317">
        <v>0</v>
      </c>
      <c r="M10" s="316">
        <f>(K10*L10)+K10</f>
        <v>0</v>
      </c>
      <c r="N10" s="317">
        <v>0</v>
      </c>
      <c r="O10" s="316">
        <f>(M10*N10)+M10</f>
        <v>0</v>
      </c>
      <c r="P10" s="317">
        <v>0</v>
      </c>
      <c r="Q10" s="316">
        <f>(O10*P10)+O10</f>
        <v>0</v>
      </c>
    </row>
    <row r="11" spans="1:17" ht="15" customHeight="1">
      <c r="A11" s="318"/>
      <c r="B11" s="319"/>
      <c r="C11" s="319"/>
      <c r="D11" s="319"/>
      <c r="E11" s="320"/>
      <c r="F11" s="294"/>
      <c r="G11" s="306"/>
      <c r="H11" s="306"/>
      <c r="I11" s="306"/>
      <c r="J11" s="306"/>
      <c r="K11" s="306"/>
      <c r="L11" s="306"/>
      <c r="M11" s="306"/>
      <c r="N11" s="306"/>
      <c r="O11" s="306"/>
      <c r="P11" s="306"/>
      <c r="Q11" s="306"/>
    </row>
    <row r="12" spans="1:17" s="29" customFormat="1" ht="26.25" customHeight="1">
      <c r="A12" s="299" t="s">
        <v>67</v>
      </c>
      <c r="B12" s="321"/>
      <c r="C12" s="300"/>
      <c r="D12" s="322" t="s">
        <v>76</v>
      </c>
      <c r="E12" s="301" t="s">
        <v>79</v>
      </c>
      <c r="F12" s="302"/>
      <c r="G12" s="323"/>
      <c r="H12" s="323"/>
      <c r="I12" s="323"/>
      <c r="J12" s="323"/>
      <c r="K12" s="323"/>
      <c r="L12" s="323"/>
      <c r="M12" s="323"/>
      <c r="N12" s="323"/>
      <c r="O12" s="323"/>
      <c r="P12" s="323"/>
      <c r="Q12" s="323"/>
    </row>
    <row r="13" spans="1:17" ht="15" customHeight="1">
      <c r="A13" s="324" t="s">
        <v>4</v>
      </c>
      <c r="B13" s="325"/>
      <c r="C13" s="325"/>
      <c r="D13" s="357">
        <v>0</v>
      </c>
      <c r="E13" s="326">
        <f>SUM($E$10*D13)</f>
        <v>0</v>
      </c>
      <c r="F13" s="294"/>
      <c r="G13" s="306" t="s">
        <v>1586</v>
      </c>
      <c r="H13" s="317"/>
      <c r="I13" s="327">
        <f>(E13*H13)+E13</f>
        <v>0</v>
      </c>
      <c r="J13" s="328"/>
      <c r="K13" s="327">
        <f>(I13*J13)+I13</f>
        <v>0</v>
      </c>
      <c r="L13" s="328"/>
      <c r="M13" s="327">
        <f>(K13*L13)+K13</f>
        <v>0</v>
      </c>
      <c r="N13" s="328"/>
      <c r="O13" s="327">
        <f>(M13*N13)+M13</f>
        <v>0</v>
      </c>
      <c r="P13" s="328"/>
      <c r="Q13" s="327">
        <f>(O13*P13)+O13</f>
        <v>0</v>
      </c>
    </row>
    <row r="14" spans="1:17" ht="15" customHeight="1">
      <c r="A14" s="325" t="s">
        <v>81</v>
      </c>
      <c r="B14" s="325"/>
      <c r="C14" s="325"/>
      <c r="D14" s="357">
        <v>0</v>
      </c>
      <c r="E14" s="326">
        <f>SUM($E$10*D14)</f>
        <v>0</v>
      </c>
      <c r="F14" s="294"/>
      <c r="G14" s="306" t="s">
        <v>1586</v>
      </c>
      <c r="H14" s="317"/>
      <c r="I14" s="327">
        <f>(E14*H14)+E14</f>
        <v>0</v>
      </c>
      <c r="J14" s="328"/>
      <c r="K14" s="327">
        <f>(I14*J14)+I14</f>
        <v>0</v>
      </c>
      <c r="L14" s="328"/>
      <c r="M14" s="327">
        <f>(K14*L14)+K14</f>
        <v>0</v>
      </c>
      <c r="N14" s="328"/>
      <c r="O14" s="327">
        <f>(M14*N14)+M14</f>
        <v>0</v>
      </c>
      <c r="P14" s="328"/>
      <c r="Q14" s="327">
        <f>(O14*P14)+O14</f>
        <v>0</v>
      </c>
    </row>
    <row r="15" spans="1:17" ht="15" customHeight="1">
      <c r="A15" s="325" t="s">
        <v>5</v>
      </c>
      <c r="B15" s="325"/>
      <c r="C15" s="325"/>
      <c r="D15" s="357">
        <v>0</v>
      </c>
      <c r="E15" s="326">
        <f>SUM($E$10*D15)</f>
        <v>0</v>
      </c>
      <c r="F15" s="294"/>
      <c r="G15" s="306" t="s">
        <v>1586</v>
      </c>
      <c r="H15" s="317"/>
      <c r="I15" s="327">
        <f>(E15*H15)+E15</f>
        <v>0</v>
      </c>
      <c r="J15" s="328"/>
      <c r="K15" s="327">
        <f>(I15*J15)+I15</f>
        <v>0</v>
      </c>
      <c r="L15" s="328"/>
      <c r="M15" s="327">
        <f>(K15*L15)+K15</f>
        <v>0</v>
      </c>
      <c r="N15" s="328"/>
      <c r="O15" s="327">
        <f>(M15*N15)+M15</f>
        <v>0</v>
      </c>
      <c r="P15" s="328"/>
      <c r="Q15" s="327">
        <f>(O15*P15)+O15</f>
        <v>0</v>
      </c>
    </row>
    <row r="16" spans="1:17" ht="15" customHeight="1">
      <c r="A16" s="325" t="s">
        <v>6</v>
      </c>
      <c r="B16" s="325"/>
      <c r="C16" s="325"/>
      <c r="D16" s="357">
        <v>0</v>
      </c>
      <c r="E16" s="326">
        <f>SUM($E$10*D16)</f>
        <v>0</v>
      </c>
      <c r="F16" s="294"/>
      <c r="G16" s="306" t="s">
        <v>1586</v>
      </c>
      <c r="H16" s="317"/>
      <c r="I16" s="327">
        <f>(E16*H16)+E16</f>
        <v>0</v>
      </c>
      <c r="J16" s="328"/>
      <c r="K16" s="327">
        <f>(I16*J16)+I16</f>
        <v>0</v>
      </c>
      <c r="L16" s="328"/>
      <c r="M16" s="327">
        <f>(K16*L16)+K16</f>
        <v>0</v>
      </c>
      <c r="N16" s="328"/>
      <c r="O16" s="327">
        <f>(M16*N16)+M16</f>
        <v>0</v>
      </c>
      <c r="P16" s="328"/>
      <c r="Q16" s="327">
        <f>(O16*P16)+O16</f>
        <v>0</v>
      </c>
    </row>
    <row r="17" spans="1:17" ht="15" customHeight="1">
      <c r="A17" s="354" t="s">
        <v>84</v>
      </c>
      <c r="B17" s="358"/>
      <c r="C17" s="355"/>
      <c r="D17" s="357">
        <v>0</v>
      </c>
      <c r="E17" s="326">
        <f>SUM($E$10*D17)</f>
        <v>0</v>
      </c>
      <c r="F17" s="294"/>
      <c r="G17" s="306" t="s">
        <v>1586</v>
      </c>
      <c r="H17" s="317"/>
      <c r="I17" s="327">
        <f>(E17*H17)+E17</f>
        <v>0</v>
      </c>
      <c r="J17" s="328"/>
      <c r="K17" s="352">
        <f>(I17*J17)+I17</f>
        <v>0</v>
      </c>
      <c r="L17" s="328"/>
      <c r="M17" s="327">
        <f>(K17*L17)+K17</f>
        <v>0</v>
      </c>
      <c r="N17" s="328"/>
      <c r="O17" s="327">
        <f>(M17*N17)+M17</f>
        <v>0</v>
      </c>
      <c r="P17" s="328"/>
      <c r="Q17" s="327">
        <f>(O17*P17)+O17</f>
        <v>0</v>
      </c>
    </row>
    <row r="18" spans="1:17" ht="15" customHeight="1">
      <c r="A18" s="314" t="s">
        <v>73</v>
      </c>
      <c r="B18" s="314"/>
      <c r="C18" s="314"/>
      <c r="D18" s="315"/>
      <c r="E18" s="329">
        <f>SUM(E13:E17)</f>
        <v>0</v>
      </c>
      <c r="F18" s="294"/>
      <c r="G18" s="306"/>
      <c r="H18" s="317"/>
      <c r="I18" s="329">
        <f>SUM(I13:I17)</f>
        <v>0</v>
      </c>
      <c r="J18" s="317"/>
      <c r="K18" s="329">
        <f>SUM(K13:K17)</f>
        <v>0</v>
      </c>
      <c r="L18" s="317"/>
      <c r="M18" s="329">
        <f>SUM(M13:M17)</f>
        <v>0</v>
      </c>
      <c r="N18" s="317"/>
      <c r="O18" s="329">
        <f>SUM(O13:O17)</f>
        <v>0</v>
      </c>
      <c r="P18" s="317"/>
      <c r="Q18" s="329">
        <f>SUM(Q13:Q17)</f>
        <v>0</v>
      </c>
    </row>
    <row r="19" spans="1:17" ht="15" customHeight="1">
      <c r="A19" s="294"/>
      <c r="B19" s="294"/>
      <c r="C19" s="294"/>
      <c r="D19" s="330"/>
      <c r="E19" s="331"/>
      <c r="F19" s="294"/>
      <c r="G19" s="306"/>
      <c r="H19" s="306"/>
      <c r="I19" s="306"/>
      <c r="J19" s="306"/>
      <c r="K19" s="306"/>
      <c r="L19" s="306"/>
      <c r="M19" s="306"/>
      <c r="N19" s="306"/>
      <c r="O19" s="306"/>
      <c r="P19" s="306"/>
      <c r="Q19" s="306"/>
    </row>
    <row r="20" spans="1:17" s="29" customFormat="1" ht="26.25" customHeight="1">
      <c r="A20" s="299" t="s">
        <v>68</v>
      </c>
      <c r="B20" s="321"/>
      <c r="C20" s="300"/>
      <c r="D20" s="322" t="s">
        <v>77</v>
      </c>
      <c r="E20" s="301" t="s">
        <v>79</v>
      </c>
      <c r="F20" s="302"/>
      <c r="G20" s="323"/>
      <c r="H20" s="323"/>
      <c r="I20" s="323"/>
      <c r="J20" s="323"/>
      <c r="K20" s="323"/>
      <c r="L20" s="323"/>
      <c r="M20" s="323"/>
      <c r="N20" s="323"/>
      <c r="O20" s="323"/>
      <c r="P20" s="323"/>
      <c r="Q20" s="323"/>
    </row>
    <row r="21" spans="1:17" ht="15" customHeight="1">
      <c r="A21" s="325" t="s">
        <v>7</v>
      </c>
      <c r="B21" s="325"/>
      <c r="C21" s="325"/>
      <c r="D21" s="332" t="e">
        <f>E21/$E$35</f>
        <v>#DIV/0!</v>
      </c>
      <c r="E21" s="359">
        <v>0</v>
      </c>
      <c r="F21" s="294"/>
      <c r="G21" s="306" t="s">
        <v>1586</v>
      </c>
      <c r="H21" s="317"/>
      <c r="I21" s="327">
        <f>(E21*H21)+E21</f>
        <v>0</v>
      </c>
      <c r="J21" s="328"/>
      <c r="K21" s="327">
        <f>(I21*J21)+I21</f>
        <v>0</v>
      </c>
      <c r="L21" s="328"/>
      <c r="M21" s="327">
        <f>(K21*L21)+K21</f>
        <v>0</v>
      </c>
      <c r="N21" s="328"/>
      <c r="O21" s="327">
        <f>(M21*N21)+M21</f>
        <v>0</v>
      </c>
      <c r="P21" s="328"/>
      <c r="Q21" s="327">
        <f>(O21*P21)+O21</f>
        <v>0</v>
      </c>
    </row>
    <row r="22" spans="1:17" ht="15" customHeight="1">
      <c r="A22" s="324" t="s">
        <v>8</v>
      </c>
      <c r="B22" s="325"/>
      <c r="C22" s="325"/>
      <c r="D22" s="332" t="e">
        <f>E22/$E$35</f>
        <v>#DIV/0!</v>
      </c>
      <c r="E22" s="359">
        <v>0</v>
      </c>
      <c r="F22" s="294"/>
      <c r="G22" s="306" t="s">
        <v>1586</v>
      </c>
      <c r="H22" s="317"/>
      <c r="I22" s="327">
        <f>(E22*H22)+E22</f>
        <v>0</v>
      </c>
      <c r="J22" s="328"/>
      <c r="K22" s="327">
        <f>(I22*J22)+I22</f>
        <v>0</v>
      </c>
      <c r="L22" s="328"/>
      <c r="M22" s="327">
        <f>(K22*L22)+K22</f>
        <v>0</v>
      </c>
      <c r="N22" s="328"/>
      <c r="O22" s="327">
        <f>(M22*N22)+M22</f>
        <v>0</v>
      </c>
      <c r="P22" s="328"/>
      <c r="Q22" s="327">
        <f>(O22*P22)+O22</f>
        <v>0</v>
      </c>
    </row>
    <row r="23" spans="1:17" ht="15" customHeight="1">
      <c r="A23" s="325" t="s">
        <v>9</v>
      </c>
      <c r="B23" s="325"/>
      <c r="C23" s="325"/>
      <c r="D23" s="332" t="e">
        <f>E23/$E$35</f>
        <v>#DIV/0!</v>
      </c>
      <c r="E23" s="359">
        <v>0</v>
      </c>
      <c r="F23" s="294"/>
      <c r="G23" s="306" t="s">
        <v>1586</v>
      </c>
      <c r="H23" s="317"/>
      <c r="I23" s="333">
        <f>(E23*H23)+E23</f>
        <v>0</v>
      </c>
      <c r="J23" s="328"/>
      <c r="K23" s="327">
        <f>(I23*J23)+I23</f>
        <v>0</v>
      </c>
      <c r="L23" s="328"/>
      <c r="M23" s="327">
        <f>(K23*L23)+K23</f>
        <v>0</v>
      </c>
      <c r="N23" s="328"/>
      <c r="O23" s="327">
        <f>(M23*N23)+M23</f>
        <v>0</v>
      </c>
      <c r="P23" s="328"/>
      <c r="Q23" s="327">
        <f>(O23*P23)+O23</f>
        <v>0</v>
      </c>
    </row>
    <row r="24" spans="1:17" ht="15" customHeight="1">
      <c r="A24" s="307" t="s">
        <v>10</v>
      </c>
      <c r="B24" s="334"/>
      <c r="C24" s="308"/>
      <c r="D24" s="357">
        <v>0</v>
      </c>
      <c r="E24" s="335">
        <f>D24*$E$10</f>
        <v>0</v>
      </c>
      <c r="F24" s="294"/>
      <c r="G24" s="306" t="s">
        <v>1294</v>
      </c>
      <c r="H24" s="317"/>
      <c r="I24" s="327">
        <f>(E24*H24)+E24</f>
        <v>0</v>
      </c>
      <c r="J24" s="328"/>
      <c r="K24" s="327">
        <f>(I24*J24)+I24</f>
        <v>0</v>
      </c>
      <c r="L24" s="328"/>
      <c r="M24" s="327">
        <f>(K24*L24)+K24</f>
        <v>0</v>
      </c>
      <c r="N24" s="328"/>
      <c r="O24" s="327">
        <f>(M24*N24)+M24</f>
        <v>0</v>
      </c>
      <c r="P24" s="328"/>
      <c r="Q24" s="327">
        <f>(O24*P24)+O24</f>
        <v>0</v>
      </c>
    </row>
    <row r="25" spans="1:17" ht="15" customHeight="1">
      <c r="A25" s="354" t="s">
        <v>82</v>
      </c>
      <c r="B25" s="358"/>
      <c r="C25" s="355"/>
      <c r="D25" s="332" t="e">
        <f>E25/$E$35</f>
        <v>#DIV/0!</v>
      </c>
      <c r="E25" s="359">
        <v>0</v>
      </c>
      <c r="F25" s="294"/>
      <c r="G25" s="306" t="s">
        <v>1586</v>
      </c>
      <c r="H25" s="317"/>
      <c r="I25" s="333">
        <f>(E25*H25)+E25</f>
        <v>0</v>
      </c>
      <c r="J25" s="328"/>
      <c r="K25" s="327">
        <f>(I25*J25)+I25</f>
        <v>0</v>
      </c>
      <c r="L25" s="328"/>
      <c r="M25" s="327">
        <f>(K25*L25)+K25</f>
        <v>0</v>
      </c>
      <c r="N25" s="328"/>
      <c r="O25" s="327">
        <f>(M25*N25)+M25</f>
        <v>0</v>
      </c>
      <c r="P25" s="328"/>
      <c r="Q25" s="327">
        <f>(O25*P25)+O25</f>
        <v>0</v>
      </c>
    </row>
    <row r="26" spans="1:17" ht="15" customHeight="1">
      <c r="A26" s="314" t="s">
        <v>74</v>
      </c>
      <c r="B26" s="314"/>
      <c r="C26" s="314"/>
      <c r="D26" s="315" t="s">
        <v>3</v>
      </c>
      <c r="E26" s="316">
        <f>SUM(E21:E25)</f>
        <v>0</v>
      </c>
      <c r="F26" s="294"/>
      <c r="G26" s="306"/>
      <c r="H26" s="306"/>
      <c r="I26" s="316">
        <f>SUM(I21:I25)</f>
        <v>0</v>
      </c>
      <c r="J26" s="317"/>
      <c r="K26" s="316">
        <f>SUM(K21:K25)</f>
        <v>0</v>
      </c>
      <c r="L26" s="317"/>
      <c r="M26" s="316">
        <f>SUM(M21:M25)</f>
        <v>0</v>
      </c>
      <c r="N26" s="317"/>
      <c r="O26" s="316">
        <f>SUM(O21:O25)</f>
        <v>0</v>
      </c>
      <c r="P26" s="317"/>
      <c r="Q26" s="316">
        <f>SUM(Q21:Q25)</f>
        <v>0</v>
      </c>
    </row>
    <row r="27" spans="1:17" ht="15" customHeight="1">
      <c r="A27" s="336"/>
      <c r="B27" s="336"/>
      <c r="C27" s="336"/>
      <c r="D27" s="330"/>
      <c r="E27" s="337"/>
      <c r="F27" s="294"/>
      <c r="G27" s="306"/>
      <c r="H27" s="306"/>
      <c r="I27" s="306"/>
      <c r="J27" s="306"/>
      <c r="K27" s="306"/>
      <c r="L27" s="306"/>
      <c r="M27" s="306"/>
      <c r="N27" s="306"/>
      <c r="O27" s="306"/>
      <c r="P27" s="306"/>
      <c r="Q27" s="306"/>
    </row>
    <row r="28" spans="1:17" s="29" customFormat="1" ht="26.25" customHeight="1">
      <c r="A28" s="299" t="s">
        <v>69</v>
      </c>
      <c r="B28" s="321"/>
      <c r="C28" s="300"/>
      <c r="D28" s="322" t="s">
        <v>77</v>
      </c>
      <c r="E28" s="301" t="s">
        <v>79</v>
      </c>
      <c r="F28" s="302"/>
      <c r="G28" s="323"/>
      <c r="H28" s="323"/>
      <c r="I28" s="323"/>
      <c r="J28" s="323"/>
      <c r="K28" s="323"/>
      <c r="L28" s="323"/>
      <c r="M28" s="323"/>
      <c r="N28" s="323"/>
      <c r="O28" s="323"/>
      <c r="P28" s="323"/>
      <c r="Q28" s="323"/>
    </row>
    <row r="29" spans="1:17" ht="15" customHeight="1">
      <c r="A29" s="324" t="s">
        <v>11</v>
      </c>
      <c r="B29" s="325"/>
      <c r="C29" s="325"/>
      <c r="D29" s="357">
        <v>0</v>
      </c>
      <c r="E29" s="335">
        <f>D29*($E$18+$E$10)</f>
        <v>0</v>
      </c>
      <c r="F29" s="294"/>
      <c r="G29" s="306" t="s">
        <v>1586</v>
      </c>
      <c r="H29" s="317"/>
      <c r="I29" s="327">
        <f>(E29*H29)+E29</f>
        <v>0</v>
      </c>
      <c r="J29" s="328"/>
      <c r="K29" s="327">
        <f>(I29*J29)+I29</f>
        <v>0</v>
      </c>
      <c r="L29" s="328"/>
      <c r="M29" s="327">
        <f>(K29*L29)+K29</f>
        <v>0</v>
      </c>
      <c r="N29" s="328"/>
      <c r="O29" s="327">
        <f>(M29*N29)+M29</f>
        <v>0</v>
      </c>
      <c r="P29" s="328"/>
      <c r="Q29" s="327">
        <f>(O29*P29)+O29</f>
        <v>0</v>
      </c>
    </row>
    <row r="30" spans="1:17" ht="15" customHeight="1">
      <c r="A30" s="324" t="s">
        <v>70</v>
      </c>
      <c r="B30" s="325"/>
      <c r="C30" s="325"/>
      <c r="D30" s="338" t="e">
        <f>E30/$E$35</f>
        <v>#DIV/0!</v>
      </c>
      <c r="E30" s="359">
        <v>0</v>
      </c>
      <c r="F30" s="294"/>
      <c r="G30" s="306" t="s">
        <v>1586</v>
      </c>
      <c r="H30" s="317"/>
      <c r="I30" s="333">
        <f>(E30*H30)+E30</f>
        <v>0</v>
      </c>
      <c r="J30" s="328"/>
      <c r="K30" s="327">
        <f>(I30*J30)+I30</f>
        <v>0</v>
      </c>
      <c r="L30" s="328"/>
      <c r="M30" s="327">
        <f>(K30*L30)+K30</f>
        <v>0</v>
      </c>
      <c r="N30" s="328"/>
      <c r="O30" s="327">
        <f>(M30*N30)+M30</f>
        <v>0</v>
      </c>
      <c r="P30" s="328"/>
      <c r="Q30" s="327">
        <f>(O30*P30)+O30</f>
        <v>0</v>
      </c>
    </row>
    <row r="31" spans="1:17" ht="15" customHeight="1">
      <c r="A31" s="354" t="s">
        <v>83</v>
      </c>
      <c r="B31" s="358"/>
      <c r="C31" s="355"/>
      <c r="D31" s="332" t="e">
        <f>E31/$E$35</f>
        <v>#DIV/0!</v>
      </c>
      <c r="E31" s="359">
        <v>0</v>
      </c>
      <c r="F31" s="294"/>
      <c r="G31" s="306" t="s">
        <v>1586</v>
      </c>
      <c r="H31" s="317"/>
      <c r="I31" s="333">
        <f>(E31*H31)+E31</f>
        <v>0</v>
      </c>
      <c r="J31" s="328"/>
      <c r="K31" s="327">
        <f>(I31*J31)+I31</f>
        <v>0</v>
      </c>
      <c r="L31" s="328"/>
      <c r="M31" s="327">
        <f>(K31*L31)+K31</f>
        <v>0</v>
      </c>
      <c r="N31" s="328"/>
      <c r="O31" s="327">
        <f>(M31*N31)+M31</f>
        <v>0</v>
      </c>
      <c r="P31" s="328"/>
      <c r="Q31" s="327">
        <f>(O31*P31)+O31</f>
        <v>0</v>
      </c>
    </row>
    <row r="32" spans="1:17" ht="15" customHeight="1">
      <c r="A32" s="325" t="s">
        <v>71</v>
      </c>
      <c r="B32" s="325"/>
      <c r="C32" s="325"/>
      <c r="D32" s="338" t="e">
        <f>E32/$E$35</f>
        <v>#DIV/0!</v>
      </c>
      <c r="E32" s="359">
        <v>0</v>
      </c>
      <c r="F32" s="294"/>
      <c r="G32" s="306" t="s">
        <v>1586</v>
      </c>
      <c r="H32" s="317"/>
      <c r="I32" s="333">
        <f>(E32*H32)+E32</f>
        <v>0</v>
      </c>
      <c r="J32" s="328"/>
      <c r="K32" s="327">
        <f>(I32*J32)+I32</f>
        <v>0</v>
      </c>
      <c r="L32" s="328"/>
      <c r="M32" s="327">
        <f>(K32*L32)+K32</f>
        <v>0</v>
      </c>
      <c r="N32" s="328"/>
      <c r="O32" s="327">
        <f>(M32*N32)+M32</f>
        <v>0</v>
      </c>
      <c r="P32" s="328"/>
      <c r="Q32" s="327">
        <f>(O32*P32)+O32</f>
        <v>0</v>
      </c>
    </row>
    <row r="33" spans="1:17" ht="15" customHeight="1">
      <c r="A33" s="314" t="s">
        <v>75</v>
      </c>
      <c r="B33" s="314"/>
      <c r="C33" s="314"/>
      <c r="D33" s="315"/>
      <c r="E33" s="339">
        <f>SUM(E29:E32)</f>
        <v>0</v>
      </c>
      <c r="F33" s="294"/>
      <c r="G33" s="306"/>
      <c r="H33" s="317"/>
      <c r="I33" s="339">
        <f>SUM(I29:I32)</f>
        <v>0</v>
      </c>
      <c r="J33" s="317"/>
      <c r="K33" s="339">
        <f>SUM(K29:K32)</f>
        <v>0</v>
      </c>
      <c r="L33" s="317"/>
      <c r="M33" s="339">
        <f>SUM(M29:M32)</f>
        <v>0</v>
      </c>
      <c r="N33" s="317"/>
      <c r="O33" s="339">
        <f>SUM(O29:O32)</f>
        <v>0</v>
      </c>
      <c r="P33" s="317"/>
      <c r="Q33" s="339">
        <f>SUM(Q29:Q32)</f>
        <v>0</v>
      </c>
    </row>
    <row r="34" spans="1:17" ht="15" customHeight="1">
      <c r="A34" s="336"/>
      <c r="B34" s="336"/>
      <c r="C34" s="336"/>
      <c r="D34" s="330"/>
      <c r="E34" s="340"/>
      <c r="F34" s="294"/>
      <c r="G34" s="294"/>
      <c r="H34" s="306"/>
      <c r="I34" s="306"/>
      <c r="J34" s="306"/>
      <c r="K34" s="306"/>
      <c r="L34" s="306"/>
      <c r="M34" s="306"/>
      <c r="N34" s="306"/>
      <c r="O34" s="306"/>
      <c r="P34" s="306"/>
      <c r="Q34" s="306"/>
    </row>
    <row r="35" spans="1:17" ht="26.25" customHeight="1">
      <c r="A35" s="341" t="s">
        <v>92</v>
      </c>
      <c r="B35" s="342"/>
      <c r="C35" s="342"/>
      <c r="D35" s="343"/>
      <c r="E35" s="344">
        <f>E33+E26+E18+E10</f>
        <v>0</v>
      </c>
      <c r="F35" s="294"/>
      <c r="G35" s="345"/>
      <c r="H35" s="306"/>
      <c r="I35" s="344">
        <f>I33+I26+I18+I10</f>
        <v>0</v>
      </c>
      <c r="J35" s="306"/>
      <c r="K35" s="344">
        <f>K33+K26+K18+K10</f>
        <v>0</v>
      </c>
      <c r="L35" s="306"/>
      <c r="M35" s="344">
        <f>M33+M26+M18+M10</f>
        <v>0</v>
      </c>
      <c r="N35" s="306"/>
      <c r="O35" s="344">
        <f>O33+O26+O18+O10</f>
        <v>0</v>
      </c>
      <c r="P35" s="306"/>
      <c r="Q35" s="344">
        <f>Q33+Q26+Q18+Q10</f>
        <v>0</v>
      </c>
    </row>
    <row r="36" spans="1:17" ht="15" customHeight="1">
      <c r="A36" s="294"/>
      <c r="B36" s="294"/>
      <c r="C36" s="294"/>
      <c r="D36" s="330"/>
      <c r="E36" s="331"/>
      <c r="F36" s="294"/>
      <c r="G36" s="294"/>
      <c r="H36" s="294"/>
      <c r="I36" s="294"/>
      <c r="J36" s="294"/>
      <c r="K36" s="294"/>
      <c r="L36" s="294"/>
      <c r="M36" s="294"/>
      <c r="N36" s="294"/>
      <c r="O36" s="294"/>
      <c r="P36" s="294"/>
      <c r="Q36" s="294"/>
    </row>
    <row r="37" spans="1:17" ht="26.25" customHeight="1">
      <c r="A37" s="346" t="s">
        <v>78</v>
      </c>
      <c r="B37" s="347"/>
      <c r="C37" s="322" t="s">
        <v>91</v>
      </c>
      <c r="D37" s="322" t="s">
        <v>1295</v>
      </c>
      <c r="E37" s="322" t="s">
        <v>1296</v>
      </c>
      <c r="F37" s="294"/>
      <c r="G37" s="294"/>
      <c r="H37" s="322" t="s">
        <v>1580</v>
      </c>
      <c r="I37" s="348" t="e">
        <f>(I35/E35)-100%</f>
        <v>#DIV/0!</v>
      </c>
      <c r="J37" s="322"/>
      <c r="K37" s="348" t="e">
        <f>(K35/I35)-100%</f>
        <v>#DIV/0!</v>
      </c>
      <c r="L37" s="322"/>
      <c r="M37" s="348" t="e">
        <f>(M35/K35)-100%</f>
        <v>#DIV/0!</v>
      </c>
      <c r="N37" s="322"/>
      <c r="O37" s="348" t="e">
        <f>(O35/M35)-100%</f>
        <v>#DIV/0!</v>
      </c>
      <c r="P37" s="322"/>
      <c r="Q37" s="348" t="e">
        <f>(Q35/O35)-100%</f>
        <v>#DIV/0!</v>
      </c>
    </row>
    <row r="38" spans="1:17" ht="15" customHeight="1">
      <c r="A38" s="306" t="s">
        <v>80</v>
      </c>
      <c r="B38" s="306" t="s">
        <v>86</v>
      </c>
      <c r="C38" s="349">
        <v>0</v>
      </c>
      <c r="D38" s="305">
        <f>+E35</f>
        <v>0</v>
      </c>
      <c r="E38" s="350">
        <f>D38*121%</f>
        <v>0</v>
      </c>
      <c r="F38" s="345"/>
      <c r="G38" s="294"/>
      <c r="H38" s="306"/>
      <c r="I38" s="305" t="e">
        <f>(D38*$I$37)+D38</f>
        <v>#DIV/0!</v>
      </c>
      <c r="J38" s="306"/>
      <c r="K38" s="305" t="e">
        <f>(I38*$K$37)+I38</f>
        <v>#DIV/0!</v>
      </c>
      <c r="L38" s="306"/>
      <c r="M38" s="305" t="e">
        <f>(K38*$M$37)+K38</f>
        <v>#DIV/0!</v>
      </c>
      <c r="N38" s="306"/>
      <c r="O38" s="305" t="e">
        <f>(M38*$O$37)+M38</f>
        <v>#DIV/0!</v>
      </c>
      <c r="P38" s="306"/>
      <c r="Q38" s="305" t="e">
        <f>(O38*$Q$37)+O38</f>
        <v>#DIV/0!</v>
      </c>
    </row>
    <row r="39" spans="1:17" ht="15" customHeight="1">
      <c r="A39" s="306" t="s">
        <v>85</v>
      </c>
      <c r="B39" s="306" t="s">
        <v>87</v>
      </c>
      <c r="C39" s="349">
        <v>0.3</v>
      </c>
      <c r="D39" s="305">
        <f>SUM($E$10,$E$18,$E$26,$E$33)+(C39*($E$18+$E$10))</f>
        <v>0</v>
      </c>
      <c r="E39" s="350">
        <f>D39*121%</f>
        <v>0</v>
      </c>
      <c r="F39" s="345"/>
      <c r="G39" s="294"/>
      <c r="H39" s="305"/>
      <c r="I39" s="305" t="e">
        <f t="shared" ref="I39:I41" si="0">(D39*$I$37)+D39</f>
        <v>#DIV/0!</v>
      </c>
      <c r="J39" s="306"/>
      <c r="K39" s="305" t="e">
        <f>(I39*$K$37)+I39</f>
        <v>#DIV/0!</v>
      </c>
      <c r="L39" s="306"/>
      <c r="M39" s="305" t="e">
        <f t="shared" ref="M39:M41" si="1">(K39*$M$37)+K39</f>
        <v>#DIV/0!</v>
      </c>
      <c r="N39" s="306"/>
      <c r="O39" s="305" t="e">
        <f t="shared" ref="O39:O41" si="2">(M39*$O$37)+M39</f>
        <v>#DIV/0!</v>
      </c>
      <c r="P39" s="306"/>
      <c r="Q39" s="305" t="e">
        <f t="shared" ref="Q39:Q41" si="3">(O39*$Q$37)+O39</f>
        <v>#DIV/0!</v>
      </c>
    </row>
    <row r="40" spans="1:17" ht="15" customHeight="1">
      <c r="A40" s="306" t="s">
        <v>24</v>
      </c>
      <c r="B40" s="306" t="s">
        <v>88</v>
      </c>
      <c r="C40" s="349">
        <v>0.5</v>
      </c>
      <c r="D40" s="305">
        <f>SUM($E$10,$E$18,$E$26,$E$33)+(C40*($E$18+$E$10))</f>
        <v>0</v>
      </c>
      <c r="E40" s="350">
        <f>D40*121%</f>
        <v>0</v>
      </c>
      <c r="F40" s="345"/>
      <c r="G40" s="294"/>
      <c r="H40" s="306"/>
      <c r="I40" s="305" t="e">
        <f t="shared" si="0"/>
        <v>#DIV/0!</v>
      </c>
      <c r="J40" s="306"/>
      <c r="K40" s="305" t="e">
        <f>(I40*$K$37)+I40</f>
        <v>#DIV/0!</v>
      </c>
      <c r="L40" s="306"/>
      <c r="M40" s="305" t="e">
        <f t="shared" si="1"/>
        <v>#DIV/0!</v>
      </c>
      <c r="N40" s="306"/>
      <c r="O40" s="305" t="e">
        <f t="shared" si="2"/>
        <v>#DIV/0!</v>
      </c>
      <c r="P40" s="306"/>
      <c r="Q40" s="305" t="e">
        <f t="shared" si="3"/>
        <v>#DIV/0!</v>
      </c>
    </row>
    <row r="41" spans="1:17" ht="15" customHeight="1">
      <c r="A41" s="306" t="s">
        <v>89</v>
      </c>
      <c r="B41" s="351" t="s">
        <v>90</v>
      </c>
      <c r="C41" s="349">
        <v>1.5</v>
      </c>
      <c r="D41" s="305">
        <f>SUM($E$10,$E$18,$E$26,$E$33)+(C41*($E$18+$E$10))</f>
        <v>0</v>
      </c>
      <c r="E41" s="350">
        <f>D41*121%</f>
        <v>0</v>
      </c>
      <c r="F41" s="345"/>
      <c r="G41" s="294"/>
      <c r="H41" s="306"/>
      <c r="I41" s="305" t="e">
        <f t="shared" si="0"/>
        <v>#DIV/0!</v>
      </c>
      <c r="J41" s="306"/>
      <c r="K41" s="305" t="e">
        <f>(I41*$K$37)+I41</f>
        <v>#DIV/0!</v>
      </c>
      <c r="L41" s="306"/>
      <c r="M41" s="305" t="e">
        <f t="shared" si="1"/>
        <v>#DIV/0!</v>
      </c>
      <c r="N41" s="306"/>
      <c r="O41" s="305" t="e">
        <f t="shared" si="2"/>
        <v>#DIV/0!</v>
      </c>
      <c r="P41" s="306"/>
      <c r="Q41" s="305" t="e">
        <f t="shared" si="3"/>
        <v>#DIV/0!</v>
      </c>
    </row>
    <row r="42" spans="1:17" ht="15" customHeight="1">
      <c r="A42" s="294"/>
      <c r="B42" s="294"/>
      <c r="C42" s="294"/>
      <c r="D42" s="294"/>
      <c r="E42" s="294"/>
      <c r="F42" s="294"/>
      <c r="G42" s="294"/>
      <c r="H42" s="294"/>
      <c r="I42" s="294"/>
      <c r="J42" s="294"/>
      <c r="K42" s="294"/>
      <c r="L42" s="294"/>
      <c r="M42" s="294"/>
      <c r="N42" s="294"/>
      <c r="O42" s="294"/>
      <c r="P42" s="294"/>
      <c r="Q42" s="294"/>
    </row>
    <row r="43" spans="1:17" ht="15" customHeight="1">
      <c r="E43" s="28"/>
    </row>
    <row r="44" spans="1:17" ht="15" customHeight="1">
      <c r="E44" s="28"/>
    </row>
    <row r="45" spans="1:17" ht="15" customHeight="1">
      <c r="E45" s="28"/>
    </row>
    <row r="46" spans="1:17" ht="15" customHeight="1">
      <c r="E46" s="28"/>
    </row>
    <row r="47" spans="1:17" ht="15" customHeight="1">
      <c r="E47" s="28"/>
    </row>
    <row r="48" spans="1:17" ht="15" customHeight="1">
      <c r="E48" s="28"/>
    </row>
    <row r="49" s="28" customFormat="1" ht="15" customHeight="1"/>
    <row r="50" s="28" customFormat="1" ht="15" customHeight="1"/>
    <row r="51" s="28" customFormat="1" ht="15" customHeight="1"/>
    <row r="52" s="28" customFormat="1" ht="15" customHeight="1"/>
    <row r="53" s="28" customFormat="1" ht="15" customHeight="1"/>
    <row r="54" s="28" customFormat="1" ht="15" customHeight="1"/>
    <row r="55" s="28" customFormat="1" ht="15" customHeight="1"/>
    <row r="56" s="28" customFormat="1" ht="15" customHeight="1"/>
  </sheetData>
  <sheetProtection algorithmName="SHA-512" hashValue="DYDaqHDjaT8QpR0vFJuGdIuwR9nIGg0gQbCI03rN6fkrjEcMVr+9arvIEIY6dz4FznvoY227QhZU5Nuq9w/04Q==" saltValue="qxtnjoEgqtCsNtQZ7pQ0sw==" spinCount="100000" sheet="1" objects="1" scenarios="1" autoFilter="0"/>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282"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8"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8"/>
  <sheetViews>
    <sheetView view="pageBreakPreview" topLeftCell="A46" zoomScaleNormal="100" zoomScaleSheetLayoutView="100" workbookViewId="0">
      <selection activeCell="H23" sqref="H23"/>
    </sheetView>
  </sheetViews>
  <sheetFormatPr defaultColWidth="14.109375" defaultRowHeight="15" customHeight="1"/>
  <cols>
    <col min="1" max="1" width="14.109375" style="81"/>
    <col min="2" max="2" width="44.88671875" style="78" customWidth="1"/>
    <col min="3" max="3" width="14.109375" style="78"/>
    <col min="4" max="4" width="59.33203125" style="82" bestFit="1" customWidth="1"/>
    <col min="5" max="5" width="16.33203125" style="78" customWidth="1"/>
    <col min="6" max="6" width="17.88671875" style="78" customWidth="1"/>
    <col min="7" max="7" width="16" style="83" bestFit="1" customWidth="1"/>
    <col min="8" max="8" width="16" style="78" bestFit="1" customWidth="1"/>
    <col min="9" max="9" width="14.109375" style="78"/>
    <col min="10" max="10" width="16" style="81" bestFit="1" customWidth="1"/>
    <col min="11" max="15" width="14.109375" style="84"/>
    <col min="16" max="16384" width="14.109375" style="78"/>
  </cols>
  <sheetData>
    <row r="1" spans="1:18" s="26" customFormat="1" ht="26.25" customHeight="1">
      <c r="A1" s="267" t="s">
        <v>110</v>
      </c>
      <c r="B1" s="267"/>
      <c r="C1" s="267"/>
      <c r="D1" s="267"/>
      <c r="E1" s="267"/>
      <c r="F1" s="267"/>
      <c r="G1" s="34"/>
      <c r="H1" s="34"/>
      <c r="I1" s="34"/>
      <c r="J1" s="34"/>
      <c r="K1" s="34"/>
      <c r="L1" s="34"/>
      <c r="M1" s="34"/>
    </row>
    <row r="2" spans="1:18" s="26" customFormat="1" ht="15" customHeight="1">
      <c r="A2" s="264" t="s">
        <v>1591</v>
      </c>
      <c r="B2" s="286"/>
      <c r="C2" s="286"/>
      <c r="D2" s="286"/>
      <c r="E2" s="286"/>
      <c r="F2" s="286"/>
      <c r="G2" s="35"/>
      <c r="H2" s="35"/>
      <c r="I2" s="35"/>
      <c r="J2" s="35"/>
      <c r="K2" s="35"/>
      <c r="L2" s="35"/>
      <c r="M2" s="35"/>
      <c r="N2" s="35"/>
    </row>
    <row r="3" spans="1:18" s="38" customFormat="1" ht="26.25" customHeight="1">
      <c r="A3" s="36" t="s">
        <v>216</v>
      </c>
      <c r="B3" s="36"/>
      <c r="C3" s="36"/>
      <c r="D3" s="36"/>
      <c r="E3" s="37"/>
      <c r="F3" s="37"/>
      <c r="H3" s="39"/>
      <c r="I3" s="39"/>
      <c r="K3" s="40"/>
      <c r="L3" s="41"/>
      <c r="M3" s="41"/>
      <c r="N3" s="41"/>
      <c r="O3" s="41"/>
      <c r="P3" s="41"/>
    </row>
    <row r="4" spans="1:18" s="38" customFormat="1" ht="26.25" customHeight="1" thickBot="1">
      <c r="A4" s="234" t="s">
        <v>33</v>
      </c>
      <c r="B4" s="235" t="s">
        <v>135</v>
      </c>
      <c r="C4" s="236" t="s">
        <v>98</v>
      </c>
      <c r="D4" s="237" t="s">
        <v>1283</v>
      </c>
      <c r="E4" s="238" t="s">
        <v>1284</v>
      </c>
      <c r="F4" s="239" t="s">
        <v>1286</v>
      </c>
      <c r="G4" s="39"/>
      <c r="H4" s="39"/>
      <c r="J4" s="40"/>
      <c r="K4" s="41"/>
      <c r="L4" s="41"/>
      <c r="M4" s="41"/>
      <c r="N4" s="41"/>
      <c r="O4" s="41"/>
    </row>
    <row r="5" spans="1:18" s="38" customFormat="1" ht="15" customHeight="1" thickTop="1">
      <c r="A5" s="43">
        <v>1</v>
      </c>
      <c r="B5" s="44" t="s">
        <v>1678</v>
      </c>
      <c r="C5" s="364">
        <v>1</v>
      </c>
      <c r="D5" s="45" t="s">
        <v>1623</v>
      </c>
      <c r="E5" s="46" t="s">
        <v>1679</v>
      </c>
      <c r="F5" s="28" t="s">
        <v>1624</v>
      </c>
      <c r="G5" s="39"/>
      <c r="H5" s="39"/>
      <c r="J5" s="40"/>
      <c r="K5" s="41"/>
      <c r="L5" s="41"/>
      <c r="M5" s="41"/>
      <c r="N5" s="41"/>
      <c r="O5" s="41"/>
    </row>
    <row r="6" spans="1:18" s="38" customFormat="1" ht="15" customHeight="1">
      <c r="A6" s="43">
        <v>2</v>
      </c>
      <c r="B6" s="47" t="s">
        <v>1625</v>
      </c>
      <c r="C6" s="364">
        <v>1</v>
      </c>
      <c r="D6" s="45" t="s">
        <v>1626</v>
      </c>
      <c r="E6" s="46" t="s">
        <v>1680</v>
      </c>
      <c r="F6" s="48" t="s">
        <v>1624</v>
      </c>
      <c r="G6" s="39"/>
      <c r="H6" s="39"/>
      <c r="J6" s="40"/>
      <c r="K6" s="41"/>
      <c r="L6" s="41"/>
      <c r="M6" s="41"/>
      <c r="N6" s="41"/>
      <c r="O6" s="41"/>
    </row>
    <row r="7" spans="1:18" s="38" customFormat="1" ht="15" customHeight="1">
      <c r="A7" s="32"/>
      <c r="B7" s="28"/>
      <c r="C7" s="28"/>
      <c r="D7" s="28"/>
      <c r="E7" s="28"/>
      <c r="F7" s="28"/>
      <c r="H7" s="39"/>
      <c r="I7" s="39"/>
      <c r="K7" s="40"/>
      <c r="L7" s="41"/>
      <c r="M7" s="41"/>
      <c r="N7" s="41"/>
      <c r="O7" s="41"/>
      <c r="P7" s="41"/>
    </row>
    <row r="8" spans="1:18" s="38" customFormat="1" ht="15" customHeight="1">
      <c r="A8" s="49" t="s">
        <v>217</v>
      </c>
      <c r="B8" s="37"/>
      <c r="C8" s="37"/>
      <c r="D8" s="37"/>
      <c r="E8" s="50"/>
      <c r="F8" s="50"/>
      <c r="H8" s="39"/>
      <c r="I8" s="39"/>
      <c r="K8" s="40"/>
      <c r="L8" s="41"/>
      <c r="M8" s="41"/>
      <c r="N8" s="41"/>
      <c r="O8" s="41"/>
      <c r="P8" s="41"/>
    </row>
    <row r="9" spans="1:18" s="38" customFormat="1" ht="15" customHeight="1">
      <c r="A9" s="240" t="s">
        <v>33</v>
      </c>
      <c r="B9" s="241" t="s">
        <v>96</v>
      </c>
      <c r="C9" s="242" t="s">
        <v>95</v>
      </c>
      <c r="D9" s="240" t="s">
        <v>195</v>
      </c>
      <c r="E9" s="50"/>
      <c r="H9" s="39"/>
      <c r="J9" s="40"/>
      <c r="K9" s="41"/>
      <c r="L9" s="41"/>
      <c r="M9" s="41"/>
      <c r="N9" s="41"/>
      <c r="O9" s="41"/>
    </row>
    <row r="10" spans="1:18" s="38" customFormat="1" ht="15" customHeight="1">
      <c r="A10" s="51">
        <v>1</v>
      </c>
      <c r="B10" s="26" t="s">
        <v>57</v>
      </c>
      <c r="C10" s="363"/>
      <c r="D10" s="52" t="s">
        <v>1277</v>
      </c>
      <c r="E10" s="53"/>
      <c r="F10" s="54"/>
      <c r="G10" s="54"/>
      <c r="H10" s="39"/>
      <c r="I10" s="54"/>
      <c r="J10" s="40"/>
      <c r="K10" s="41"/>
      <c r="L10" s="41"/>
      <c r="M10" s="41"/>
      <c r="N10" s="41"/>
      <c r="O10" s="41"/>
    </row>
    <row r="11" spans="1:18" s="38" customFormat="1" ht="15" customHeight="1">
      <c r="A11" s="51">
        <v>2</v>
      </c>
      <c r="B11" s="26" t="s">
        <v>58</v>
      </c>
      <c r="C11" s="363"/>
      <c r="D11" s="52" t="s">
        <v>1278</v>
      </c>
      <c r="E11" s="55"/>
      <c r="F11" s="54"/>
      <c r="G11" s="54"/>
      <c r="H11" s="39"/>
      <c r="J11" s="40"/>
      <c r="K11" s="41"/>
      <c r="L11" s="41"/>
      <c r="M11" s="41"/>
      <c r="N11" s="41"/>
      <c r="O11" s="41"/>
    </row>
    <row r="12" spans="1:18" s="38" customFormat="1" ht="12">
      <c r="A12" s="51">
        <v>3</v>
      </c>
      <c r="B12" s="26" t="s">
        <v>59</v>
      </c>
      <c r="C12" s="363"/>
      <c r="D12" s="52" t="s">
        <v>1277</v>
      </c>
      <c r="E12" s="56"/>
      <c r="H12" s="39"/>
      <c r="J12" s="40"/>
      <c r="K12" s="41"/>
      <c r="L12" s="41"/>
      <c r="M12" s="41"/>
      <c r="N12" s="41"/>
      <c r="O12" s="41"/>
    </row>
    <row r="13" spans="1:18" s="38" customFormat="1" ht="14.25" customHeight="1">
      <c r="A13" s="51">
        <v>4</v>
      </c>
      <c r="B13" s="26" t="s">
        <v>243</v>
      </c>
      <c r="C13" s="363"/>
      <c r="D13" s="52" t="s">
        <v>1278</v>
      </c>
      <c r="E13" s="55"/>
      <c r="H13" s="39"/>
      <c r="J13" s="40"/>
      <c r="K13" s="41"/>
      <c r="L13" s="41"/>
      <c r="M13" s="41"/>
      <c r="N13" s="41"/>
      <c r="O13" s="41"/>
    </row>
    <row r="14" spans="1:18" s="38" customFormat="1" ht="15" customHeight="1">
      <c r="A14" s="51">
        <v>5</v>
      </c>
      <c r="B14" s="26" t="s">
        <v>22</v>
      </c>
      <c r="C14" s="363"/>
      <c r="D14" s="52" t="s">
        <v>1279</v>
      </c>
      <c r="E14" s="55"/>
      <c r="F14" s="54"/>
      <c r="G14" s="54"/>
      <c r="H14" s="39"/>
      <c r="I14" s="54"/>
      <c r="J14" s="40"/>
      <c r="K14" s="57"/>
      <c r="L14" s="57"/>
      <c r="M14" s="57"/>
      <c r="N14" s="41"/>
      <c r="O14" s="41"/>
      <c r="P14" s="58"/>
      <c r="Q14" s="58"/>
      <c r="R14" s="58"/>
    </row>
    <row r="15" spans="1:18" s="37" customFormat="1" ht="15" customHeight="1">
      <c r="A15" s="51">
        <v>6</v>
      </c>
      <c r="B15" s="26" t="s">
        <v>60</v>
      </c>
      <c r="C15" s="363"/>
      <c r="D15" s="52" t="s">
        <v>1277</v>
      </c>
      <c r="E15" s="55"/>
      <c r="H15" s="39"/>
      <c r="I15" s="59"/>
      <c r="N15" s="60"/>
      <c r="O15" s="60"/>
      <c r="P15" s="61"/>
      <c r="Q15" s="62"/>
      <c r="R15" s="62"/>
    </row>
    <row r="16" spans="1:18" s="68" customFormat="1" ht="15" customHeight="1">
      <c r="A16" s="51">
        <v>7</v>
      </c>
      <c r="B16" s="26" t="s">
        <v>38</v>
      </c>
      <c r="C16" s="363"/>
      <c r="D16" s="52" t="s">
        <v>1277</v>
      </c>
      <c r="E16" s="55"/>
      <c r="F16" s="63"/>
      <c r="G16" s="63"/>
      <c r="H16" s="39"/>
      <c r="I16" s="64"/>
      <c r="J16" s="63"/>
      <c r="K16" s="63"/>
      <c r="L16" s="63"/>
      <c r="M16" s="63"/>
      <c r="N16" s="65"/>
      <c r="O16" s="65"/>
      <c r="P16" s="66"/>
      <c r="Q16" s="66"/>
      <c r="R16" s="67"/>
    </row>
    <row r="17" spans="1:18" s="68" customFormat="1" ht="15" customHeight="1">
      <c r="A17" s="51">
        <v>8</v>
      </c>
      <c r="B17" s="26" t="s">
        <v>1282</v>
      </c>
      <c r="C17" s="363"/>
      <c r="D17" s="52" t="s">
        <v>1276</v>
      </c>
      <c r="E17" s="55"/>
      <c r="F17" s="63"/>
      <c r="G17" s="63"/>
      <c r="H17" s="39"/>
      <c r="I17" s="64"/>
      <c r="J17" s="63"/>
      <c r="K17" s="63"/>
      <c r="L17" s="63"/>
      <c r="M17" s="63"/>
      <c r="N17" s="65"/>
      <c r="O17" s="65"/>
      <c r="P17" s="66"/>
      <c r="Q17" s="66"/>
      <c r="R17" s="67"/>
    </row>
    <row r="18" spans="1:18" s="68" customFormat="1" ht="15" customHeight="1">
      <c r="A18" s="51">
        <v>9</v>
      </c>
      <c r="B18" s="26" t="s">
        <v>1268</v>
      </c>
      <c r="C18" s="363"/>
      <c r="D18" s="52" t="s">
        <v>1276</v>
      </c>
      <c r="E18" s="55"/>
      <c r="F18" s="69"/>
      <c r="G18" s="69"/>
      <c r="H18" s="39"/>
      <c r="I18" s="70"/>
      <c r="J18" s="63"/>
      <c r="K18" s="57"/>
      <c r="L18" s="57"/>
      <c r="M18" s="69"/>
      <c r="N18" s="65"/>
      <c r="O18" s="65"/>
      <c r="P18" s="66"/>
      <c r="Q18" s="66"/>
      <c r="R18" s="67"/>
    </row>
    <row r="19" spans="1:18" s="68" customFormat="1" ht="15" customHeight="1">
      <c r="A19" s="51">
        <v>10</v>
      </c>
      <c r="B19" s="26" t="s">
        <v>61</v>
      </c>
      <c r="C19" s="363"/>
      <c r="D19" s="52" t="s">
        <v>1277</v>
      </c>
      <c r="E19" s="55"/>
      <c r="F19" s="63"/>
      <c r="G19" s="63"/>
      <c r="H19" s="63"/>
      <c r="I19" s="64"/>
      <c r="J19" s="63"/>
      <c r="K19" s="63"/>
      <c r="L19" s="63"/>
      <c r="M19" s="63"/>
      <c r="N19" s="65"/>
      <c r="O19" s="65"/>
      <c r="P19" s="66"/>
      <c r="Q19" s="66"/>
      <c r="R19" s="67"/>
    </row>
    <row r="20" spans="1:18" s="68" customFormat="1" ht="15" customHeight="1">
      <c r="A20" s="51">
        <v>11</v>
      </c>
      <c r="B20" s="26" t="s">
        <v>1269</v>
      </c>
      <c r="C20" s="363"/>
      <c r="D20" s="52" t="s">
        <v>1277</v>
      </c>
      <c r="E20" s="55"/>
      <c r="F20" s="69"/>
      <c r="G20" s="63"/>
      <c r="H20" s="63"/>
      <c r="I20" s="70"/>
      <c r="J20" s="63"/>
      <c r="K20" s="63"/>
      <c r="L20" s="69"/>
      <c r="M20" s="63"/>
      <c r="N20" s="65"/>
      <c r="O20" s="65"/>
      <c r="P20" s="66"/>
      <c r="Q20" s="66"/>
      <c r="R20" s="67"/>
    </row>
    <row r="21" spans="1:18" s="68" customFormat="1" ht="15" customHeight="1">
      <c r="A21" s="51">
        <v>12</v>
      </c>
      <c r="B21" s="26" t="s">
        <v>1270</v>
      </c>
      <c r="C21" s="363"/>
      <c r="D21" s="52" t="s">
        <v>1277</v>
      </c>
      <c r="E21" s="55"/>
      <c r="F21" s="63"/>
      <c r="G21" s="63"/>
      <c r="H21" s="63"/>
      <c r="I21" s="64"/>
      <c r="J21" s="63"/>
      <c r="K21" s="63"/>
      <c r="L21" s="63"/>
      <c r="M21" s="63"/>
      <c r="N21" s="65"/>
      <c r="O21" s="65"/>
      <c r="P21" s="66"/>
      <c r="Q21" s="66"/>
      <c r="R21" s="67"/>
    </row>
    <row r="22" spans="1:18" s="68" customFormat="1" ht="15" customHeight="1">
      <c r="A22" s="51">
        <v>13</v>
      </c>
      <c r="B22" s="26" t="s">
        <v>1589</v>
      </c>
      <c r="C22" s="363"/>
      <c r="D22" s="52" t="s">
        <v>1277</v>
      </c>
      <c r="E22" s="55"/>
      <c r="F22" s="63"/>
      <c r="G22" s="63"/>
      <c r="H22" s="63"/>
      <c r="I22" s="64"/>
      <c r="J22" s="63"/>
      <c r="K22" s="69"/>
      <c r="L22" s="63"/>
      <c r="M22" s="69"/>
      <c r="N22" s="65"/>
      <c r="O22" s="65"/>
      <c r="P22" s="66"/>
      <c r="Q22" s="66"/>
      <c r="R22" s="67"/>
    </row>
    <row r="23" spans="1:18" s="68" customFormat="1" ht="15" customHeight="1">
      <c r="A23" s="51">
        <v>14</v>
      </c>
      <c r="B23" s="26" t="s">
        <v>1271</v>
      </c>
      <c r="C23" s="363"/>
      <c r="D23" s="52" t="s">
        <v>1276</v>
      </c>
      <c r="E23" s="55"/>
      <c r="F23" s="63"/>
      <c r="G23" s="63"/>
      <c r="H23" s="63"/>
      <c r="I23" s="64"/>
      <c r="J23" s="63"/>
      <c r="K23" s="63"/>
      <c r="L23" s="63"/>
      <c r="M23" s="63"/>
      <c r="N23" s="65"/>
      <c r="O23" s="65"/>
      <c r="P23" s="65"/>
      <c r="Q23" s="65"/>
    </row>
    <row r="24" spans="1:18" s="28" customFormat="1" ht="15" customHeight="1">
      <c r="A24" s="51">
        <v>15</v>
      </c>
      <c r="B24" s="26" t="s">
        <v>62</v>
      </c>
      <c r="C24" s="363"/>
      <c r="D24" s="52" t="s">
        <v>1277</v>
      </c>
      <c r="E24" s="55"/>
      <c r="F24" s="37"/>
      <c r="G24" s="37"/>
      <c r="H24" s="37"/>
      <c r="I24" s="59"/>
      <c r="J24" s="37"/>
      <c r="K24" s="37"/>
      <c r="L24" s="37"/>
      <c r="M24" s="37"/>
      <c r="N24" s="60"/>
      <c r="O24" s="60"/>
      <c r="P24" s="60"/>
      <c r="Q24" s="60"/>
    </row>
    <row r="25" spans="1:18" s="28" customFormat="1" ht="15" customHeight="1">
      <c r="A25" s="51">
        <v>16</v>
      </c>
      <c r="B25" s="26" t="s">
        <v>1272</v>
      </c>
      <c r="C25" s="363"/>
      <c r="D25" s="52" t="s">
        <v>1276</v>
      </c>
      <c r="E25" s="55"/>
      <c r="F25" s="37"/>
      <c r="G25" s="37"/>
      <c r="H25" s="37"/>
      <c r="I25" s="59"/>
      <c r="J25" s="37"/>
      <c r="K25" s="37"/>
      <c r="L25" s="37"/>
      <c r="M25" s="37"/>
      <c r="N25" s="60"/>
      <c r="O25" s="60"/>
      <c r="P25" s="60"/>
      <c r="Q25" s="60"/>
    </row>
    <row r="26" spans="1:18" s="28" customFormat="1" ht="15" customHeight="1">
      <c r="A26" s="51">
        <v>17</v>
      </c>
      <c r="B26" s="26" t="s">
        <v>1273</v>
      </c>
      <c r="C26" s="363"/>
      <c r="D26" s="52" t="s">
        <v>1277</v>
      </c>
      <c r="E26" s="55"/>
      <c r="F26" s="37"/>
      <c r="G26" s="37"/>
      <c r="H26" s="37"/>
      <c r="I26" s="59"/>
      <c r="J26" s="37"/>
      <c r="K26" s="37"/>
      <c r="L26" s="37"/>
      <c r="M26" s="37"/>
      <c r="N26" s="60"/>
      <c r="O26" s="60"/>
      <c r="P26" s="60"/>
      <c r="Q26" s="60"/>
    </row>
    <row r="27" spans="1:18" s="28" customFormat="1" ht="15" customHeight="1">
      <c r="A27" s="51">
        <v>18</v>
      </c>
      <c r="B27" s="26" t="s">
        <v>1274</v>
      </c>
      <c r="C27" s="363"/>
      <c r="D27" s="52" t="s">
        <v>1281</v>
      </c>
      <c r="E27" s="55"/>
      <c r="F27" s="37"/>
      <c r="G27" s="37"/>
      <c r="H27" s="37"/>
      <c r="I27" s="59"/>
      <c r="J27" s="37"/>
      <c r="K27" s="37"/>
      <c r="L27" s="37"/>
      <c r="M27" s="37"/>
      <c r="N27" s="60"/>
      <c r="O27" s="60"/>
      <c r="P27" s="60"/>
      <c r="Q27" s="60"/>
    </row>
    <row r="28" spans="1:18" s="28" customFormat="1" ht="15" customHeight="1">
      <c r="A28" s="51">
        <v>19</v>
      </c>
      <c r="B28" s="26" t="s">
        <v>1280</v>
      </c>
      <c r="C28" s="363"/>
      <c r="D28" s="52" t="s">
        <v>1277</v>
      </c>
      <c r="E28" s="55"/>
      <c r="F28" s="71"/>
      <c r="G28" s="37"/>
      <c r="H28" s="37"/>
      <c r="I28" s="59"/>
      <c r="J28" s="37"/>
      <c r="K28" s="72"/>
      <c r="L28" s="37"/>
      <c r="M28" s="37"/>
      <c r="N28" s="60"/>
      <c r="O28" s="60"/>
      <c r="P28" s="60"/>
      <c r="Q28" s="60"/>
    </row>
    <row r="29" spans="1:18" s="28" customFormat="1" ht="15" customHeight="1">
      <c r="A29" s="51">
        <v>20</v>
      </c>
      <c r="B29" s="26" t="s">
        <v>1275</v>
      </c>
      <c r="C29" s="363"/>
      <c r="D29" s="52"/>
      <c r="E29" s="55"/>
      <c r="F29" s="37"/>
      <c r="G29" s="37"/>
      <c r="H29" s="37"/>
      <c r="I29" s="59"/>
      <c r="J29" s="37"/>
      <c r="K29" s="37"/>
      <c r="L29" s="37"/>
      <c r="M29" s="37"/>
      <c r="N29" s="60"/>
      <c r="O29" s="60"/>
      <c r="P29" s="60"/>
      <c r="Q29" s="60"/>
    </row>
    <row r="30" spans="1:18" s="28" customFormat="1" ht="15" customHeight="1">
      <c r="A30" s="37"/>
      <c r="B30" s="37"/>
      <c r="C30" s="37"/>
      <c r="D30" s="37"/>
      <c r="E30" s="73"/>
      <c r="F30" s="37"/>
      <c r="G30" s="37"/>
      <c r="H30" s="73"/>
      <c r="I30" s="37"/>
      <c r="J30" s="37"/>
      <c r="K30" s="37"/>
      <c r="L30" s="60"/>
      <c r="M30" s="60"/>
      <c r="N30" s="60"/>
      <c r="O30" s="60"/>
      <c r="P30" s="60"/>
      <c r="Q30" s="37"/>
      <c r="R30" s="37"/>
    </row>
    <row r="31" spans="1:18" s="28" customFormat="1" ht="15" customHeight="1">
      <c r="A31" s="36" t="s">
        <v>218</v>
      </c>
      <c r="B31" s="36"/>
      <c r="C31" s="37"/>
      <c r="D31" s="37"/>
      <c r="E31" s="73"/>
      <c r="F31" s="37"/>
      <c r="G31" s="37"/>
      <c r="H31" s="37"/>
      <c r="I31" s="37"/>
      <c r="J31" s="37"/>
      <c r="K31" s="37"/>
      <c r="L31" s="60"/>
      <c r="M31" s="60"/>
      <c r="N31" s="60"/>
      <c r="O31" s="60"/>
      <c r="P31" s="60"/>
      <c r="Q31" s="37"/>
      <c r="R31" s="37"/>
    </row>
    <row r="32" spans="1:18" s="28" customFormat="1" ht="22.95" customHeight="1">
      <c r="A32" s="243" t="s">
        <v>33</v>
      </c>
      <c r="B32" s="244" t="s">
        <v>122</v>
      </c>
      <c r="C32" s="245" t="s">
        <v>98</v>
      </c>
      <c r="D32" s="242" t="s">
        <v>97</v>
      </c>
      <c r="E32" s="37"/>
      <c r="F32" s="37"/>
      <c r="G32" s="37"/>
      <c r="H32" s="37"/>
      <c r="I32" s="37"/>
      <c r="J32" s="60"/>
      <c r="K32" s="60"/>
      <c r="L32" s="60"/>
      <c r="M32" s="60"/>
      <c r="N32" s="60"/>
      <c r="O32" s="37"/>
      <c r="P32" s="37"/>
    </row>
    <row r="33" spans="1:20" s="28" customFormat="1" ht="15" customHeight="1">
      <c r="A33" s="75" t="s">
        <v>100</v>
      </c>
      <c r="B33" s="51" t="s">
        <v>123</v>
      </c>
      <c r="C33" s="362">
        <v>1</v>
      </c>
      <c r="D33" s="26" t="s">
        <v>103</v>
      </c>
      <c r="E33" s="37"/>
      <c r="F33" s="37"/>
      <c r="G33" s="37"/>
      <c r="H33" s="37"/>
      <c r="I33" s="37"/>
      <c r="J33" s="60"/>
      <c r="K33" s="60"/>
      <c r="L33" s="60"/>
      <c r="M33" s="60"/>
      <c r="N33" s="60"/>
      <c r="O33" s="37"/>
      <c r="P33" s="37"/>
    </row>
    <row r="34" spans="1:20" s="28" customFormat="1" ht="15" customHeight="1">
      <c r="A34" s="75" t="s">
        <v>99</v>
      </c>
      <c r="B34" s="51" t="s">
        <v>36</v>
      </c>
      <c r="C34" s="362">
        <v>1</v>
      </c>
      <c r="D34" s="26" t="s">
        <v>104</v>
      </c>
      <c r="E34" s="37"/>
      <c r="F34" s="37"/>
      <c r="G34" s="37"/>
      <c r="H34" s="37"/>
      <c r="I34" s="37"/>
      <c r="J34" s="60"/>
      <c r="K34" s="60"/>
      <c r="L34" s="60"/>
      <c r="M34" s="60"/>
      <c r="N34" s="60"/>
      <c r="O34" s="37"/>
      <c r="P34" s="37"/>
    </row>
    <row r="35" spans="1:20" s="28" customFormat="1" ht="12">
      <c r="A35" s="75" t="s">
        <v>101</v>
      </c>
      <c r="B35" s="51" t="s">
        <v>119</v>
      </c>
      <c r="C35" s="362">
        <v>1</v>
      </c>
      <c r="D35" s="26" t="s">
        <v>242</v>
      </c>
      <c r="E35" s="37"/>
      <c r="F35" s="37"/>
      <c r="G35" s="37"/>
      <c r="H35" s="37"/>
      <c r="I35" s="37"/>
      <c r="J35" s="60"/>
      <c r="K35" s="60"/>
      <c r="L35" s="60"/>
      <c r="M35" s="60"/>
      <c r="N35" s="60"/>
      <c r="O35" s="37"/>
      <c r="P35" s="37"/>
    </row>
    <row r="36" spans="1:20" s="28" customFormat="1" ht="15" customHeight="1">
      <c r="A36" s="75" t="s">
        <v>102</v>
      </c>
      <c r="B36" s="51" t="s">
        <v>120</v>
      </c>
      <c r="C36" s="362">
        <v>1</v>
      </c>
      <c r="D36" s="26" t="s">
        <v>105</v>
      </c>
      <c r="E36" s="37"/>
      <c r="F36" s="37"/>
      <c r="G36" s="37"/>
      <c r="H36" s="37"/>
      <c r="I36" s="37"/>
      <c r="J36" s="37"/>
      <c r="K36" s="37"/>
      <c r="L36" s="60"/>
      <c r="M36" s="60"/>
      <c r="N36" s="60"/>
      <c r="O36" s="60"/>
      <c r="P36" s="60"/>
      <c r="Q36" s="37"/>
      <c r="R36" s="37"/>
    </row>
    <row r="37" spans="1:20" s="28" customFormat="1" ht="15" customHeight="1">
      <c r="A37" s="75" t="s">
        <v>1313</v>
      </c>
      <c r="B37" s="51" t="s">
        <v>249</v>
      </c>
      <c r="C37" s="362">
        <v>1</v>
      </c>
      <c r="D37" s="26" t="s">
        <v>1497</v>
      </c>
      <c r="E37" s="73"/>
      <c r="F37" s="37"/>
      <c r="G37" s="37"/>
      <c r="H37" s="37"/>
      <c r="I37" s="37"/>
      <c r="J37" s="37"/>
      <c r="K37" s="37"/>
      <c r="L37" s="37"/>
      <c r="M37" s="37"/>
      <c r="N37" s="60"/>
      <c r="O37" s="60"/>
      <c r="P37" s="60"/>
      <c r="Q37" s="60"/>
      <c r="R37" s="60"/>
      <c r="S37" s="37"/>
      <c r="T37" s="37"/>
    </row>
    <row r="38" spans="1:20" s="28" customFormat="1" ht="15" customHeight="1">
      <c r="A38" s="37"/>
      <c r="B38" s="37"/>
      <c r="C38" s="37"/>
      <c r="D38" s="37"/>
      <c r="E38" s="38"/>
      <c r="F38" s="38"/>
      <c r="G38" s="37"/>
      <c r="H38" s="37"/>
      <c r="I38" s="37"/>
      <c r="J38" s="37"/>
      <c r="K38" s="37"/>
      <c r="L38" s="37"/>
      <c r="M38" s="37"/>
      <c r="N38" s="60"/>
      <c r="O38" s="60"/>
      <c r="P38" s="60"/>
      <c r="Q38" s="60"/>
      <c r="R38" s="60"/>
      <c r="S38" s="37"/>
      <c r="T38" s="37"/>
    </row>
    <row r="39" spans="1:20" s="28" customFormat="1" ht="12">
      <c r="A39" s="36" t="s">
        <v>106</v>
      </c>
      <c r="B39" s="37"/>
      <c r="C39" s="37"/>
      <c r="D39" s="60"/>
      <c r="E39" s="38"/>
      <c r="F39" s="73"/>
      <c r="G39" s="37"/>
      <c r="H39" s="37"/>
      <c r="I39" s="37"/>
      <c r="J39" s="37"/>
      <c r="K39" s="37"/>
      <c r="L39" s="37"/>
      <c r="M39" s="60"/>
      <c r="N39" s="60"/>
      <c r="O39" s="60"/>
      <c r="P39" s="60"/>
      <c r="Q39" s="60"/>
      <c r="R39" s="37"/>
      <c r="S39" s="37"/>
    </row>
    <row r="40" spans="1:20" s="28" customFormat="1" ht="24">
      <c r="A40" s="243" t="s">
        <v>33</v>
      </c>
      <c r="B40" s="242" t="s">
        <v>107</v>
      </c>
      <c r="C40" s="245" t="s">
        <v>98</v>
      </c>
      <c r="D40" s="63" t="s">
        <v>166</v>
      </c>
      <c r="E40" s="38"/>
      <c r="F40" s="73"/>
      <c r="G40" s="37"/>
      <c r="H40" s="37"/>
      <c r="I40" s="37"/>
      <c r="J40" s="37"/>
      <c r="K40" s="37"/>
      <c r="L40" s="37"/>
      <c r="M40" s="60"/>
      <c r="N40" s="60"/>
      <c r="O40" s="60"/>
      <c r="P40" s="60"/>
      <c r="Q40" s="60"/>
      <c r="R40" s="37"/>
      <c r="S40" s="37"/>
    </row>
    <row r="41" spans="1:20" s="28" customFormat="1" ht="15" customHeight="1">
      <c r="A41" s="261" t="s">
        <v>253</v>
      </c>
      <c r="B41" s="46" t="s">
        <v>252</v>
      </c>
      <c r="C41" s="361">
        <v>1</v>
      </c>
      <c r="D41" s="37"/>
      <c r="E41" s="38"/>
      <c r="F41" s="73"/>
      <c r="G41" s="37"/>
      <c r="H41" s="37"/>
      <c r="I41" s="37"/>
      <c r="J41" s="37"/>
      <c r="K41" s="37"/>
      <c r="L41" s="37"/>
      <c r="M41" s="60"/>
      <c r="N41" s="60"/>
      <c r="O41" s="60"/>
      <c r="P41" s="60"/>
      <c r="Q41" s="60"/>
      <c r="R41" s="37"/>
      <c r="S41" s="37"/>
    </row>
    <row r="42" spans="1:20" s="28" customFormat="1" ht="15" customHeight="1">
      <c r="A42" s="261" t="s">
        <v>19</v>
      </c>
      <c r="B42" s="46" t="s">
        <v>29</v>
      </c>
      <c r="C42" s="361">
        <v>1</v>
      </c>
      <c r="D42" s="37"/>
      <c r="E42" s="38"/>
      <c r="F42" s="37"/>
      <c r="G42" s="37"/>
      <c r="H42" s="37"/>
      <c r="I42" s="37"/>
      <c r="J42" s="37"/>
      <c r="K42" s="60"/>
      <c r="L42" s="60"/>
      <c r="M42" s="60"/>
      <c r="N42" s="60"/>
      <c r="O42" s="60"/>
      <c r="P42" s="37"/>
      <c r="Q42" s="37"/>
    </row>
    <row r="43" spans="1:20" s="38" customFormat="1" ht="12">
      <c r="A43" s="261" t="s">
        <v>2</v>
      </c>
      <c r="B43" s="46" t="s">
        <v>1</v>
      </c>
      <c r="C43" s="361">
        <v>1</v>
      </c>
      <c r="D43" s="37"/>
      <c r="H43" s="76"/>
      <c r="I43" s="76"/>
      <c r="J43" s="41"/>
      <c r="K43" s="41"/>
      <c r="L43" s="41"/>
      <c r="M43" s="41"/>
      <c r="N43" s="41"/>
    </row>
    <row r="44" spans="1:20" ht="12">
      <c r="A44" s="261" t="s">
        <v>20</v>
      </c>
      <c r="B44" s="46" t="s">
        <v>21</v>
      </c>
      <c r="C44" s="361">
        <v>1</v>
      </c>
      <c r="D44" s="37"/>
      <c r="E44" s="38"/>
      <c r="F44" s="39"/>
      <c r="G44" s="77"/>
      <c r="H44" s="41"/>
      <c r="I44" s="41"/>
      <c r="J44" s="41"/>
      <c r="K44" s="41"/>
      <c r="L44" s="41"/>
      <c r="M44" s="41"/>
      <c r="N44" s="38"/>
      <c r="O44" s="38"/>
      <c r="P44" s="38"/>
    </row>
    <row r="45" spans="1:20" ht="15" customHeight="1">
      <c r="A45" s="261" t="s">
        <v>18</v>
      </c>
      <c r="B45" s="46" t="s">
        <v>12</v>
      </c>
      <c r="C45" s="361">
        <v>1</v>
      </c>
      <c r="D45" s="37"/>
      <c r="E45" s="38"/>
      <c r="F45" s="39"/>
      <c r="G45" s="77"/>
      <c r="H45" s="41"/>
      <c r="I45" s="41"/>
      <c r="J45" s="41"/>
      <c r="K45" s="41"/>
      <c r="L45" s="41"/>
      <c r="M45" s="41"/>
      <c r="N45" s="38"/>
      <c r="O45" s="38"/>
      <c r="P45" s="38"/>
    </row>
    <row r="46" spans="1:20" ht="15" customHeight="1">
      <c r="A46" s="261" t="s">
        <v>108</v>
      </c>
      <c r="B46" s="46" t="s">
        <v>109</v>
      </c>
      <c r="C46" s="361">
        <v>1</v>
      </c>
      <c r="D46" s="37"/>
      <c r="E46" s="38"/>
      <c r="F46" s="39"/>
      <c r="G46" s="77"/>
      <c r="H46" s="41"/>
      <c r="I46" s="41"/>
      <c r="J46" s="41"/>
      <c r="K46" s="41"/>
      <c r="L46" s="41"/>
      <c r="M46" s="41"/>
      <c r="N46" s="38"/>
      <c r="O46" s="38"/>
      <c r="P46" s="38"/>
    </row>
    <row r="47" spans="1:20" ht="15" customHeight="1">
      <c r="A47" s="261" t="s">
        <v>17</v>
      </c>
      <c r="B47" s="46" t="s">
        <v>14</v>
      </c>
      <c r="C47" s="361">
        <v>1</v>
      </c>
      <c r="D47" s="37"/>
      <c r="E47" s="38"/>
      <c r="F47" s="39"/>
      <c r="G47" s="77"/>
      <c r="H47" s="41"/>
      <c r="I47" s="41"/>
      <c r="J47" s="41"/>
      <c r="K47" s="41"/>
      <c r="L47" s="41"/>
      <c r="M47" s="41"/>
      <c r="N47" s="38"/>
      <c r="O47" s="38"/>
      <c r="P47" s="38"/>
    </row>
    <row r="48" spans="1:20" ht="15" customHeight="1">
      <c r="A48" s="261" t="s">
        <v>15</v>
      </c>
      <c r="B48" s="46" t="s">
        <v>13</v>
      </c>
      <c r="C48" s="361">
        <v>1</v>
      </c>
      <c r="D48" s="37"/>
      <c r="E48" s="38"/>
      <c r="F48" s="39"/>
      <c r="G48" s="77"/>
      <c r="H48" s="41"/>
      <c r="I48" s="41"/>
      <c r="J48" s="41"/>
      <c r="K48" s="41"/>
      <c r="L48" s="41"/>
      <c r="M48" s="41"/>
      <c r="N48" s="38"/>
      <c r="O48" s="38"/>
      <c r="P48" s="38"/>
    </row>
    <row r="49" spans="1:18" ht="15" customHeight="1">
      <c r="A49" s="261" t="s">
        <v>25</v>
      </c>
      <c r="B49" s="46" t="s">
        <v>28</v>
      </c>
      <c r="C49" s="361">
        <v>1</v>
      </c>
      <c r="D49" s="37"/>
      <c r="E49" s="38"/>
      <c r="F49" s="39"/>
      <c r="G49" s="77"/>
      <c r="H49" s="41"/>
      <c r="I49" s="41"/>
      <c r="J49" s="41"/>
      <c r="K49" s="41"/>
      <c r="L49" s="41"/>
      <c r="M49" s="41"/>
      <c r="N49" s="38"/>
      <c r="O49" s="38"/>
      <c r="P49" s="38"/>
    </row>
    <row r="50" spans="1:18" ht="15" customHeight="1">
      <c r="A50" s="261" t="s">
        <v>26</v>
      </c>
      <c r="B50" s="46" t="s">
        <v>27</v>
      </c>
      <c r="C50" s="361">
        <v>1</v>
      </c>
      <c r="D50" s="37"/>
      <c r="E50" s="38"/>
      <c r="F50" s="39"/>
      <c r="G50" s="77"/>
      <c r="H50" s="41"/>
      <c r="I50" s="41"/>
      <c r="J50" s="41"/>
      <c r="K50" s="41"/>
      <c r="L50" s="41"/>
      <c r="M50" s="41"/>
      <c r="N50" s="38"/>
      <c r="O50" s="38"/>
      <c r="P50" s="38"/>
    </row>
    <row r="51" spans="1:18" ht="15" customHeight="1">
      <c r="A51" s="261" t="s">
        <v>16</v>
      </c>
      <c r="B51" s="46" t="s">
        <v>0</v>
      </c>
      <c r="C51" s="361">
        <v>1</v>
      </c>
      <c r="D51" s="37"/>
      <c r="E51" s="38"/>
      <c r="F51" s="39"/>
      <c r="G51" s="77"/>
      <c r="H51" s="41"/>
      <c r="I51" s="41"/>
      <c r="J51" s="41"/>
      <c r="K51" s="41"/>
      <c r="L51" s="41"/>
      <c r="M51" s="41"/>
      <c r="N51" s="38"/>
      <c r="O51" s="38"/>
      <c r="P51" s="38"/>
    </row>
    <row r="52" spans="1:18" ht="15" customHeight="1">
      <c r="A52" s="261" t="s">
        <v>250</v>
      </c>
      <c r="B52" s="46" t="s">
        <v>251</v>
      </c>
      <c r="C52" s="361">
        <v>1</v>
      </c>
      <c r="D52" s="37"/>
      <c r="E52" s="38"/>
      <c r="F52" s="39"/>
      <c r="G52" s="38"/>
      <c r="H52" s="77"/>
      <c r="I52" s="77"/>
      <c r="J52" s="41"/>
      <c r="K52" s="41"/>
      <c r="L52" s="41"/>
      <c r="M52" s="41"/>
      <c r="N52" s="41"/>
      <c r="O52" s="38"/>
      <c r="P52" s="38"/>
      <c r="Q52" s="38"/>
    </row>
    <row r="53" spans="1:18" ht="15" customHeight="1">
      <c r="A53" s="79"/>
      <c r="B53" s="60"/>
      <c r="C53" s="60"/>
      <c r="D53" s="60"/>
      <c r="E53" s="38"/>
      <c r="F53" s="38"/>
      <c r="G53" s="38"/>
      <c r="H53" s="77"/>
      <c r="I53" s="77"/>
      <c r="J53" s="41"/>
      <c r="K53" s="41"/>
      <c r="L53" s="41"/>
      <c r="M53" s="41"/>
      <c r="N53" s="41"/>
      <c r="O53" s="38"/>
      <c r="P53" s="38"/>
      <c r="Q53" s="38"/>
    </row>
    <row r="54" spans="1:18" ht="15" customHeight="1">
      <c r="A54" s="77"/>
      <c r="B54" s="38"/>
      <c r="C54" s="38"/>
      <c r="D54" s="50"/>
      <c r="E54" s="38"/>
      <c r="F54" s="38"/>
      <c r="G54" s="38"/>
      <c r="H54" s="77"/>
      <c r="I54" s="77"/>
      <c r="J54" s="41"/>
      <c r="K54" s="41"/>
      <c r="L54" s="41"/>
      <c r="M54" s="41"/>
      <c r="N54" s="41"/>
      <c r="O54" s="38"/>
      <c r="P54" s="38"/>
      <c r="Q54" s="38"/>
    </row>
    <row r="55" spans="1:18" ht="15" customHeight="1">
      <c r="A55" s="77"/>
      <c r="B55" s="38"/>
      <c r="C55" s="80"/>
      <c r="D55" s="50"/>
      <c r="E55" s="38"/>
      <c r="F55" s="38"/>
      <c r="G55" s="38"/>
      <c r="H55" s="77"/>
      <c r="I55" s="77"/>
      <c r="J55" s="41"/>
      <c r="K55" s="41"/>
      <c r="L55" s="41"/>
      <c r="M55" s="41"/>
      <c r="N55" s="41"/>
      <c r="O55" s="38"/>
      <c r="P55" s="38"/>
      <c r="Q55" s="38"/>
    </row>
    <row r="56" spans="1:18" ht="15" customHeight="1">
      <c r="A56" s="77"/>
      <c r="B56" s="38"/>
      <c r="C56" s="38"/>
      <c r="D56" s="50"/>
      <c r="E56" s="38"/>
      <c r="F56" s="38"/>
      <c r="G56" s="39"/>
      <c r="H56" s="38"/>
      <c r="I56" s="38"/>
      <c r="J56" s="77"/>
      <c r="K56" s="41"/>
      <c r="L56" s="41"/>
      <c r="M56" s="41"/>
      <c r="N56" s="41"/>
      <c r="O56" s="41"/>
      <c r="P56" s="38"/>
      <c r="Q56" s="38"/>
      <c r="R56" s="38"/>
    </row>
    <row r="57" spans="1:18" ht="15" customHeight="1">
      <c r="A57" s="77"/>
      <c r="B57" s="38"/>
      <c r="C57" s="38"/>
      <c r="D57" s="50"/>
      <c r="F57" s="38"/>
      <c r="G57" s="39"/>
      <c r="H57" s="38"/>
      <c r="I57" s="38"/>
      <c r="J57" s="77"/>
      <c r="K57" s="41"/>
      <c r="L57" s="41"/>
      <c r="M57" s="41"/>
      <c r="N57" s="41"/>
      <c r="O57" s="41"/>
      <c r="P57" s="38"/>
      <c r="Q57" s="38"/>
      <c r="R57" s="38"/>
    </row>
    <row r="58" spans="1:18" ht="15" customHeight="1">
      <c r="D58" s="360"/>
      <c r="F58" s="38"/>
      <c r="G58" s="39"/>
      <c r="H58" s="38"/>
      <c r="I58" s="38"/>
      <c r="J58" s="77"/>
      <c r="K58" s="41"/>
      <c r="L58" s="41"/>
      <c r="M58" s="41"/>
      <c r="N58" s="41"/>
      <c r="O58" s="41"/>
      <c r="P58" s="38"/>
      <c r="Q58" s="38"/>
      <c r="R58" s="38"/>
    </row>
    <row r="59" spans="1:18" ht="15" customHeight="1">
      <c r="F59" s="38"/>
      <c r="G59" s="39"/>
      <c r="H59" s="38"/>
      <c r="I59" s="38"/>
      <c r="J59" s="77"/>
      <c r="K59" s="41"/>
      <c r="L59" s="41"/>
      <c r="M59" s="41"/>
      <c r="N59" s="41"/>
      <c r="O59" s="41"/>
      <c r="P59" s="38"/>
      <c r="Q59" s="38"/>
      <c r="R59" s="38"/>
    </row>
    <row r="60" spans="1:18" ht="15" customHeight="1">
      <c r="F60" s="38"/>
      <c r="G60" s="39"/>
      <c r="H60" s="38"/>
      <c r="I60" s="38"/>
      <c r="J60" s="77"/>
      <c r="K60" s="41"/>
      <c r="L60" s="41"/>
      <c r="M60" s="41"/>
      <c r="N60" s="41"/>
      <c r="O60" s="41"/>
      <c r="P60" s="38"/>
      <c r="Q60" s="38"/>
      <c r="R60" s="38"/>
    </row>
    <row r="61" spans="1:18" ht="15" customHeight="1">
      <c r="F61" s="38"/>
      <c r="G61" s="39"/>
      <c r="H61" s="38"/>
      <c r="I61" s="38"/>
      <c r="J61" s="77"/>
      <c r="K61" s="41"/>
      <c r="L61" s="41"/>
      <c r="M61" s="41"/>
      <c r="N61" s="41"/>
      <c r="O61" s="41"/>
      <c r="P61" s="38"/>
      <c r="Q61" s="38"/>
      <c r="R61" s="38"/>
    </row>
    <row r="62" spans="1:18" ht="15" customHeight="1">
      <c r="F62" s="38"/>
      <c r="G62" s="39"/>
      <c r="H62" s="38"/>
      <c r="I62" s="38"/>
      <c r="J62" s="77"/>
      <c r="K62" s="41"/>
      <c r="L62" s="41"/>
      <c r="M62" s="41"/>
      <c r="N62" s="41"/>
      <c r="O62" s="41"/>
      <c r="P62" s="38"/>
      <c r="Q62" s="38"/>
      <c r="R62" s="38"/>
    </row>
    <row r="63" spans="1:18" ht="15" customHeight="1">
      <c r="F63" s="38"/>
      <c r="G63" s="39"/>
      <c r="H63" s="38"/>
      <c r="I63" s="38"/>
      <c r="J63" s="77"/>
      <c r="K63" s="41"/>
      <c r="L63" s="41"/>
      <c r="M63" s="41"/>
      <c r="N63" s="41"/>
      <c r="O63" s="41"/>
      <c r="P63" s="38"/>
      <c r="Q63" s="38"/>
      <c r="R63" s="38"/>
    </row>
    <row r="64" spans="1:18" ht="15" customHeight="1">
      <c r="F64" s="38"/>
      <c r="G64" s="39"/>
      <c r="H64" s="38"/>
      <c r="I64" s="38"/>
      <c r="J64" s="77"/>
      <c r="K64" s="41"/>
      <c r="L64" s="41"/>
      <c r="M64" s="41"/>
      <c r="N64" s="41"/>
      <c r="O64" s="41"/>
      <c r="P64" s="38"/>
      <c r="Q64" s="38"/>
      <c r="R64" s="38"/>
    </row>
    <row r="65" spans="6:18" ht="15" customHeight="1">
      <c r="F65" s="38"/>
      <c r="G65" s="39"/>
      <c r="H65" s="38"/>
      <c r="I65" s="38"/>
      <c r="J65" s="77"/>
      <c r="K65" s="41"/>
      <c r="L65" s="41"/>
      <c r="M65" s="41"/>
      <c r="N65" s="41"/>
      <c r="O65" s="41"/>
      <c r="P65" s="38"/>
      <c r="Q65" s="38"/>
      <c r="R65" s="38"/>
    </row>
    <row r="66" spans="6:18" ht="15" customHeight="1">
      <c r="F66" s="38"/>
      <c r="G66" s="39"/>
      <c r="H66" s="38"/>
      <c r="I66" s="38"/>
      <c r="J66" s="77"/>
      <c r="K66" s="41"/>
      <c r="L66" s="41"/>
      <c r="M66" s="41"/>
      <c r="N66" s="41"/>
      <c r="O66" s="41"/>
      <c r="P66" s="38"/>
      <c r="Q66" s="38"/>
      <c r="R66" s="38"/>
    </row>
    <row r="67" spans="6:18" ht="15" customHeight="1">
      <c r="F67" s="38"/>
      <c r="G67" s="39"/>
      <c r="H67" s="38"/>
      <c r="I67" s="38"/>
      <c r="J67" s="77"/>
      <c r="K67" s="41"/>
      <c r="L67" s="41"/>
      <c r="M67" s="41"/>
      <c r="N67" s="41"/>
      <c r="O67" s="41"/>
      <c r="P67" s="38"/>
      <c r="Q67" s="38"/>
      <c r="R67" s="38"/>
    </row>
    <row r="68" spans="6:18" ht="15" customHeight="1">
      <c r="F68" s="38"/>
      <c r="G68" s="39"/>
      <c r="H68" s="38"/>
      <c r="I68" s="38"/>
      <c r="J68" s="77"/>
      <c r="K68" s="41"/>
      <c r="L68" s="41"/>
      <c r="M68" s="41"/>
      <c r="N68" s="41"/>
      <c r="O68" s="41"/>
      <c r="P68" s="38"/>
      <c r="Q68" s="38"/>
      <c r="R68" s="38"/>
    </row>
    <row r="69" spans="6:18" ht="15" customHeight="1">
      <c r="F69" s="38"/>
      <c r="G69" s="39"/>
      <c r="H69" s="38"/>
      <c r="I69" s="38"/>
      <c r="J69" s="77"/>
      <c r="K69" s="41"/>
      <c r="L69" s="41"/>
      <c r="M69" s="41"/>
      <c r="N69" s="41"/>
      <c r="O69" s="41"/>
      <c r="P69" s="38"/>
      <c r="Q69" s="38"/>
      <c r="R69" s="38"/>
    </row>
    <row r="70" spans="6:18" ht="15" customHeight="1">
      <c r="F70" s="38"/>
      <c r="G70" s="39"/>
      <c r="H70" s="38"/>
      <c r="I70" s="38"/>
      <c r="J70" s="77"/>
      <c r="K70" s="41"/>
      <c r="L70" s="41"/>
      <c r="M70" s="41"/>
      <c r="N70" s="41"/>
      <c r="O70" s="41"/>
      <c r="P70" s="38"/>
      <c r="Q70" s="38"/>
      <c r="R70" s="38"/>
    </row>
    <row r="71" spans="6:18" ht="15" customHeight="1">
      <c r="F71" s="38"/>
      <c r="G71" s="39"/>
      <c r="H71" s="38"/>
      <c r="I71" s="38"/>
      <c r="J71" s="77"/>
      <c r="K71" s="41"/>
      <c r="L71" s="41"/>
      <c r="M71" s="41"/>
      <c r="N71" s="41"/>
      <c r="O71" s="41"/>
      <c r="P71" s="38"/>
      <c r="Q71" s="38"/>
      <c r="R71" s="38"/>
    </row>
    <row r="72" spans="6:18" ht="15" customHeight="1">
      <c r="F72" s="38"/>
      <c r="G72" s="39"/>
      <c r="H72" s="38"/>
      <c r="I72" s="38"/>
      <c r="J72" s="77"/>
      <c r="K72" s="41"/>
      <c r="L72" s="41"/>
      <c r="M72" s="41"/>
      <c r="N72" s="41"/>
      <c r="O72" s="41"/>
      <c r="P72" s="38"/>
      <c r="Q72" s="38"/>
      <c r="R72" s="38"/>
    </row>
    <row r="73" spans="6:18" ht="15" customHeight="1">
      <c r="F73" s="38"/>
      <c r="G73" s="39"/>
      <c r="H73" s="38"/>
      <c r="I73" s="38"/>
      <c r="J73" s="77"/>
      <c r="K73" s="41"/>
      <c r="L73" s="41"/>
      <c r="M73" s="41"/>
      <c r="N73" s="41"/>
      <c r="O73" s="41"/>
      <c r="P73" s="38"/>
      <c r="Q73" s="38"/>
      <c r="R73" s="38"/>
    </row>
    <row r="74" spans="6:18" ht="15" customHeight="1">
      <c r="F74" s="38"/>
      <c r="G74" s="39"/>
      <c r="H74" s="38"/>
      <c r="I74" s="38"/>
      <c r="J74" s="77"/>
      <c r="K74" s="41"/>
      <c r="L74" s="41"/>
      <c r="M74" s="41"/>
      <c r="N74" s="41"/>
      <c r="O74" s="41"/>
      <c r="P74" s="38"/>
      <c r="Q74" s="38"/>
      <c r="R74" s="38"/>
    </row>
    <row r="75" spans="6:18" ht="15" customHeight="1">
      <c r="F75" s="38"/>
      <c r="G75" s="39"/>
      <c r="H75" s="38"/>
      <c r="I75" s="38"/>
      <c r="J75" s="77"/>
      <c r="K75" s="41"/>
      <c r="L75" s="41"/>
      <c r="M75" s="41"/>
      <c r="N75" s="41"/>
      <c r="O75" s="41"/>
      <c r="P75" s="38"/>
      <c r="Q75" s="38"/>
      <c r="R75" s="38"/>
    </row>
    <row r="76" spans="6:18" ht="15" customHeight="1">
      <c r="F76" s="38"/>
      <c r="G76" s="39"/>
      <c r="H76" s="38"/>
      <c r="I76" s="38"/>
      <c r="J76" s="77"/>
      <c r="K76" s="41"/>
      <c r="L76" s="41"/>
      <c r="M76" s="41"/>
      <c r="N76" s="41"/>
      <c r="O76" s="41"/>
      <c r="P76" s="38"/>
      <c r="Q76" s="38"/>
      <c r="R76" s="38"/>
    </row>
    <row r="77" spans="6:18" ht="15" customHeight="1">
      <c r="F77" s="38"/>
      <c r="G77" s="39"/>
      <c r="H77" s="38"/>
      <c r="I77" s="38"/>
      <c r="J77" s="77"/>
      <c r="K77" s="41"/>
      <c r="L77" s="41"/>
      <c r="M77" s="41"/>
      <c r="N77" s="41"/>
      <c r="O77" s="41"/>
      <c r="P77" s="38"/>
      <c r="Q77" s="38"/>
      <c r="R77" s="38"/>
    </row>
    <row r="78" spans="6:18" ht="15" customHeight="1">
      <c r="F78" s="38"/>
      <c r="G78" s="39"/>
      <c r="H78" s="38"/>
      <c r="I78" s="38"/>
      <c r="J78" s="77"/>
      <c r="K78" s="41"/>
      <c r="L78" s="41"/>
      <c r="M78" s="41"/>
      <c r="N78" s="41"/>
      <c r="O78" s="41"/>
      <c r="P78" s="38"/>
      <c r="Q78" s="38"/>
      <c r="R78" s="38"/>
    </row>
    <row r="79" spans="6:18" ht="15" customHeight="1">
      <c r="F79" s="38"/>
      <c r="G79" s="39"/>
      <c r="H79" s="38"/>
      <c r="I79" s="38"/>
      <c r="J79" s="77"/>
      <c r="K79" s="41"/>
      <c r="L79" s="41"/>
      <c r="M79" s="41"/>
      <c r="N79" s="41"/>
      <c r="O79" s="41"/>
      <c r="P79" s="38"/>
      <c r="Q79" s="38"/>
      <c r="R79" s="38"/>
    </row>
    <row r="80" spans="6:18" ht="15" customHeight="1">
      <c r="F80" s="38"/>
      <c r="G80" s="39"/>
      <c r="H80" s="38"/>
      <c r="I80" s="38"/>
      <c r="J80" s="77"/>
      <c r="K80" s="41"/>
      <c r="L80" s="41"/>
      <c r="M80" s="41"/>
      <c r="N80" s="41"/>
      <c r="O80" s="41"/>
      <c r="P80" s="38"/>
      <c r="Q80" s="38"/>
      <c r="R80" s="38"/>
    </row>
    <row r="81" spans="6:18" ht="15" customHeight="1">
      <c r="F81" s="38"/>
      <c r="G81" s="39"/>
      <c r="H81" s="38"/>
      <c r="I81" s="38"/>
      <c r="J81" s="77"/>
      <c r="K81" s="41"/>
      <c r="L81" s="41"/>
      <c r="M81" s="41"/>
      <c r="N81" s="41"/>
      <c r="O81" s="41"/>
      <c r="P81" s="38"/>
      <c r="Q81" s="38"/>
      <c r="R81" s="38"/>
    </row>
    <row r="82" spans="6:18" ht="15" customHeight="1">
      <c r="F82" s="38"/>
      <c r="G82" s="39"/>
      <c r="H82" s="38"/>
      <c r="I82" s="38"/>
      <c r="J82" s="77"/>
      <c r="K82" s="41"/>
      <c r="L82" s="41"/>
      <c r="M82" s="41"/>
      <c r="N82" s="41"/>
      <c r="O82" s="41"/>
      <c r="P82" s="38"/>
      <c r="Q82" s="38"/>
      <c r="R82" s="38"/>
    </row>
    <row r="83" spans="6:18" ht="15" customHeight="1">
      <c r="F83" s="38"/>
      <c r="G83" s="39"/>
      <c r="H83" s="38"/>
      <c r="I83" s="38"/>
      <c r="J83" s="77"/>
      <c r="K83" s="41"/>
      <c r="L83" s="41"/>
      <c r="M83" s="41"/>
      <c r="N83" s="41"/>
      <c r="O83" s="41"/>
      <c r="P83" s="38"/>
      <c r="Q83" s="38"/>
      <c r="R83" s="38"/>
    </row>
    <row r="84" spans="6:18" ht="15" customHeight="1">
      <c r="F84" s="38"/>
      <c r="G84" s="39"/>
      <c r="H84" s="38"/>
      <c r="I84" s="38"/>
      <c r="J84" s="77"/>
      <c r="K84" s="41"/>
      <c r="L84" s="41"/>
      <c r="M84" s="41"/>
      <c r="N84" s="41"/>
      <c r="O84" s="41"/>
      <c r="P84" s="38"/>
      <c r="Q84" s="38"/>
      <c r="R84" s="38"/>
    </row>
    <row r="85" spans="6:18" ht="15" customHeight="1">
      <c r="F85" s="38"/>
      <c r="G85" s="39"/>
      <c r="H85" s="38"/>
      <c r="I85" s="38"/>
      <c r="J85" s="77"/>
      <c r="K85" s="41"/>
      <c r="L85" s="41"/>
      <c r="M85" s="41"/>
      <c r="N85" s="41"/>
      <c r="O85" s="41"/>
      <c r="P85" s="38"/>
      <c r="Q85" s="38"/>
      <c r="R85" s="38"/>
    </row>
    <row r="86" spans="6:18" ht="15" customHeight="1">
      <c r="F86" s="38"/>
      <c r="G86" s="39"/>
      <c r="H86" s="38"/>
      <c r="I86" s="38"/>
      <c r="J86" s="77"/>
      <c r="K86" s="41"/>
      <c r="L86" s="41"/>
      <c r="M86" s="41"/>
      <c r="N86" s="41"/>
      <c r="O86" s="41"/>
      <c r="P86" s="38"/>
      <c r="Q86" s="38"/>
      <c r="R86" s="38"/>
    </row>
    <row r="87" spans="6:18" ht="15" customHeight="1">
      <c r="F87" s="38"/>
      <c r="G87" s="39"/>
      <c r="H87" s="38"/>
      <c r="I87" s="38"/>
      <c r="J87" s="77"/>
      <c r="K87" s="41"/>
      <c r="L87" s="41"/>
      <c r="M87" s="41"/>
      <c r="N87" s="41"/>
      <c r="O87" s="41"/>
      <c r="P87" s="38"/>
      <c r="Q87" s="38"/>
      <c r="R87" s="38"/>
    </row>
    <row r="88" spans="6:18" ht="15" customHeight="1">
      <c r="F88" s="38"/>
      <c r="G88" s="39"/>
      <c r="H88" s="38"/>
      <c r="I88" s="38"/>
      <c r="J88" s="77"/>
      <c r="K88" s="41"/>
      <c r="L88" s="41"/>
      <c r="M88" s="41"/>
      <c r="N88" s="41"/>
      <c r="O88" s="41"/>
      <c r="P88" s="38"/>
      <c r="Q88" s="38"/>
      <c r="R88" s="38"/>
    </row>
    <row r="89" spans="6:18" ht="15" customHeight="1">
      <c r="F89" s="38"/>
      <c r="G89" s="39"/>
      <c r="H89" s="38"/>
      <c r="I89" s="38"/>
      <c r="J89" s="77"/>
      <c r="K89" s="41"/>
      <c r="L89" s="41"/>
      <c r="M89" s="41"/>
      <c r="N89" s="41"/>
      <c r="O89" s="41"/>
      <c r="P89" s="38"/>
      <c r="Q89" s="38"/>
      <c r="R89" s="38"/>
    </row>
    <row r="90" spans="6:18" ht="15" customHeight="1">
      <c r="F90" s="38"/>
      <c r="G90" s="39"/>
      <c r="H90" s="38"/>
      <c r="I90" s="38"/>
      <c r="J90" s="77"/>
      <c r="K90" s="41"/>
      <c r="L90" s="41"/>
      <c r="M90" s="41"/>
      <c r="N90" s="41"/>
      <c r="O90" s="41"/>
      <c r="P90" s="38"/>
      <c r="Q90" s="38"/>
      <c r="R90" s="38"/>
    </row>
    <row r="91" spans="6:18" ht="15" customHeight="1">
      <c r="F91" s="38"/>
      <c r="G91" s="39"/>
      <c r="H91" s="38"/>
      <c r="I91" s="38"/>
      <c r="J91" s="77"/>
      <c r="K91" s="41"/>
      <c r="L91" s="41"/>
      <c r="M91" s="41"/>
      <c r="N91" s="41"/>
      <c r="O91" s="41"/>
      <c r="P91" s="38"/>
      <c r="Q91" s="38"/>
      <c r="R91" s="38"/>
    </row>
    <row r="92" spans="6:18" ht="15" customHeight="1">
      <c r="F92" s="38"/>
      <c r="G92" s="39"/>
      <c r="H92" s="38"/>
      <c r="I92" s="38"/>
      <c r="J92" s="77"/>
      <c r="K92" s="41"/>
      <c r="L92" s="41"/>
      <c r="M92" s="41"/>
      <c r="N92" s="41"/>
      <c r="O92" s="41"/>
      <c r="P92" s="38"/>
      <c r="Q92" s="38"/>
      <c r="R92" s="38"/>
    </row>
    <row r="93" spans="6:18" ht="15" customHeight="1">
      <c r="F93" s="38"/>
      <c r="G93" s="39"/>
      <c r="H93" s="38"/>
      <c r="I93" s="38"/>
      <c r="J93" s="77"/>
      <c r="K93" s="41"/>
      <c r="L93" s="41"/>
      <c r="M93" s="41"/>
      <c r="N93" s="41"/>
      <c r="O93" s="41"/>
      <c r="P93" s="38"/>
      <c r="Q93" s="38"/>
      <c r="R93" s="38"/>
    </row>
    <row r="94" spans="6:18" ht="15" customHeight="1">
      <c r="F94" s="38"/>
      <c r="G94" s="39"/>
      <c r="H94" s="38"/>
      <c r="I94" s="38"/>
      <c r="J94" s="77"/>
      <c r="K94" s="41"/>
      <c r="L94" s="41"/>
      <c r="M94" s="41"/>
      <c r="N94" s="41"/>
      <c r="O94" s="41"/>
      <c r="P94" s="38"/>
      <c r="Q94" s="38"/>
      <c r="R94" s="38"/>
    </row>
    <row r="95" spans="6:18" ht="15" customHeight="1">
      <c r="F95" s="38"/>
      <c r="G95" s="39"/>
      <c r="H95" s="38"/>
      <c r="I95" s="38"/>
      <c r="J95" s="77"/>
      <c r="K95" s="41"/>
      <c r="L95" s="41"/>
      <c r="M95" s="41"/>
      <c r="N95" s="41"/>
      <c r="O95" s="41"/>
      <c r="P95" s="38"/>
      <c r="Q95" s="38"/>
      <c r="R95" s="38"/>
    </row>
    <row r="96" spans="6:18" ht="15" customHeight="1">
      <c r="F96" s="38"/>
      <c r="G96" s="39"/>
      <c r="H96" s="38"/>
      <c r="I96" s="38"/>
      <c r="J96" s="77"/>
      <c r="K96" s="41"/>
      <c r="L96" s="41"/>
      <c r="M96" s="41"/>
      <c r="N96" s="41"/>
      <c r="O96" s="41"/>
      <c r="P96" s="38"/>
      <c r="Q96" s="38"/>
      <c r="R96" s="38"/>
    </row>
    <row r="97" spans="6:18" ht="15" customHeight="1">
      <c r="F97" s="38"/>
      <c r="G97" s="39"/>
      <c r="H97" s="38"/>
      <c r="I97" s="38"/>
      <c r="J97" s="77"/>
      <c r="K97" s="41"/>
      <c r="L97" s="41"/>
      <c r="M97" s="41"/>
      <c r="N97" s="41"/>
      <c r="O97" s="41"/>
      <c r="P97" s="38"/>
      <c r="Q97" s="38"/>
      <c r="R97" s="38"/>
    </row>
    <row r="98" spans="6:18" ht="15" customHeight="1">
      <c r="F98" s="38"/>
      <c r="G98" s="39"/>
      <c r="H98" s="38"/>
      <c r="I98" s="38"/>
      <c r="J98" s="77"/>
      <c r="K98" s="41"/>
      <c r="L98" s="41"/>
      <c r="M98" s="41"/>
      <c r="N98" s="41"/>
      <c r="O98" s="41"/>
      <c r="P98" s="38"/>
      <c r="Q98" s="38"/>
      <c r="R98" s="38"/>
    </row>
    <row r="99" spans="6:18" ht="15" customHeight="1">
      <c r="F99" s="38"/>
      <c r="G99" s="39"/>
      <c r="H99" s="38"/>
      <c r="I99" s="38"/>
      <c r="J99" s="77"/>
      <c r="K99" s="41"/>
      <c r="L99" s="41"/>
      <c r="M99" s="41"/>
      <c r="N99" s="41"/>
      <c r="O99" s="41"/>
      <c r="P99" s="38"/>
      <c r="Q99" s="38"/>
      <c r="R99" s="38"/>
    </row>
    <row r="100" spans="6:18" ht="15" customHeight="1">
      <c r="F100" s="38"/>
      <c r="G100" s="39"/>
      <c r="H100" s="38"/>
      <c r="I100" s="38"/>
      <c r="J100" s="77"/>
      <c r="K100" s="41"/>
      <c r="L100" s="41"/>
      <c r="M100" s="41"/>
      <c r="N100" s="41"/>
      <c r="O100" s="41"/>
      <c r="P100" s="38"/>
      <c r="Q100" s="38"/>
      <c r="R100" s="38"/>
    </row>
    <row r="101" spans="6:18" ht="15" customHeight="1">
      <c r="F101" s="38"/>
      <c r="G101" s="39"/>
      <c r="H101" s="38"/>
      <c r="I101" s="38"/>
      <c r="J101" s="77"/>
      <c r="K101" s="41"/>
      <c r="L101" s="41"/>
      <c r="M101" s="41"/>
      <c r="N101" s="41"/>
      <c r="O101" s="41"/>
      <c r="P101" s="38"/>
      <c r="Q101" s="38"/>
      <c r="R101" s="38"/>
    </row>
    <row r="102" spans="6:18" ht="15" customHeight="1">
      <c r="F102" s="38"/>
      <c r="G102" s="39"/>
      <c r="H102" s="38"/>
      <c r="I102" s="38"/>
      <c r="J102" s="77"/>
      <c r="K102" s="41"/>
      <c r="L102" s="41"/>
      <c r="M102" s="41"/>
      <c r="N102" s="41"/>
      <c r="O102" s="41"/>
      <c r="P102" s="38"/>
      <c r="Q102" s="38"/>
      <c r="R102" s="38"/>
    </row>
    <row r="103" spans="6:18" ht="15" customHeight="1">
      <c r="F103" s="38"/>
      <c r="G103" s="39"/>
      <c r="H103" s="38"/>
      <c r="I103" s="38"/>
      <c r="J103" s="77"/>
      <c r="K103" s="41"/>
      <c r="L103" s="41"/>
      <c r="M103" s="41"/>
      <c r="N103" s="41"/>
      <c r="O103" s="41"/>
      <c r="P103" s="38"/>
      <c r="Q103" s="38"/>
      <c r="R103" s="38"/>
    </row>
    <row r="104" spans="6:18" ht="15" customHeight="1">
      <c r="F104" s="38"/>
      <c r="G104" s="39"/>
      <c r="H104" s="38"/>
      <c r="I104" s="38"/>
      <c r="J104" s="77"/>
      <c r="K104" s="41"/>
      <c r="L104" s="41"/>
      <c r="M104" s="41"/>
      <c r="N104" s="41"/>
      <c r="O104" s="41"/>
      <c r="P104" s="38"/>
      <c r="Q104" s="38"/>
      <c r="R104" s="38"/>
    </row>
    <row r="105" spans="6:18" ht="15" customHeight="1">
      <c r="F105" s="38"/>
      <c r="G105" s="39"/>
      <c r="H105" s="38"/>
      <c r="I105" s="38"/>
      <c r="J105" s="77"/>
      <c r="K105" s="41"/>
      <c r="L105" s="41"/>
      <c r="M105" s="41"/>
      <c r="N105" s="41"/>
      <c r="O105" s="41"/>
      <c r="P105" s="38"/>
      <c r="Q105" s="38"/>
      <c r="R105" s="38"/>
    </row>
    <row r="106" spans="6:18" ht="15" customHeight="1">
      <c r="F106" s="38"/>
      <c r="G106" s="39"/>
      <c r="H106" s="38"/>
      <c r="I106" s="38"/>
      <c r="J106" s="77"/>
      <c r="K106" s="41"/>
      <c r="L106" s="41"/>
      <c r="M106" s="41"/>
      <c r="N106" s="41"/>
      <c r="O106" s="41"/>
      <c r="P106" s="38"/>
      <c r="Q106" s="38"/>
      <c r="R106" s="38"/>
    </row>
    <row r="107" spans="6:18" ht="15" customHeight="1">
      <c r="F107" s="38"/>
      <c r="G107" s="39"/>
      <c r="H107" s="38"/>
      <c r="I107" s="38"/>
      <c r="J107" s="77"/>
      <c r="K107" s="41"/>
      <c r="L107" s="41"/>
      <c r="M107" s="41"/>
      <c r="N107" s="41"/>
      <c r="O107" s="41"/>
      <c r="P107" s="38"/>
      <c r="Q107" s="38"/>
      <c r="R107" s="38"/>
    </row>
    <row r="108" spans="6:18" ht="15" customHeight="1">
      <c r="F108" s="38"/>
      <c r="G108" s="39"/>
      <c r="H108" s="38"/>
      <c r="I108" s="38"/>
      <c r="J108" s="77"/>
      <c r="K108" s="41"/>
      <c r="L108" s="41"/>
      <c r="M108" s="41"/>
      <c r="N108" s="41"/>
      <c r="O108" s="41"/>
      <c r="P108" s="38"/>
      <c r="Q108" s="38"/>
      <c r="R108" s="38"/>
    </row>
    <row r="109" spans="6:18" ht="15" customHeight="1">
      <c r="F109" s="38"/>
      <c r="G109" s="39"/>
      <c r="H109" s="38"/>
      <c r="I109" s="38"/>
      <c r="J109" s="77"/>
      <c r="K109" s="41"/>
      <c r="L109" s="41"/>
      <c r="M109" s="41"/>
      <c r="N109" s="41"/>
      <c r="O109" s="41"/>
      <c r="P109" s="38"/>
      <c r="Q109" s="38"/>
      <c r="R109" s="38"/>
    </row>
    <row r="110" spans="6:18" ht="15" customHeight="1">
      <c r="F110" s="38"/>
      <c r="G110" s="39"/>
      <c r="H110" s="38"/>
      <c r="I110" s="38"/>
      <c r="J110" s="77"/>
      <c r="K110" s="41"/>
      <c r="L110" s="41"/>
      <c r="M110" s="41"/>
      <c r="N110" s="41"/>
      <c r="O110" s="41"/>
      <c r="P110" s="38"/>
      <c r="Q110" s="38"/>
      <c r="R110" s="38"/>
    </row>
    <row r="111" spans="6:18" ht="15" customHeight="1">
      <c r="F111" s="38"/>
      <c r="G111" s="39"/>
      <c r="H111" s="38"/>
      <c r="I111" s="38"/>
      <c r="J111" s="77"/>
      <c r="K111" s="41"/>
      <c r="L111" s="41"/>
      <c r="M111" s="41"/>
      <c r="N111" s="41"/>
      <c r="O111" s="41"/>
      <c r="P111" s="38"/>
      <c r="Q111" s="38"/>
      <c r="R111" s="38"/>
    </row>
    <row r="112" spans="6:18" ht="15" customHeight="1">
      <c r="F112" s="38"/>
      <c r="G112" s="39"/>
      <c r="H112" s="38"/>
      <c r="I112" s="38"/>
      <c r="J112" s="77"/>
      <c r="K112" s="41"/>
      <c r="L112" s="41"/>
      <c r="M112" s="41"/>
      <c r="N112" s="41"/>
      <c r="O112" s="41"/>
      <c r="P112" s="38"/>
      <c r="Q112" s="38"/>
      <c r="R112" s="38"/>
    </row>
    <row r="113" spans="6:18" ht="15" customHeight="1">
      <c r="F113" s="38"/>
      <c r="G113" s="39"/>
      <c r="H113" s="38"/>
      <c r="I113" s="38"/>
      <c r="J113" s="77"/>
      <c r="K113" s="41"/>
      <c r="L113" s="41"/>
      <c r="M113" s="41"/>
      <c r="N113" s="41"/>
      <c r="O113" s="41"/>
      <c r="P113" s="38"/>
      <c r="Q113" s="38"/>
      <c r="R113" s="38"/>
    </row>
    <row r="114" spans="6:18" ht="15" customHeight="1">
      <c r="F114" s="38"/>
      <c r="G114" s="39"/>
      <c r="H114" s="38"/>
      <c r="I114" s="38"/>
      <c r="J114" s="77"/>
      <c r="K114" s="41"/>
      <c r="L114" s="41"/>
      <c r="M114" s="41"/>
      <c r="N114" s="41"/>
      <c r="O114" s="41"/>
      <c r="P114" s="38"/>
      <c r="Q114" s="38"/>
      <c r="R114" s="38"/>
    </row>
    <row r="115" spans="6:18" ht="15" customHeight="1">
      <c r="F115" s="38"/>
      <c r="G115" s="39"/>
      <c r="H115" s="38"/>
      <c r="I115" s="38"/>
      <c r="J115" s="77"/>
      <c r="K115" s="41"/>
      <c r="L115" s="41"/>
      <c r="M115" s="41"/>
      <c r="N115" s="41"/>
      <c r="O115" s="41"/>
      <c r="P115" s="38"/>
      <c r="Q115" s="38"/>
      <c r="R115" s="38"/>
    </row>
    <row r="116" spans="6:18" ht="15" customHeight="1">
      <c r="F116" s="38"/>
      <c r="G116" s="39"/>
      <c r="H116" s="38"/>
      <c r="I116" s="38"/>
      <c r="J116" s="77"/>
      <c r="K116" s="41"/>
      <c r="L116" s="41"/>
      <c r="M116" s="41"/>
      <c r="N116" s="41"/>
      <c r="O116" s="41"/>
      <c r="P116" s="38"/>
      <c r="Q116" s="38"/>
      <c r="R116" s="38"/>
    </row>
    <row r="117" spans="6:18" ht="15" customHeight="1">
      <c r="F117" s="38"/>
      <c r="G117" s="39"/>
      <c r="H117" s="38"/>
      <c r="I117" s="38"/>
      <c r="J117" s="77"/>
      <c r="K117" s="41"/>
      <c r="L117" s="41"/>
      <c r="M117" s="41"/>
      <c r="N117" s="41"/>
      <c r="O117" s="41"/>
      <c r="P117" s="38"/>
      <c r="Q117" s="38"/>
      <c r="R117" s="38"/>
    </row>
    <row r="118" spans="6:18" ht="15" customHeight="1">
      <c r="F118" s="38"/>
      <c r="G118" s="39"/>
      <c r="H118" s="38"/>
      <c r="I118" s="38"/>
      <c r="J118" s="77"/>
      <c r="K118" s="41"/>
      <c r="L118" s="41"/>
      <c r="M118" s="41"/>
      <c r="N118" s="41"/>
      <c r="O118" s="41"/>
      <c r="P118" s="38"/>
      <c r="Q118" s="38"/>
      <c r="R118" s="38"/>
    </row>
    <row r="119" spans="6:18" ht="15" customHeight="1">
      <c r="F119" s="38"/>
      <c r="G119" s="39"/>
      <c r="H119" s="38"/>
      <c r="I119" s="38"/>
      <c r="J119" s="77"/>
      <c r="K119" s="41"/>
      <c r="L119" s="41"/>
      <c r="M119" s="41"/>
      <c r="N119" s="41"/>
      <c r="O119" s="41"/>
      <c r="P119" s="38"/>
      <c r="Q119" s="38"/>
      <c r="R119" s="38"/>
    </row>
    <row r="120" spans="6:18" ht="15" customHeight="1">
      <c r="F120" s="38"/>
      <c r="G120" s="39"/>
      <c r="H120" s="38"/>
      <c r="I120" s="38"/>
      <c r="J120" s="77"/>
      <c r="K120" s="41"/>
      <c r="L120" s="41"/>
      <c r="M120" s="41"/>
      <c r="N120" s="41"/>
      <c r="O120" s="41"/>
      <c r="P120" s="38"/>
      <c r="Q120" s="38"/>
      <c r="R120" s="38"/>
    </row>
    <row r="121" spans="6:18" ht="15" customHeight="1">
      <c r="F121" s="38"/>
      <c r="G121" s="39"/>
      <c r="H121" s="38"/>
      <c r="I121" s="38"/>
      <c r="J121" s="77"/>
      <c r="K121" s="41"/>
      <c r="L121" s="41"/>
      <c r="M121" s="41"/>
      <c r="N121" s="41"/>
      <c r="O121" s="41"/>
      <c r="P121" s="38"/>
      <c r="Q121" s="38"/>
      <c r="R121" s="38"/>
    </row>
    <row r="122" spans="6:18" ht="15" customHeight="1">
      <c r="F122" s="38"/>
      <c r="G122" s="39"/>
      <c r="H122" s="38"/>
      <c r="I122" s="38"/>
      <c r="J122" s="77"/>
      <c r="K122" s="41"/>
      <c r="L122" s="41"/>
      <c r="M122" s="41"/>
      <c r="N122" s="41"/>
      <c r="O122" s="41"/>
      <c r="P122" s="38"/>
      <c r="Q122" s="38"/>
      <c r="R122" s="38"/>
    </row>
    <row r="123" spans="6:18" ht="15" customHeight="1">
      <c r="F123" s="38"/>
      <c r="G123" s="39"/>
      <c r="H123" s="38"/>
      <c r="I123" s="38"/>
      <c r="J123" s="77"/>
      <c r="K123" s="41"/>
      <c r="L123" s="41"/>
      <c r="M123" s="41"/>
      <c r="N123" s="41"/>
      <c r="O123" s="41"/>
      <c r="P123" s="38"/>
      <c r="Q123" s="38"/>
      <c r="R123" s="38"/>
    </row>
    <row r="124" spans="6:18" ht="15" customHeight="1">
      <c r="F124" s="38"/>
      <c r="G124" s="39"/>
      <c r="H124" s="38"/>
      <c r="I124" s="38"/>
      <c r="J124" s="77"/>
      <c r="K124" s="41"/>
      <c r="L124" s="41"/>
      <c r="M124" s="41"/>
      <c r="N124" s="41"/>
      <c r="O124" s="41"/>
      <c r="P124" s="38"/>
      <c r="Q124" s="38"/>
      <c r="R124" s="38"/>
    </row>
    <row r="125" spans="6:18" ht="15" customHeight="1">
      <c r="F125" s="38"/>
      <c r="G125" s="39"/>
      <c r="H125" s="38"/>
      <c r="I125" s="38"/>
      <c r="J125" s="77"/>
      <c r="K125" s="41"/>
      <c r="L125" s="41"/>
      <c r="M125" s="41"/>
      <c r="N125" s="41"/>
      <c r="O125" s="41"/>
      <c r="P125" s="38"/>
      <c r="Q125" s="38"/>
      <c r="R125" s="38"/>
    </row>
    <row r="126" spans="6:18" ht="15" customHeight="1">
      <c r="F126" s="38"/>
      <c r="G126" s="39"/>
      <c r="H126" s="38"/>
      <c r="I126" s="38"/>
      <c r="J126" s="77"/>
      <c r="K126" s="41"/>
      <c r="L126" s="41"/>
      <c r="M126" s="41"/>
      <c r="N126" s="41"/>
      <c r="O126" s="41"/>
      <c r="P126" s="38"/>
      <c r="Q126" s="38"/>
      <c r="R126" s="38"/>
    </row>
    <row r="127" spans="6:18" ht="15" customHeight="1">
      <c r="F127" s="38"/>
      <c r="G127" s="39"/>
      <c r="H127" s="38"/>
      <c r="I127" s="38"/>
      <c r="J127" s="77"/>
      <c r="K127" s="41"/>
      <c r="L127" s="41"/>
      <c r="M127" s="41"/>
      <c r="N127" s="41"/>
      <c r="O127" s="41"/>
      <c r="P127" s="38"/>
      <c r="Q127" s="38"/>
      <c r="R127" s="38"/>
    </row>
    <row r="128" spans="6:18" ht="15" customHeight="1">
      <c r="F128" s="38"/>
      <c r="G128" s="39"/>
      <c r="H128" s="38"/>
      <c r="I128" s="38"/>
      <c r="J128" s="77"/>
      <c r="K128" s="41"/>
      <c r="L128" s="41"/>
      <c r="M128" s="41"/>
      <c r="N128" s="41"/>
      <c r="O128" s="41"/>
      <c r="P128" s="38"/>
      <c r="Q128" s="38"/>
      <c r="R128" s="38"/>
    </row>
    <row r="129" spans="6:18" ht="15" customHeight="1">
      <c r="F129" s="38"/>
      <c r="G129" s="39"/>
      <c r="H129" s="38"/>
      <c r="I129" s="38"/>
      <c r="J129" s="77"/>
      <c r="K129" s="41"/>
      <c r="L129" s="41"/>
      <c r="M129" s="41"/>
      <c r="N129" s="41"/>
      <c r="O129" s="41"/>
      <c r="P129" s="38"/>
      <c r="Q129" s="38"/>
      <c r="R129" s="38"/>
    </row>
    <row r="130" spans="6:18" ht="15" customHeight="1">
      <c r="F130" s="38"/>
      <c r="G130" s="39"/>
      <c r="H130" s="38"/>
      <c r="I130" s="38"/>
      <c r="J130" s="77"/>
      <c r="K130" s="41"/>
      <c r="L130" s="41"/>
      <c r="M130" s="41"/>
      <c r="N130" s="41"/>
      <c r="O130" s="41"/>
      <c r="P130" s="38"/>
      <c r="Q130" s="38"/>
      <c r="R130" s="38"/>
    </row>
    <row r="131" spans="6:18" ht="15" customHeight="1">
      <c r="F131" s="38"/>
      <c r="G131" s="39"/>
      <c r="H131" s="38"/>
      <c r="I131" s="38"/>
      <c r="J131" s="77"/>
      <c r="K131" s="41"/>
      <c r="L131" s="41"/>
      <c r="M131" s="41"/>
      <c r="N131" s="41"/>
      <c r="O131" s="41"/>
      <c r="P131" s="38"/>
      <c r="Q131" s="38"/>
      <c r="R131" s="38"/>
    </row>
    <row r="132" spans="6:18" ht="15" customHeight="1">
      <c r="F132" s="38"/>
      <c r="G132" s="39"/>
      <c r="H132" s="38"/>
      <c r="I132" s="38"/>
      <c r="J132" s="77"/>
      <c r="K132" s="41"/>
      <c r="L132" s="41"/>
      <c r="M132" s="41"/>
      <c r="N132" s="41"/>
      <c r="O132" s="41"/>
      <c r="P132" s="38"/>
      <c r="Q132" s="38"/>
      <c r="R132" s="38"/>
    </row>
    <row r="133" spans="6:18" ht="15" customHeight="1">
      <c r="F133" s="38"/>
      <c r="G133" s="39"/>
      <c r="H133" s="38"/>
      <c r="I133" s="38"/>
      <c r="J133" s="77"/>
      <c r="K133" s="41"/>
      <c r="L133" s="41"/>
      <c r="M133" s="41"/>
      <c r="N133" s="41"/>
      <c r="O133" s="41"/>
      <c r="P133" s="38"/>
      <c r="Q133" s="38"/>
      <c r="R133" s="38"/>
    </row>
    <row r="134" spans="6:18" ht="15" customHeight="1">
      <c r="F134" s="38"/>
      <c r="G134" s="39"/>
      <c r="H134" s="38"/>
      <c r="I134" s="38"/>
      <c r="J134" s="77"/>
      <c r="K134" s="41"/>
      <c r="L134" s="41"/>
      <c r="M134" s="41"/>
      <c r="N134" s="41"/>
      <c r="O134" s="41"/>
      <c r="P134" s="38"/>
      <c r="Q134" s="38"/>
      <c r="R134" s="38"/>
    </row>
    <row r="135" spans="6:18" ht="15" customHeight="1">
      <c r="F135" s="38"/>
      <c r="G135" s="39"/>
      <c r="H135" s="38"/>
      <c r="I135" s="38"/>
      <c r="J135" s="77"/>
      <c r="K135" s="41"/>
      <c r="L135" s="41"/>
      <c r="M135" s="41"/>
      <c r="N135" s="41"/>
      <c r="O135" s="41"/>
      <c r="P135" s="38"/>
      <c r="Q135" s="38"/>
      <c r="R135" s="38"/>
    </row>
    <row r="136" spans="6:18" ht="15" customHeight="1">
      <c r="F136" s="38"/>
      <c r="G136" s="39"/>
      <c r="H136" s="38"/>
      <c r="I136" s="38"/>
      <c r="J136" s="77"/>
      <c r="K136" s="41"/>
      <c r="L136" s="41"/>
      <c r="M136" s="41"/>
      <c r="N136" s="41"/>
      <c r="O136" s="41"/>
      <c r="P136" s="38"/>
      <c r="Q136" s="38"/>
      <c r="R136" s="38"/>
    </row>
    <row r="137" spans="6:18" ht="15" customHeight="1">
      <c r="F137" s="38"/>
      <c r="G137" s="39"/>
      <c r="H137" s="38"/>
      <c r="I137" s="38"/>
      <c r="J137" s="77"/>
      <c r="K137" s="41"/>
      <c r="L137" s="41"/>
      <c r="M137" s="41"/>
      <c r="N137" s="41"/>
      <c r="O137" s="41"/>
      <c r="P137" s="38"/>
      <c r="Q137" s="38"/>
      <c r="R137" s="38"/>
    </row>
    <row r="138" spans="6:18" ht="15" customHeight="1">
      <c r="F138" s="38"/>
      <c r="G138" s="39"/>
      <c r="H138" s="38"/>
      <c r="I138" s="38"/>
      <c r="J138" s="77"/>
      <c r="K138" s="41"/>
      <c r="L138" s="41"/>
      <c r="M138" s="41"/>
      <c r="N138" s="41"/>
      <c r="O138" s="41"/>
      <c r="P138" s="38"/>
      <c r="Q138" s="38"/>
      <c r="R138" s="38"/>
    </row>
    <row r="139" spans="6:18" ht="15" customHeight="1">
      <c r="F139" s="38"/>
      <c r="G139" s="39"/>
      <c r="H139" s="38"/>
      <c r="I139" s="38"/>
      <c r="J139" s="77"/>
      <c r="K139" s="41"/>
      <c r="L139" s="41"/>
      <c r="M139" s="41"/>
      <c r="N139" s="41"/>
      <c r="O139" s="41"/>
      <c r="P139" s="38"/>
      <c r="Q139" s="38"/>
      <c r="R139" s="38"/>
    </row>
    <row r="140" spans="6:18" ht="15" customHeight="1">
      <c r="F140" s="38"/>
      <c r="G140" s="39"/>
      <c r="H140" s="38"/>
      <c r="I140" s="38"/>
      <c r="J140" s="77"/>
      <c r="K140" s="41"/>
      <c r="L140" s="41"/>
      <c r="M140" s="41"/>
      <c r="N140" s="41"/>
      <c r="O140" s="41"/>
      <c r="P140" s="38"/>
      <c r="Q140" s="38"/>
      <c r="R140" s="38"/>
    </row>
    <row r="141" spans="6:18" ht="15" customHeight="1">
      <c r="F141" s="38"/>
      <c r="G141" s="39"/>
      <c r="H141" s="38"/>
      <c r="I141" s="38"/>
      <c r="J141" s="77"/>
      <c r="K141" s="41"/>
      <c r="L141" s="41"/>
      <c r="M141" s="41"/>
      <c r="N141" s="41"/>
      <c r="O141" s="41"/>
      <c r="P141" s="38"/>
      <c r="Q141" s="38"/>
      <c r="R141" s="38"/>
    </row>
    <row r="142" spans="6:18" ht="15" customHeight="1">
      <c r="F142" s="38"/>
      <c r="G142" s="39"/>
      <c r="H142" s="38"/>
      <c r="I142" s="38"/>
      <c r="J142" s="77"/>
      <c r="K142" s="41"/>
      <c r="L142" s="41"/>
      <c r="M142" s="41"/>
      <c r="N142" s="41"/>
      <c r="O142" s="41"/>
      <c r="P142" s="38"/>
      <c r="Q142" s="38"/>
      <c r="R142" s="38"/>
    </row>
    <row r="143" spans="6:18" ht="15" customHeight="1">
      <c r="F143" s="38"/>
      <c r="G143" s="39"/>
      <c r="H143" s="38"/>
      <c r="I143" s="38"/>
      <c r="J143" s="77"/>
      <c r="K143" s="41"/>
      <c r="L143" s="41"/>
      <c r="M143" s="41"/>
      <c r="N143" s="41"/>
      <c r="O143" s="41"/>
      <c r="P143" s="38"/>
      <c r="Q143" s="38"/>
      <c r="R143" s="38"/>
    </row>
    <row r="144" spans="6:18" ht="15" customHeight="1">
      <c r="F144" s="38"/>
      <c r="G144" s="39"/>
      <c r="H144" s="38"/>
      <c r="I144" s="38"/>
      <c r="J144" s="77"/>
      <c r="K144" s="41"/>
      <c r="L144" s="41"/>
      <c r="M144" s="41"/>
      <c r="N144" s="41"/>
      <c r="O144" s="41"/>
      <c r="P144" s="38"/>
      <c r="Q144" s="38"/>
      <c r="R144" s="38"/>
    </row>
    <row r="145" spans="6:18" ht="15" customHeight="1">
      <c r="F145" s="38"/>
      <c r="G145" s="39"/>
      <c r="H145" s="38"/>
      <c r="I145" s="38"/>
      <c r="J145" s="77"/>
      <c r="K145" s="41"/>
      <c r="L145" s="41"/>
      <c r="M145" s="41"/>
      <c r="N145" s="41"/>
      <c r="O145" s="41"/>
      <c r="P145" s="38"/>
      <c r="Q145" s="38"/>
      <c r="R145" s="38"/>
    </row>
    <row r="146" spans="6:18" ht="15" customHeight="1">
      <c r="F146" s="38"/>
      <c r="G146" s="39"/>
      <c r="H146" s="38"/>
      <c r="I146" s="38"/>
      <c r="J146" s="77"/>
      <c r="K146" s="41"/>
      <c r="L146" s="41"/>
      <c r="M146" s="41"/>
      <c r="N146" s="41"/>
      <c r="O146" s="41"/>
      <c r="P146" s="38"/>
      <c r="Q146" s="38"/>
      <c r="R146" s="38"/>
    </row>
    <row r="147" spans="6:18" ht="15" customHeight="1">
      <c r="F147" s="38"/>
      <c r="G147" s="39"/>
      <c r="H147" s="38"/>
      <c r="I147" s="38"/>
      <c r="J147" s="77"/>
      <c r="K147" s="41"/>
      <c r="L147" s="41"/>
      <c r="M147" s="41"/>
      <c r="N147" s="41"/>
      <c r="O147" s="41"/>
      <c r="P147" s="38"/>
      <c r="Q147" s="38"/>
      <c r="R147" s="38"/>
    </row>
    <row r="148" spans="6:18" ht="15" customHeight="1">
      <c r="F148" s="38"/>
      <c r="G148" s="39"/>
      <c r="H148" s="38"/>
      <c r="I148" s="38"/>
      <c r="J148" s="77"/>
      <c r="K148" s="41"/>
      <c r="L148" s="41"/>
      <c r="M148" s="41"/>
      <c r="N148" s="41"/>
      <c r="O148" s="41"/>
      <c r="P148" s="38"/>
      <c r="Q148" s="38"/>
      <c r="R148" s="38"/>
    </row>
    <row r="149" spans="6:18" ht="15" customHeight="1">
      <c r="F149" s="38"/>
      <c r="G149" s="39"/>
      <c r="H149" s="38"/>
      <c r="I149" s="38"/>
      <c r="J149" s="77"/>
      <c r="K149" s="41"/>
      <c r="L149" s="41"/>
      <c r="M149" s="41"/>
      <c r="N149" s="41"/>
      <c r="O149" s="41"/>
      <c r="P149" s="38"/>
      <c r="Q149" s="38"/>
      <c r="R149" s="38"/>
    </row>
    <row r="150" spans="6:18" ht="15" customHeight="1">
      <c r="F150" s="38"/>
      <c r="G150" s="39"/>
      <c r="H150" s="38"/>
      <c r="I150" s="38"/>
      <c r="J150" s="77"/>
      <c r="K150" s="41"/>
      <c r="L150" s="41"/>
      <c r="M150" s="41"/>
      <c r="N150" s="41"/>
      <c r="O150" s="41"/>
      <c r="P150" s="38"/>
      <c r="Q150" s="38"/>
      <c r="R150" s="38"/>
    </row>
    <row r="151" spans="6:18" ht="15" customHeight="1">
      <c r="F151" s="38"/>
      <c r="G151" s="39"/>
      <c r="H151" s="38"/>
      <c r="I151" s="38"/>
      <c r="J151" s="77"/>
      <c r="K151" s="41"/>
      <c r="L151" s="41"/>
      <c r="M151" s="41"/>
      <c r="N151" s="41"/>
      <c r="O151" s="41"/>
      <c r="P151" s="38"/>
      <c r="Q151" s="38"/>
      <c r="R151" s="38"/>
    </row>
    <row r="152" spans="6:18" ht="15" customHeight="1">
      <c r="F152" s="38"/>
      <c r="G152" s="39"/>
      <c r="H152" s="38"/>
      <c r="I152" s="38"/>
      <c r="J152" s="77"/>
      <c r="K152" s="41"/>
      <c r="L152" s="41"/>
      <c r="M152" s="41"/>
      <c r="N152" s="41"/>
      <c r="O152" s="41"/>
      <c r="P152" s="38"/>
      <c r="Q152" s="38"/>
      <c r="R152" s="38"/>
    </row>
    <row r="153" spans="6:18" ht="15" customHeight="1">
      <c r="F153" s="38"/>
      <c r="G153" s="39"/>
      <c r="H153" s="38"/>
      <c r="I153" s="38"/>
      <c r="J153" s="77"/>
      <c r="K153" s="41"/>
      <c r="L153" s="41"/>
      <c r="M153" s="41"/>
      <c r="N153" s="41"/>
      <c r="O153" s="41"/>
      <c r="P153" s="38"/>
      <c r="Q153" s="38"/>
      <c r="R153" s="38"/>
    </row>
    <row r="154" spans="6:18" ht="15" customHeight="1">
      <c r="F154" s="38"/>
      <c r="G154" s="39"/>
      <c r="H154" s="38"/>
      <c r="I154" s="38"/>
      <c r="J154" s="77"/>
      <c r="K154" s="41"/>
      <c r="L154" s="41"/>
      <c r="M154" s="41"/>
      <c r="N154" s="41"/>
      <c r="O154" s="41"/>
      <c r="P154" s="38"/>
      <c r="Q154" s="38"/>
      <c r="R154" s="38"/>
    </row>
    <row r="155" spans="6:18" ht="15" customHeight="1">
      <c r="G155" s="39"/>
      <c r="H155" s="38"/>
      <c r="I155" s="38"/>
      <c r="J155" s="77"/>
      <c r="K155" s="41"/>
      <c r="L155" s="41"/>
      <c r="M155" s="41"/>
      <c r="N155" s="41"/>
      <c r="O155" s="41"/>
      <c r="P155" s="38"/>
      <c r="Q155" s="38"/>
      <c r="R155" s="38"/>
    </row>
    <row r="156" spans="6:18" ht="15" customHeight="1">
      <c r="G156" s="39"/>
      <c r="H156" s="38"/>
      <c r="I156" s="38"/>
      <c r="J156" s="77"/>
      <c r="K156" s="41"/>
      <c r="L156" s="41"/>
      <c r="M156" s="41"/>
      <c r="N156" s="41"/>
      <c r="O156" s="41"/>
      <c r="P156" s="38"/>
      <c r="Q156" s="38"/>
      <c r="R156" s="38"/>
    </row>
    <row r="157" spans="6:18" ht="15" customHeight="1">
      <c r="G157" s="39"/>
      <c r="H157" s="38"/>
      <c r="I157" s="38"/>
      <c r="J157" s="77"/>
      <c r="K157" s="41"/>
      <c r="L157" s="41"/>
      <c r="M157" s="41"/>
      <c r="N157" s="41"/>
      <c r="O157" s="41"/>
      <c r="P157" s="38"/>
      <c r="Q157" s="38"/>
      <c r="R157" s="38"/>
    </row>
    <row r="158" spans="6:18" ht="15" customHeight="1">
      <c r="G158" s="39"/>
      <c r="H158" s="38"/>
      <c r="I158" s="38"/>
      <c r="J158" s="77"/>
      <c r="K158" s="41"/>
      <c r="L158" s="41"/>
      <c r="M158" s="41"/>
      <c r="N158" s="41"/>
      <c r="O158" s="41"/>
      <c r="P158" s="38"/>
      <c r="Q158" s="38"/>
      <c r="R158" s="38"/>
    </row>
  </sheetData>
  <sheetProtection algorithmName="SHA-512" hashValue="soJ+AeKJmspthf63cOF9YIiIINgx0QUhuDXHYeev1x52RubkfIKOIUwqBMmJM79oYjmVeg5d0zo4V8okqzC/8w==" saltValue="TH2IXxXE3BlNKmEJAxmnlg==" spinCount="100000" sheet="1" objects="1" scenarios="1" autoFilter="0"/>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52" fitToHeight="0" orientation="portrait" horizontalDpi="1200" verticalDpi="1200" r:id="rId1"/>
  <headerFooter alignWithMargins="0">
    <oddFooter>&amp;L&amp;F&amp;C&amp;D&amp;R&amp;A</oddFooter>
  </headerFooter>
  <rowBreaks count="1" manualBreakCount="1">
    <brk id="6"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108"/>
  <sheetViews>
    <sheetView view="pageBreakPreview" zoomScaleNormal="40" zoomScaleSheetLayoutView="100" workbookViewId="0">
      <pane ySplit="4" topLeftCell="A5" activePane="bottomLeft" state="frozen"/>
      <selection activeCell="T6105" sqref="T6105"/>
      <selection pane="bottomLeft" activeCell="I20" sqref="I20"/>
    </sheetView>
  </sheetViews>
  <sheetFormatPr defaultColWidth="10.33203125" defaultRowHeight="15" customHeight="1"/>
  <cols>
    <col min="1" max="1" width="7.88671875" style="32" customWidth="1"/>
    <col min="2" max="2" width="25" style="88" customWidth="1"/>
    <col min="3" max="3" width="12.33203125" style="88" bestFit="1" customWidth="1"/>
    <col min="4" max="4" width="10.109375" style="88" customWidth="1"/>
    <col min="5" max="5" width="14.33203125" style="88" customWidth="1"/>
    <col min="6" max="6" width="10.33203125" style="28" customWidth="1"/>
    <col min="7" max="7" width="13.44140625" style="32" bestFit="1" customWidth="1"/>
    <col min="8" max="8" width="11.109375" style="32" customWidth="1"/>
    <col min="9" max="9" width="32.109375" style="90" bestFit="1" customWidth="1"/>
    <col min="10" max="10" width="10" style="32" customWidth="1"/>
    <col min="11" max="11" width="23.109375" style="90" bestFit="1" customWidth="1"/>
    <col min="12" max="12" width="10" style="32" customWidth="1"/>
    <col min="13" max="13" width="19.109375" style="91" customWidth="1"/>
    <col min="14" max="14" width="14.5546875" style="91" bestFit="1" customWidth="1"/>
    <col min="15" max="15" width="13.88671875" style="92" customWidth="1"/>
    <col min="16" max="16" width="18.6640625" style="89" bestFit="1" customWidth="1"/>
    <col min="17" max="17" width="12" style="28" customWidth="1"/>
    <col min="18" max="18" width="12.44140625" style="30" customWidth="1"/>
    <col min="19" max="19" width="16.44140625" style="30" customWidth="1"/>
    <col min="20" max="20" width="16.44140625" style="93" customWidth="1"/>
    <col min="21" max="21" width="16.6640625" style="94" customWidth="1"/>
    <col min="22" max="22" width="17" style="95" bestFit="1" customWidth="1"/>
    <col min="23" max="23" width="16.44140625" style="96" customWidth="1"/>
    <col min="24" max="24" width="16.44140625" style="93" customWidth="1"/>
    <col min="25" max="25" width="16.44140625" style="94" customWidth="1"/>
    <col min="26" max="26" width="16.44140625" style="97" customWidth="1"/>
    <col min="27" max="28" width="16.44140625" style="28" customWidth="1"/>
    <col min="29" max="30" width="16.44140625" style="98" customWidth="1"/>
    <col min="31" max="31" width="16.44140625" style="33" customWidth="1"/>
    <col min="32" max="32" width="16.44140625" style="37" customWidth="1"/>
    <col min="33" max="33" width="2.5546875" style="37" customWidth="1"/>
    <col min="34" max="34" width="22.6640625" style="37" hidden="1" customWidth="1"/>
    <col min="35" max="35" width="4.44140625" style="85" customWidth="1"/>
    <col min="36" max="36" width="4.109375" style="85" customWidth="1"/>
    <col min="37" max="37" width="4.6640625" style="85" customWidth="1"/>
    <col min="38" max="38" width="4.109375" style="85" customWidth="1"/>
    <col min="39" max="39" width="4.33203125" style="85" customWidth="1"/>
    <col min="40" max="40" width="4.44140625" style="85" customWidth="1"/>
    <col min="41" max="41" width="3.5546875" style="85" customWidth="1"/>
    <col min="42" max="42" width="4.109375" style="85" customWidth="1"/>
    <col min="43" max="43" width="3.88671875" style="85" customWidth="1"/>
    <col min="44" max="45" width="4.109375" style="85" customWidth="1"/>
    <col min="46" max="46" width="4" style="85" customWidth="1"/>
    <col min="47" max="48" width="4.44140625" style="85" customWidth="1"/>
    <col min="49" max="49" width="4.109375" style="85" customWidth="1"/>
    <col min="50" max="50" width="3.88671875" style="85" customWidth="1"/>
    <col min="51" max="51" width="4" style="85" customWidth="1"/>
    <col min="52" max="52" width="3.44140625" style="85" customWidth="1"/>
    <col min="53" max="53" width="4" style="85" customWidth="1"/>
    <col min="54" max="54" width="2.33203125" style="86" customWidth="1"/>
    <col min="55" max="55" width="10.88671875" style="37" hidden="1" customWidth="1"/>
    <col min="56" max="56" width="3.6640625" style="85" customWidth="1"/>
    <col min="57" max="57" width="3.33203125" style="85" customWidth="1"/>
    <col min="58" max="58" width="3.44140625" style="85" customWidth="1"/>
    <col min="59" max="59" width="3.88671875" style="85" customWidth="1"/>
    <col min="60" max="60" width="3.44140625" style="85" customWidth="1"/>
    <col min="61" max="61" width="3.33203125" style="85" customWidth="1"/>
    <col min="62" max="62" width="3.109375" style="85" customWidth="1"/>
    <col min="63" max="63" width="4.109375" style="85" customWidth="1"/>
    <col min="64" max="64" width="3.5546875" style="85" customWidth="1"/>
    <col min="65" max="65" width="3.88671875" style="85" customWidth="1"/>
    <col min="66" max="66" width="3.33203125" style="85" customWidth="1"/>
    <col min="67" max="67" width="3.6640625" style="85" customWidth="1"/>
    <col min="68" max="68" width="3.5546875" style="85" customWidth="1"/>
    <col min="69" max="69" width="3.44140625" style="85" customWidth="1"/>
    <col min="70" max="72" width="3.33203125" style="85" customWidth="1"/>
    <col min="73" max="73" width="3.44140625" style="85" customWidth="1"/>
    <col min="74" max="74" width="3.88671875" style="85" customWidth="1"/>
    <col min="75" max="219" width="10.33203125" style="37"/>
    <col min="220" max="16384" width="10.33203125" style="28"/>
  </cols>
  <sheetData>
    <row r="1" spans="1:220" ht="15" customHeight="1">
      <c r="A1" s="365" t="s">
        <v>161</v>
      </c>
      <c r="B1" s="365"/>
      <c r="C1" s="365"/>
      <c r="D1" s="365"/>
      <c r="E1" s="365"/>
      <c r="F1" s="365"/>
      <c r="G1" s="365"/>
      <c r="H1" s="365"/>
      <c r="I1" s="365"/>
      <c r="J1" s="365"/>
      <c r="K1" s="365"/>
      <c r="L1" s="365"/>
      <c r="M1" s="365"/>
      <c r="N1" s="365"/>
      <c r="O1" s="365"/>
      <c r="P1" s="365"/>
      <c r="Q1" s="290"/>
      <c r="R1" s="290"/>
      <c r="S1" s="290"/>
      <c r="T1" s="290"/>
      <c r="U1" s="290"/>
      <c r="V1" s="290"/>
      <c r="W1" s="290"/>
      <c r="X1" s="290"/>
      <c r="Y1" s="290"/>
      <c r="Z1" s="290"/>
      <c r="AA1" s="290"/>
      <c r="AB1" s="290"/>
      <c r="AC1" s="290"/>
      <c r="AD1" s="290"/>
      <c r="AE1" s="290"/>
      <c r="AF1" s="290"/>
      <c r="AG1" s="366"/>
      <c r="AH1" s="366"/>
      <c r="AI1" s="367"/>
      <c r="AJ1" s="367"/>
      <c r="AK1" s="367"/>
      <c r="AL1" s="367"/>
      <c r="AM1" s="367"/>
      <c r="AN1" s="367"/>
      <c r="AO1" s="367"/>
      <c r="AP1" s="367"/>
      <c r="AQ1" s="367"/>
      <c r="AR1" s="367"/>
      <c r="AS1" s="367"/>
      <c r="AT1" s="367"/>
      <c r="AU1" s="367"/>
      <c r="AV1" s="367"/>
      <c r="AW1" s="367"/>
      <c r="AX1" s="367"/>
      <c r="AY1" s="367"/>
      <c r="AZ1" s="367"/>
      <c r="BA1" s="367"/>
      <c r="BB1" s="368"/>
      <c r="BC1" s="366"/>
      <c r="BD1" s="367"/>
      <c r="BE1" s="367"/>
      <c r="BF1" s="367"/>
      <c r="BG1" s="367"/>
      <c r="BH1" s="367"/>
      <c r="BI1" s="367"/>
      <c r="BJ1" s="367"/>
      <c r="BK1" s="367"/>
      <c r="BL1" s="367"/>
      <c r="BM1" s="367"/>
      <c r="BN1" s="367"/>
      <c r="BO1" s="367"/>
      <c r="BP1" s="367"/>
      <c r="BQ1" s="367"/>
      <c r="BR1" s="367"/>
      <c r="BS1" s="367"/>
      <c r="BT1" s="367"/>
      <c r="BU1" s="367"/>
      <c r="BV1" s="367"/>
    </row>
    <row r="2" spans="1:220" ht="15" customHeight="1">
      <c r="A2" s="369"/>
      <c r="B2" s="370"/>
      <c r="C2" s="370"/>
      <c r="D2" s="370"/>
      <c r="E2" s="370"/>
      <c r="F2" s="371"/>
      <c r="G2" s="369"/>
      <c r="H2" s="369"/>
      <c r="I2" s="372"/>
      <c r="J2" s="373"/>
      <c r="K2" s="374"/>
      <c r="L2" s="369"/>
      <c r="M2" s="375"/>
      <c r="N2" s="375"/>
      <c r="O2" s="376"/>
      <c r="P2" s="377"/>
      <c r="Q2" s="371"/>
      <c r="R2" s="378"/>
      <c r="S2" s="371"/>
      <c r="T2" s="371"/>
      <c r="U2" s="371"/>
      <c r="V2" s="379"/>
      <c r="W2" s="380"/>
      <c r="X2" s="371"/>
      <c r="Y2" s="371"/>
      <c r="Z2" s="371"/>
      <c r="AA2" s="371"/>
      <c r="AB2" s="371"/>
      <c r="AC2" s="371"/>
      <c r="AD2" s="371"/>
      <c r="AE2" s="371"/>
      <c r="AF2" s="371"/>
      <c r="AG2" s="371"/>
      <c r="AH2" s="371"/>
      <c r="AI2" s="381" t="s">
        <v>254</v>
      </c>
      <c r="AJ2" s="381"/>
      <c r="AK2" s="381"/>
      <c r="AL2" s="381"/>
      <c r="AM2" s="381"/>
      <c r="AN2" s="381"/>
      <c r="AO2" s="381"/>
      <c r="AP2" s="381"/>
      <c r="AQ2" s="381"/>
      <c r="AR2" s="381"/>
      <c r="AS2" s="381"/>
      <c r="AT2" s="381"/>
      <c r="AU2" s="381"/>
      <c r="AV2" s="381"/>
      <c r="AW2" s="381"/>
      <c r="AX2" s="381"/>
      <c r="AY2" s="381"/>
      <c r="AZ2" s="381"/>
      <c r="BA2" s="381"/>
      <c r="BB2" s="368"/>
      <c r="BC2" s="371"/>
      <c r="BD2" s="382" t="s">
        <v>255</v>
      </c>
      <c r="BE2" s="382"/>
      <c r="BF2" s="382"/>
      <c r="BG2" s="382"/>
      <c r="BH2" s="382"/>
      <c r="BI2" s="382"/>
      <c r="BJ2" s="382"/>
      <c r="BK2" s="382"/>
      <c r="BL2" s="382"/>
      <c r="BM2" s="382"/>
      <c r="BN2" s="382"/>
      <c r="BO2" s="382"/>
      <c r="BP2" s="382"/>
      <c r="BQ2" s="382"/>
      <c r="BR2" s="382"/>
      <c r="BS2" s="382"/>
      <c r="BT2" s="382"/>
      <c r="BU2" s="382"/>
      <c r="BV2" s="382"/>
    </row>
    <row r="3" spans="1:220" s="37" customFormat="1" ht="15" customHeight="1">
      <c r="A3" s="369"/>
      <c r="B3" s="370"/>
      <c r="C3" s="370"/>
      <c r="D3" s="370"/>
      <c r="E3" s="370"/>
      <c r="F3" s="371"/>
      <c r="G3" s="369"/>
      <c r="H3" s="369"/>
      <c r="I3" s="383"/>
      <c r="J3" s="369"/>
      <c r="K3" s="383"/>
      <c r="L3" s="369"/>
      <c r="M3" s="375"/>
      <c r="N3" s="375"/>
      <c r="O3" s="376"/>
      <c r="P3" s="377"/>
      <c r="Q3" s="371"/>
      <c r="R3" s="384" t="s">
        <v>223</v>
      </c>
      <c r="S3" s="385"/>
      <c r="T3" s="385"/>
      <c r="U3" s="385"/>
      <c r="V3" s="385"/>
      <c r="W3" s="386"/>
      <c r="X3" s="387" t="s">
        <v>224</v>
      </c>
      <c r="Y3" s="388"/>
      <c r="Z3" s="388"/>
      <c r="AA3" s="388"/>
      <c r="AB3" s="388"/>
      <c r="AC3" s="389"/>
      <c r="AD3" s="390" t="s">
        <v>225</v>
      </c>
      <c r="AE3" s="391"/>
      <c r="AF3" s="392"/>
      <c r="AG3" s="393"/>
      <c r="AH3" s="393"/>
      <c r="AI3" s="394" t="s">
        <v>256</v>
      </c>
      <c r="AJ3" s="394"/>
      <c r="AK3" s="394"/>
      <c r="AL3" s="394"/>
      <c r="AM3" s="394"/>
      <c r="AN3" s="394"/>
      <c r="AO3" s="394"/>
      <c r="AP3" s="394"/>
      <c r="AQ3" s="395" t="s">
        <v>257</v>
      </c>
      <c r="AR3" s="395"/>
      <c r="AS3" s="395"/>
      <c r="AT3" s="395"/>
      <c r="AU3" s="395"/>
      <c r="AV3" s="395"/>
      <c r="AW3" s="395"/>
      <c r="AX3" s="395"/>
      <c r="AY3" s="396" t="s">
        <v>258</v>
      </c>
      <c r="AZ3" s="396"/>
      <c r="BA3" s="396"/>
      <c r="BB3" s="397"/>
      <c r="BC3" s="393"/>
      <c r="BD3" s="394" t="s">
        <v>256</v>
      </c>
      <c r="BE3" s="394"/>
      <c r="BF3" s="394"/>
      <c r="BG3" s="394"/>
      <c r="BH3" s="394"/>
      <c r="BI3" s="394"/>
      <c r="BJ3" s="394"/>
      <c r="BK3" s="394"/>
      <c r="BL3" s="395" t="s">
        <v>257</v>
      </c>
      <c r="BM3" s="395"/>
      <c r="BN3" s="395"/>
      <c r="BO3" s="395"/>
      <c r="BP3" s="395"/>
      <c r="BQ3" s="395"/>
      <c r="BR3" s="395"/>
      <c r="BS3" s="395"/>
      <c r="BT3" s="396" t="s">
        <v>258</v>
      </c>
      <c r="BU3" s="396"/>
      <c r="BV3" s="396"/>
    </row>
    <row r="4" spans="1:220" s="29" customFormat="1" ht="46.5" customHeight="1">
      <c r="A4" s="398" t="s">
        <v>33</v>
      </c>
      <c r="B4" s="398" t="s">
        <v>122</v>
      </c>
      <c r="C4" s="398" t="s">
        <v>1283</v>
      </c>
      <c r="D4" s="398" t="s">
        <v>1284</v>
      </c>
      <c r="E4" s="398" t="s">
        <v>1285</v>
      </c>
      <c r="F4" s="398" t="s">
        <v>30</v>
      </c>
      <c r="G4" s="398" t="s">
        <v>111</v>
      </c>
      <c r="H4" s="398" t="s">
        <v>248</v>
      </c>
      <c r="I4" s="398" t="s">
        <v>96</v>
      </c>
      <c r="J4" s="398" t="s">
        <v>23</v>
      </c>
      <c r="K4" s="398" t="s">
        <v>112</v>
      </c>
      <c r="L4" s="398" t="s">
        <v>113</v>
      </c>
      <c r="M4" s="398" t="s">
        <v>37</v>
      </c>
      <c r="N4" s="398" t="s">
        <v>31</v>
      </c>
      <c r="O4" s="398" t="s">
        <v>124</v>
      </c>
      <c r="P4" s="398" t="s">
        <v>63</v>
      </c>
      <c r="Q4" s="398" t="s">
        <v>116</v>
      </c>
      <c r="R4" s="398" t="s">
        <v>114</v>
      </c>
      <c r="S4" s="398" t="s">
        <v>127</v>
      </c>
      <c r="T4" s="398" t="s">
        <v>128</v>
      </c>
      <c r="U4" s="398" t="s">
        <v>129</v>
      </c>
      <c r="V4" s="398" t="s">
        <v>125</v>
      </c>
      <c r="W4" s="398" t="s">
        <v>126</v>
      </c>
      <c r="X4" s="398" t="s">
        <v>115</v>
      </c>
      <c r="Y4" s="398" t="s">
        <v>134</v>
      </c>
      <c r="Z4" s="398" t="s">
        <v>130</v>
      </c>
      <c r="AA4" s="398" t="s">
        <v>131</v>
      </c>
      <c r="AB4" s="398" t="s">
        <v>132</v>
      </c>
      <c r="AC4" s="398" t="s">
        <v>133</v>
      </c>
      <c r="AD4" s="398" t="s">
        <v>118</v>
      </c>
      <c r="AE4" s="398" t="s">
        <v>35</v>
      </c>
      <c r="AF4" s="398" t="s">
        <v>1260</v>
      </c>
      <c r="AG4" s="398" t="s">
        <v>194</v>
      </c>
      <c r="AH4" s="398" t="s">
        <v>1244</v>
      </c>
      <c r="AI4" s="398" t="s">
        <v>259</v>
      </c>
      <c r="AJ4" s="398" t="s">
        <v>260</v>
      </c>
      <c r="AK4" s="398" t="s">
        <v>261</v>
      </c>
      <c r="AL4" s="398" t="s">
        <v>262</v>
      </c>
      <c r="AM4" s="398" t="s">
        <v>263</v>
      </c>
      <c r="AN4" s="398" t="s">
        <v>264</v>
      </c>
      <c r="AO4" s="398" t="s">
        <v>265</v>
      </c>
      <c r="AP4" s="398" t="s">
        <v>266</v>
      </c>
      <c r="AQ4" s="398" t="s">
        <v>267</v>
      </c>
      <c r="AR4" s="398" t="s">
        <v>268</v>
      </c>
      <c r="AS4" s="398" t="s">
        <v>269</v>
      </c>
      <c r="AT4" s="398" t="s">
        <v>270</v>
      </c>
      <c r="AU4" s="398" t="s">
        <v>271</v>
      </c>
      <c r="AV4" s="398" t="s">
        <v>272</v>
      </c>
      <c r="AW4" s="398" t="s">
        <v>273</v>
      </c>
      <c r="AX4" s="398" t="s">
        <v>274</v>
      </c>
      <c r="AY4" s="398" t="s">
        <v>275</v>
      </c>
      <c r="AZ4" s="398" t="s">
        <v>276</v>
      </c>
      <c r="BA4" s="398" t="s">
        <v>277</v>
      </c>
      <c r="BB4" s="398" t="s">
        <v>166</v>
      </c>
      <c r="BC4" s="398" t="s">
        <v>278</v>
      </c>
      <c r="BD4" s="398" t="s">
        <v>1592</v>
      </c>
      <c r="BE4" s="398" t="s">
        <v>1593</v>
      </c>
      <c r="BF4" s="398" t="s">
        <v>1594</v>
      </c>
      <c r="BG4" s="398" t="s">
        <v>1595</v>
      </c>
      <c r="BH4" s="398" t="s">
        <v>1596</v>
      </c>
      <c r="BI4" s="398" t="s">
        <v>1597</v>
      </c>
      <c r="BJ4" s="398" t="s">
        <v>1598</v>
      </c>
      <c r="BK4" s="398" t="s">
        <v>1599</v>
      </c>
      <c r="BL4" s="398" t="s">
        <v>1600</v>
      </c>
      <c r="BM4" s="398" t="s">
        <v>1601</v>
      </c>
      <c r="BN4" s="398" t="s">
        <v>1602</v>
      </c>
      <c r="BO4" s="398" t="s">
        <v>1603</v>
      </c>
      <c r="BP4" s="398" t="s">
        <v>1604</v>
      </c>
      <c r="BQ4" s="398" t="s">
        <v>1605</v>
      </c>
      <c r="BR4" s="398" t="s">
        <v>1606</v>
      </c>
      <c r="BS4" s="398" t="s">
        <v>1607</v>
      </c>
      <c r="BT4" s="398" t="s">
        <v>1608</v>
      </c>
      <c r="BU4" s="398" t="s">
        <v>1609</v>
      </c>
      <c r="BV4" s="398" t="s">
        <v>1610</v>
      </c>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87"/>
      <c r="FE4" s="87"/>
      <c r="FF4" s="87"/>
      <c r="FG4" s="87"/>
      <c r="FH4" s="87"/>
      <c r="FI4" s="87"/>
      <c r="FJ4" s="87"/>
      <c r="FK4" s="87"/>
      <c r="FL4" s="87"/>
      <c r="FM4" s="87"/>
      <c r="FN4" s="87"/>
      <c r="FO4" s="87"/>
      <c r="FP4" s="87"/>
      <c r="FQ4" s="87"/>
      <c r="FR4" s="87"/>
      <c r="FS4" s="87"/>
      <c r="FT4" s="87"/>
      <c r="FU4" s="87"/>
      <c r="FV4" s="87"/>
      <c r="FW4" s="87"/>
      <c r="FX4" s="87"/>
      <c r="FY4" s="87"/>
      <c r="FZ4" s="87"/>
      <c r="GA4" s="87"/>
      <c r="GB4" s="87"/>
      <c r="GC4" s="87"/>
      <c r="GD4" s="87"/>
      <c r="GE4" s="87"/>
      <c r="GF4" s="87"/>
      <c r="GG4" s="87"/>
      <c r="GH4" s="87"/>
      <c r="GI4" s="87"/>
      <c r="GJ4" s="87"/>
      <c r="GK4" s="87"/>
      <c r="GL4" s="87"/>
      <c r="GM4" s="87"/>
      <c r="GN4" s="87"/>
      <c r="GO4" s="87"/>
      <c r="GP4" s="87"/>
      <c r="GQ4" s="87"/>
      <c r="GR4" s="87"/>
      <c r="GS4" s="87"/>
      <c r="GT4" s="87"/>
      <c r="GU4" s="87"/>
      <c r="GV4" s="87"/>
      <c r="GW4" s="87"/>
      <c r="GX4" s="87"/>
      <c r="GY4" s="87"/>
      <c r="GZ4" s="87"/>
      <c r="HA4" s="87"/>
      <c r="HB4" s="87"/>
      <c r="HC4" s="87"/>
      <c r="HD4" s="87"/>
      <c r="HE4" s="87"/>
      <c r="HF4" s="87"/>
      <c r="HG4" s="87"/>
      <c r="HH4" s="87"/>
      <c r="HI4" s="87"/>
      <c r="HJ4" s="87"/>
      <c r="HK4" s="87"/>
      <c r="HL4" s="87"/>
    </row>
    <row r="5" spans="1:220" s="29" customFormat="1" ht="15" customHeight="1">
      <c r="A5" s="399">
        <v>1</v>
      </c>
      <c r="B5" s="400" t="str">
        <f>VLOOKUP(Ruimtestaat[[#This Row],[Code]],Locaties[[Code]:[Locatie]],2,FALSE)</f>
        <v>Jansstraat en Janskerk</v>
      </c>
      <c r="C5" s="400" t="str">
        <f>VLOOKUP(Ruimtestaat[[#This Row],[Code]],Locaties[[#All],[Code]:[Adres]],4,FALSE)</f>
        <v>Jansstraat 40</v>
      </c>
      <c r="D5" s="400" t="str">
        <f>VLOOKUP(Ruimtestaat[[#This Row],[Code]],Locaties[[#All],[Code]:[Postcode]],5,FALSE)</f>
        <v>2011 RX</v>
      </c>
      <c r="E5" s="400" t="str">
        <f>VLOOKUP(Ruimtestaat[[#This Row],[Code]],Locaties[#All],6,FALSE)</f>
        <v>Haarlem</v>
      </c>
      <c r="F5" s="399"/>
      <c r="G5" s="399" t="s">
        <v>1639</v>
      </c>
      <c r="H5" s="401">
        <v>1</v>
      </c>
      <c r="I5" s="402" t="s">
        <v>38</v>
      </c>
      <c r="J5" s="399">
        <v>7</v>
      </c>
      <c r="K5" s="403" t="str">
        <f>VLOOKUP(Ruimtestaat[[#This Row],[Ruimte code]],Ruimtegroepen[[#All],[Code]:[Ruimte omschrijving]],2,FALSE)</f>
        <v>Entree</v>
      </c>
      <c r="L5" s="399" t="s">
        <v>99</v>
      </c>
      <c r="M5" s="402" t="s">
        <v>1634</v>
      </c>
      <c r="N5" s="404">
        <v>15.1</v>
      </c>
      <c r="O5" s="399"/>
      <c r="P5" s="405" t="str">
        <f>VLOOKUP(Ruimtestaat[[#This Row],[Ruimte code]],Ruimtegroepen[],4,FALSE)</f>
        <v>Ve</v>
      </c>
      <c r="Q5" s="399">
        <v>51</v>
      </c>
      <c r="R5" s="399" t="s">
        <v>2</v>
      </c>
      <c r="S5" s="399">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 s="399">
        <f>IF(S5&gt;0,VLOOKUP($J5,Ruimtegroepen[],3,FALSE)*VLOOKUP($L5,Vloersoorten[],3,FALSE)*VLOOKUP($R5,Frequenties[],3,FALSE)*VLOOKUP($A5,Locaties[],3,FALSE),0)</f>
        <v>0</v>
      </c>
      <c r="U5" s="399">
        <f>Ruimtestaat[[#This Row],[Uitvoeringen werkdagen]]*Ruimtestaat[[#This Row],[Oppervlak (netto)]]</f>
        <v>3850.5</v>
      </c>
      <c r="V5" s="406">
        <f>IF(T5&gt;0,Ruimtestaat[[#This Row],[Prest. (m2 /jaar) werkdagen]]/Ruimtestaat[[#This Row],[Norm (m2/uur) werkdagen]],0)</f>
        <v>0</v>
      </c>
      <c r="W5" s="407">
        <f>Ruimtestaat[[#This Row],[uren / jaar werkdagen]]*Tariefsopbouw!$E$35</f>
        <v>0</v>
      </c>
      <c r="X5" s="399"/>
      <c r="Y5" s="399">
        <f>IF(Ruimtestaat[[#This Row],[Frequentie weekend]]&gt;0,VALUE(LEFT(X5,1))*Q5,0)</f>
        <v>0</v>
      </c>
      <c r="Z5" s="408">
        <f>IF($Y5&gt;0,VLOOKUP($J5,Ruimtegroepen[],3,FALSE)*VLOOKUP($L5,Vloersoorten[],3,FALSE)*VLOOKUP($X5,Frequenties[],3,FALSE)*VLOOKUP(Ruimtestaat[[#This Row],[Code]],Locaties[],3,FALSE),0)</f>
        <v>0</v>
      </c>
      <c r="AA5" s="408">
        <f>Ruimtestaat[[#This Row],[Uitvoeringen weekend]]*Ruimtestaat[[#This Row],[Oppervlak (netto)]]</f>
        <v>0</v>
      </c>
      <c r="AB5" s="408">
        <f>IF(Z5&gt;0,Ruimtestaat[[#This Row],[Prest. (m2 /jaar) weekend]]/Ruimtestaat[[#This Row],[Norm (m2/uur) weekend]],0)</f>
        <v>0</v>
      </c>
      <c r="AC5" s="407">
        <f>Ruimtestaat[[#This Row],[uren / jaar weekend]]*Tariefsopbouw!$D$40</f>
        <v>0</v>
      </c>
      <c r="AD5" s="406">
        <f>Ruimtestaat[[#This Row],[Prest. (m2 /jaar) weekend]]+Ruimtestaat[[#This Row],[Prest. (m2 /jaar) werkdagen]]</f>
        <v>3850.5</v>
      </c>
      <c r="AE5" s="406">
        <f>Ruimtestaat[[#This Row],[uren / jaar weekend]]+Ruimtestaat[[#This Row],[uren / jaar werkdagen]]</f>
        <v>0</v>
      </c>
      <c r="AF5" s="409">
        <f>Ruimtestaat[[#This Row],[kosten / jaar weekend]]+Ruimtestaat[[#This Row],[kosten / jaar werkdagen]]</f>
        <v>0</v>
      </c>
      <c r="AG5" s="409"/>
      <c r="AH5" s="410" t="str">
        <f>IF(Ruimtestaat[[#This Row],[Frequentie werkdagen]]="","",_xlfn.CONCAT(Ruimtestaat[[#This Row],[Ruimte code]],"-",Ruimtestaat[[#This Row],[Frequentie werkdagen]]," ",Ruimtestaat[[#This Row],[Vloer code]]))</f>
        <v>7-5w T</v>
      </c>
      <c r="AI5" s="411" t="str">
        <f>_xlfn.IFNA(VLOOKUP($AH5,Programma!$F$3:$G$1101,2,0),"")</f>
        <v>_</v>
      </c>
      <c r="AJ5" s="411" t="str">
        <f>_xlfn.IFNA(VLOOKUP($AH5,Programma!$F$3:$H$1101,3,0),"")</f>
        <v>5w</v>
      </c>
      <c r="AK5" s="411" t="str">
        <f>_xlfn.IFNA(VLOOKUP($AH5,Programma!$F$3:$I$1101,4,0),"")</f>
        <v>_</v>
      </c>
      <c r="AL5" s="411" t="str">
        <f>_xlfn.IFNA(VLOOKUP($AH5,Programma!$F$3:$J$1101,5,0),"")</f>
        <v>_</v>
      </c>
      <c r="AM5" s="411" t="str">
        <f>_xlfn.IFNA(VLOOKUP($AH5,Programma!$F$3:$K$1101,6,0),"")</f>
        <v>_</v>
      </c>
      <c r="AN5" s="411" t="str">
        <f>_xlfn.IFNA(VLOOKUP($AH5,Programma!$F$3:$L$1101,7,0),"")</f>
        <v>_</v>
      </c>
      <c r="AO5" s="411" t="str">
        <f>_xlfn.IFNA(VLOOKUP($AH5,Programma!$F$3:$M$1101,8,0),"")</f>
        <v>_</v>
      </c>
      <c r="AP5" s="411" t="str">
        <f>_xlfn.IFNA(VLOOKUP($AH5,Programma!$F$3:$N$1101,9,0),"")</f>
        <v>_</v>
      </c>
      <c r="AQ5" s="411" t="str">
        <f>_xlfn.IFNA(VLOOKUP($AH5,Programma!$F$3:$O$1101,10,0),"")</f>
        <v>5w</v>
      </c>
      <c r="AR5" s="411" t="str">
        <f>_xlfn.IFNA(VLOOKUP($AH5,Programma!$F$3:$P$1101,11,0),"")</f>
        <v>5w</v>
      </c>
      <c r="AS5" s="411" t="str">
        <f>_xlfn.IFNA(VLOOKUP($AH5,Programma!$F$3:$Q$1101,12,0),"")</f>
        <v>1w</v>
      </c>
      <c r="AT5" s="411" t="str">
        <f>_xlfn.IFNA(VLOOKUP($AH5,Programma!$F$3:$R$1101,13,0),"")</f>
        <v>1w</v>
      </c>
      <c r="AU5" s="411" t="str">
        <f>_xlfn.IFNA(VLOOKUP($AH5,Programma!$F$3:$S$1101,14,0),"")</f>
        <v>1m</v>
      </c>
      <c r="AV5" s="411" t="str">
        <f>_xlfn.IFNA(VLOOKUP($AH5,Programma!$F$3:$T$1101,15,0),"")</f>
        <v>2j</v>
      </c>
      <c r="AW5" s="411" t="str">
        <f>_xlfn.IFNA(VLOOKUP($AH5,Programma!$F$3:$U$1101,16,0),"")</f>
        <v>1j</v>
      </c>
      <c r="AX5" s="411" t="str">
        <f>_xlfn.IFNA(VLOOKUP($AH5,Programma!$F$3:$V$1101,17,0),"")</f>
        <v>_</v>
      </c>
      <c r="AY5" s="411" t="str">
        <f>_xlfn.IFNA(VLOOKUP($AH5,Programma!$F$3:$W$1101,18,0),"")</f>
        <v>_</v>
      </c>
      <c r="AZ5" s="411" t="str">
        <f>_xlfn.IFNA(VLOOKUP($AH5,Programma!$F$3:$X$1101,19,0),"")</f>
        <v>_</v>
      </c>
      <c r="BA5" s="411" t="str">
        <f>_xlfn.IFNA(VLOOKUP($AH5,Programma!$F$3:$Y$1101,20,0),"")</f>
        <v>_</v>
      </c>
      <c r="BB5" s="412"/>
      <c r="BC5" s="410" t="str">
        <f>IF(Ruimtestaat[[#This Row],[Frequentie weekend]]="","",_xlfn.CONCAT(Ruimtestaat[[#This Row],[Ruimte code]],"-",Ruimtestaat[[#This Row],[Frequentie weekend]]," ",Ruimtestaat[[#This Row],[Vloer code]]))</f>
        <v/>
      </c>
      <c r="BD5" s="411" t="str">
        <f>_xlfn.IFNA(VLOOKUP($BC5,Programma!$F$3:$G$1101,2,0),"")</f>
        <v/>
      </c>
      <c r="BE5" s="411" t="str">
        <f>_xlfn.IFNA(VLOOKUP($BC5,Programma!$F$3:$H$1101,3,0),"")</f>
        <v/>
      </c>
      <c r="BF5" s="411" t="str">
        <f>_xlfn.IFNA(VLOOKUP($BC5,Programma!$F$3:$I$1101,4,0),"")</f>
        <v/>
      </c>
      <c r="BG5" s="411" t="str">
        <f>_xlfn.IFNA(VLOOKUP($BC5,Programma!$F$3:$J$1101,5,0),"")</f>
        <v/>
      </c>
      <c r="BH5" s="411" t="str">
        <f>_xlfn.IFNA(VLOOKUP($BC5,Programma!$F$3:$K$1101,6,0),"")</f>
        <v/>
      </c>
      <c r="BI5" s="411" t="str">
        <f>_xlfn.IFNA(VLOOKUP($BC5,Programma!$F$3:$L$1101,7,0),"")</f>
        <v/>
      </c>
      <c r="BJ5" s="411" t="str">
        <f>_xlfn.IFNA(VLOOKUP($BC5,Programma!$F$3:$M$1101,8,0),"")</f>
        <v/>
      </c>
      <c r="BK5" s="411" t="str">
        <f>_xlfn.IFNA(VLOOKUP($BC5,Programma!$F$3:$N$1101,9,0),"")</f>
        <v/>
      </c>
      <c r="BL5" s="411" t="str">
        <f>_xlfn.IFNA(VLOOKUP($BC5,Programma!$F$3:$O$1101,10,0),"")</f>
        <v/>
      </c>
      <c r="BM5" s="411" t="str">
        <f>_xlfn.IFNA(VLOOKUP($BC5,Programma!$F$3:$P$1101,11,0),"")</f>
        <v/>
      </c>
      <c r="BN5" s="411" t="str">
        <f>_xlfn.IFNA(VLOOKUP($BC5,Programma!$F$3:$Q$1101,12,0),"")</f>
        <v/>
      </c>
      <c r="BO5" s="411" t="str">
        <f>_xlfn.IFNA(VLOOKUP($BC5,Programma!$F$3:$R$1101,13,0),"")</f>
        <v/>
      </c>
      <c r="BP5" s="411" t="str">
        <f>_xlfn.IFNA(VLOOKUP($BC5,Programma!$F$3:$S$1101,14,0),"")</f>
        <v/>
      </c>
      <c r="BQ5" s="411" t="str">
        <f>_xlfn.IFNA(VLOOKUP($BC5,Programma!$F$3:$T$1101,15,0),"")</f>
        <v/>
      </c>
      <c r="BR5" s="411" t="str">
        <f>_xlfn.IFNA(VLOOKUP($BC5,Programma!$F$3:$U$1101,16,0),"")</f>
        <v/>
      </c>
      <c r="BS5" s="411" t="str">
        <f>_xlfn.IFNA(VLOOKUP($BC5,Programma!$F$3:$V$1101,17,0),"")</f>
        <v/>
      </c>
      <c r="BT5" s="411" t="str">
        <f>_xlfn.IFNA(VLOOKUP($BC5,Programma!$F$3:$W$1101,18,0),"")</f>
        <v/>
      </c>
      <c r="BU5" s="411" t="str">
        <f>_xlfn.IFNA(VLOOKUP($BC5,Programma!$F$3:$X$1101,19,0),"")</f>
        <v/>
      </c>
      <c r="BV5" s="411" t="str">
        <f>_xlfn.IFNA(VLOOKUP($BC5,Programma!$F$3:$Y$1101,20,0),"")</f>
        <v/>
      </c>
    </row>
    <row r="6" spans="1:220" s="29" customFormat="1" ht="15" customHeight="1">
      <c r="A6" s="399">
        <v>1</v>
      </c>
      <c r="B6" s="400" t="str">
        <f>VLOOKUP(Ruimtestaat[[#This Row],[Code]],Locaties[[Code]:[Locatie]],2,FALSE)</f>
        <v>Jansstraat en Janskerk</v>
      </c>
      <c r="C6" s="400" t="str">
        <f>VLOOKUP(Ruimtestaat[[#This Row],[Code]],Locaties[[#All],[Code]:[Adres]],4,FALSE)</f>
        <v>Jansstraat 40</v>
      </c>
      <c r="D6" s="400" t="str">
        <f>VLOOKUP(Ruimtestaat[[#This Row],[Code]],Locaties[[#All],[Code]:[Postcode]],5,FALSE)</f>
        <v>2011 RX</v>
      </c>
      <c r="E6" s="400" t="str">
        <f>VLOOKUP(Ruimtestaat[[#This Row],[Code]],Locaties[#All],6,FALSE)</f>
        <v>Haarlem</v>
      </c>
      <c r="F6" s="399"/>
      <c r="G6" s="399" t="s">
        <v>1639</v>
      </c>
      <c r="H6" s="401">
        <v>2</v>
      </c>
      <c r="I6" s="402" t="s">
        <v>1628</v>
      </c>
      <c r="J6" s="399">
        <v>2</v>
      </c>
      <c r="K6" s="403" t="str">
        <f>VLOOKUP(Ruimtestaat[[#This Row],[Ruimte code]],Ruimtegroepen[[#All],[Code]:[Ruimte omschrijving]],2,FALSE)</f>
        <v>Kantoren</v>
      </c>
      <c r="L6" s="399" t="s">
        <v>101</v>
      </c>
      <c r="M6" s="402" t="s">
        <v>1635</v>
      </c>
      <c r="N6" s="404">
        <v>15.2</v>
      </c>
      <c r="O6" s="413"/>
      <c r="P6" s="405" t="str">
        <f>VLOOKUP(Ruimtestaat[[#This Row],[Ruimte code]],Ruimtegroepen[],4,FALSE)</f>
        <v>Bu</v>
      </c>
      <c r="Q6" s="399">
        <v>51</v>
      </c>
      <c r="R6" s="399" t="s">
        <v>18</v>
      </c>
      <c r="S6" s="399">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6" s="399">
        <f>IF(S6&gt;0,VLOOKUP($J6,Ruimtegroepen[],3,FALSE)*VLOOKUP($L6,Vloersoorten[],3,FALSE)*VLOOKUP($R6,Frequenties[],3,FALSE)*VLOOKUP($A6,Locaties[],3,FALSE),0)</f>
        <v>0</v>
      </c>
      <c r="U6" s="399">
        <f>Ruimtestaat[[#This Row],[Uitvoeringen werkdagen]]*Ruimtestaat[[#This Row],[Oppervlak (netto)]]</f>
        <v>2325.6</v>
      </c>
      <c r="V6" s="406">
        <f>IF(T6&gt;0,Ruimtestaat[[#This Row],[Prest. (m2 /jaar) werkdagen]]/Ruimtestaat[[#This Row],[Norm (m2/uur) werkdagen]],0)</f>
        <v>0</v>
      </c>
      <c r="W6" s="407">
        <f>Ruimtestaat[[#This Row],[uren / jaar werkdagen]]*Tariefsopbouw!$E$35</f>
        <v>0</v>
      </c>
      <c r="X6" s="399"/>
      <c r="Y6" s="399">
        <f>IF(Ruimtestaat[[#This Row],[Frequentie weekend]]&gt;0,VALUE(LEFT(X6,1))*Q6,0)</f>
        <v>0</v>
      </c>
      <c r="Z6" s="408">
        <f>IF($Y6&gt;0,VLOOKUP($J6,Ruimtegroepen[],3,FALSE)*VLOOKUP($L6,Vloersoorten[],3,FALSE)*VLOOKUP($X6,Frequenties[],3,FALSE)*VLOOKUP(Ruimtestaat[[#This Row],[Code]],Locaties[],3,FALSE),0)</f>
        <v>0</v>
      </c>
      <c r="AA6" s="408">
        <f>Ruimtestaat[[#This Row],[Uitvoeringen weekend]]*Ruimtestaat[[#This Row],[Oppervlak (netto)]]</f>
        <v>0</v>
      </c>
      <c r="AB6" s="408">
        <f>IF(Z6&gt;0,Ruimtestaat[[#This Row],[Prest. (m2 /jaar) weekend]]/Ruimtestaat[[#This Row],[Norm (m2/uur) weekend]],0)</f>
        <v>0</v>
      </c>
      <c r="AC6" s="407">
        <f>Ruimtestaat[[#This Row],[uren / jaar weekend]]*Tariefsopbouw!$D$40</f>
        <v>0</v>
      </c>
      <c r="AD6" s="406">
        <f>Ruimtestaat[[#This Row],[Prest. (m2 /jaar) weekend]]+Ruimtestaat[[#This Row],[Prest. (m2 /jaar) werkdagen]]</f>
        <v>2325.6</v>
      </c>
      <c r="AE6" s="406">
        <f>Ruimtestaat[[#This Row],[uren / jaar weekend]]+Ruimtestaat[[#This Row],[uren / jaar werkdagen]]</f>
        <v>0</v>
      </c>
      <c r="AF6" s="409">
        <f>Ruimtestaat[[#This Row],[kosten / jaar weekend]]+Ruimtestaat[[#This Row],[kosten / jaar werkdagen]]</f>
        <v>0</v>
      </c>
      <c r="AG6" s="409"/>
      <c r="AH6" s="410" t="str">
        <f>IF(Ruimtestaat[[#This Row],[Frequentie werkdagen]]="","",_xlfn.CONCAT(Ruimtestaat[[#This Row],[Ruimte code]],"-",Ruimtestaat[[#This Row],[Frequentie werkdagen]]," ",Ruimtestaat[[#This Row],[Vloer code]]))</f>
        <v>2-3w S</v>
      </c>
      <c r="AI6" s="411" t="str">
        <f>_xlfn.IFNA(VLOOKUP($AH6,Programma!$F$3:$G$1101,2,0),"")</f>
        <v>_</v>
      </c>
      <c r="AJ6" s="411" t="str">
        <f>_xlfn.IFNA(VLOOKUP($AH6,Programma!$F$3:$H$1101,3,0),"")</f>
        <v>_</v>
      </c>
      <c r="AK6" s="411" t="str">
        <f>_xlfn.IFNA(VLOOKUP($AH6,Programma!$F$3:$I$1101,4,0),"")</f>
        <v>2w</v>
      </c>
      <c r="AL6" s="411" t="str">
        <f>_xlfn.IFNA(VLOOKUP($AH6,Programma!$F$3:$J$1101,5,0),"")</f>
        <v>1w</v>
      </c>
      <c r="AM6" s="411" t="str">
        <f>_xlfn.IFNA(VLOOKUP($AH6,Programma!$F$3:$K$1101,6,0),"")</f>
        <v>1j</v>
      </c>
      <c r="AN6" s="411" t="str">
        <f>_xlfn.IFNA(VLOOKUP($AH6,Programma!$F$3:$L$1101,7,0),"")</f>
        <v>_</v>
      </c>
      <c r="AO6" s="411" t="str">
        <f>_xlfn.IFNA(VLOOKUP($AH6,Programma!$F$3:$M$1101,8,0),"")</f>
        <v>_</v>
      </c>
      <c r="AP6" s="411" t="str">
        <f>_xlfn.IFNA(VLOOKUP($AH6,Programma!$F$3:$N$1101,9,0),"")</f>
        <v>_</v>
      </c>
      <c r="AQ6" s="411" t="str">
        <f>_xlfn.IFNA(VLOOKUP($AH6,Programma!$F$3:$O$1101,10,0),"")</f>
        <v>3w</v>
      </c>
      <c r="AR6" s="411" t="str">
        <f>_xlfn.IFNA(VLOOKUP($AH6,Programma!$F$3:$P$1101,11,0),"")</f>
        <v>3w</v>
      </c>
      <c r="AS6" s="411" t="str">
        <f>_xlfn.IFNA(VLOOKUP($AH6,Programma!$F$3:$Q$1101,12,0),"")</f>
        <v>1w</v>
      </c>
      <c r="AT6" s="411" t="str">
        <f>_xlfn.IFNA(VLOOKUP($AH6,Programma!$F$3:$R$1101,13,0),"")</f>
        <v>1w</v>
      </c>
      <c r="AU6" s="411" t="str">
        <f>_xlfn.IFNA(VLOOKUP($AH6,Programma!$F$3:$S$1101,14,0),"")</f>
        <v>1m</v>
      </c>
      <c r="AV6" s="411" t="str">
        <f>_xlfn.IFNA(VLOOKUP($AH6,Programma!$F$3:$T$1101,15,0),"")</f>
        <v>2j</v>
      </c>
      <c r="AW6" s="411" t="str">
        <f>_xlfn.IFNA(VLOOKUP($AH6,Programma!$F$3:$U$1101,16,0),"")</f>
        <v>1j</v>
      </c>
      <c r="AX6" s="411" t="str">
        <f>_xlfn.IFNA(VLOOKUP($AH6,Programma!$F$3:$V$1101,17,0),"")</f>
        <v>_</v>
      </c>
      <c r="AY6" s="411" t="str">
        <f>_xlfn.IFNA(VLOOKUP($AH6,Programma!$F$3:$W$1101,18,0),"")</f>
        <v>_</v>
      </c>
      <c r="AZ6" s="411" t="str">
        <f>_xlfn.IFNA(VLOOKUP($AH6,Programma!$F$3:$X$1101,19,0),"")</f>
        <v>_</v>
      </c>
      <c r="BA6" s="411" t="str">
        <f>_xlfn.IFNA(VLOOKUP($AH6,Programma!$F$3:$Y$1101,20,0),"")</f>
        <v>_</v>
      </c>
      <c r="BB6" s="412"/>
      <c r="BC6" s="410" t="str">
        <f>IF(Ruimtestaat[[#This Row],[Frequentie weekend]]="","",_xlfn.CONCAT(Ruimtestaat[[#This Row],[Ruimte code]],"-",Ruimtestaat[[#This Row],[Frequentie weekend]]," ",Ruimtestaat[[#This Row],[Vloer code]]))</f>
        <v/>
      </c>
      <c r="BD6" s="411" t="str">
        <f>_xlfn.IFNA(VLOOKUP($BC6,Programma!$F$3:$G$1101,2,0),"")</f>
        <v/>
      </c>
      <c r="BE6" s="411" t="str">
        <f>_xlfn.IFNA(VLOOKUP($BC6,Programma!$F$3:$H$1101,3,0),"")</f>
        <v/>
      </c>
      <c r="BF6" s="411" t="str">
        <f>_xlfn.IFNA(VLOOKUP($BC6,Programma!$F$3:$I$1101,4,0),"")</f>
        <v/>
      </c>
      <c r="BG6" s="411" t="str">
        <f>_xlfn.IFNA(VLOOKUP($BC6,Programma!$F$3:$J$1101,5,0),"")</f>
        <v/>
      </c>
      <c r="BH6" s="411" t="str">
        <f>_xlfn.IFNA(VLOOKUP($BC6,Programma!$F$3:$K$1101,6,0),"")</f>
        <v/>
      </c>
      <c r="BI6" s="411" t="str">
        <f>_xlfn.IFNA(VLOOKUP($BC6,Programma!$F$3:$L$1101,7,0),"")</f>
        <v/>
      </c>
      <c r="BJ6" s="411" t="str">
        <f>_xlfn.IFNA(VLOOKUP($BC6,Programma!$F$3:$M$1101,8,0),"")</f>
        <v/>
      </c>
      <c r="BK6" s="411" t="str">
        <f>_xlfn.IFNA(VLOOKUP($BC6,Programma!$F$3:$N$1101,9,0),"")</f>
        <v/>
      </c>
      <c r="BL6" s="411" t="str">
        <f>_xlfn.IFNA(VLOOKUP($BC6,Programma!$F$3:$O$1101,10,0),"")</f>
        <v/>
      </c>
      <c r="BM6" s="411" t="str">
        <f>_xlfn.IFNA(VLOOKUP($BC6,Programma!$F$3:$P$1101,11,0),"")</f>
        <v/>
      </c>
      <c r="BN6" s="411" t="str">
        <f>_xlfn.IFNA(VLOOKUP($BC6,Programma!$F$3:$Q$1101,12,0),"")</f>
        <v/>
      </c>
      <c r="BO6" s="411" t="str">
        <f>_xlfn.IFNA(VLOOKUP($BC6,Programma!$F$3:$R$1101,13,0),"")</f>
        <v/>
      </c>
      <c r="BP6" s="411" t="str">
        <f>_xlfn.IFNA(VLOOKUP($BC6,Programma!$F$3:$S$1101,14,0),"")</f>
        <v/>
      </c>
      <c r="BQ6" s="411" t="str">
        <f>_xlfn.IFNA(VLOOKUP($BC6,Programma!$F$3:$T$1101,15,0),"")</f>
        <v/>
      </c>
      <c r="BR6" s="411" t="str">
        <f>_xlfn.IFNA(VLOOKUP($BC6,Programma!$F$3:$U$1101,16,0),"")</f>
        <v/>
      </c>
      <c r="BS6" s="411" t="str">
        <f>_xlfn.IFNA(VLOOKUP($BC6,Programma!$F$3:$V$1101,17,0),"")</f>
        <v/>
      </c>
      <c r="BT6" s="411" t="str">
        <f>_xlfn.IFNA(VLOOKUP($BC6,Programma!$F$3:$W$1101,18,0),"")</f>
        <v/>
      </c>
      <c r="BU6" s="411" t="str">
        <f>_xlfn.IFNA(VLOOKUP($BC6,Programma!$F$3:$X$1101,19,0),"")</f>
        <v/>
      </c>
      <c r="BV6" s="411" t="str">
        <f>_xlfn.IFNA(VLOOKUP($BC6,Programma!$F$3:$Y$1101,20,0),"")</f>
        <v/>
      </c>
    </row>
    <row r="7" spans="1:220" ht="15" customHeight="1">
      <c r="A7" s="399">
        <v>1</v>
      </c>
      <c r="B7" s="400" t="str">
        <f>VLOOKUP(Ruimtestaat[[#This Row],[Code]],Locaties[[Code]:[Locatie]],2,FALSE)</f>
        <v>Jansstraat en Janskerk</v>
      </c>
      <c r="C7" s="400" t="str">
        <f>VLOOKUP(Ruimtestaat[[#This Row],[Code]],Locaties[[#All],[Code]:[Adres]],4,FALSE)</f>
        <v>Jansstraat 40</v>
      </c>
      <c r="D7" s="400" t="str">
        <f>VLOOKUP(Ruimtestaat[[#This Row],[Code]],Locaties[[#All],[Code]:[Postcode]],5,FALSE)</f>
        <v>2011 RX</v>
      </c>
      <c r="E7" s="400" t="str">
        <f>VLOOKUP(Ruimtestaat[[#This Row],[Code]],Locaties[#All],6,FALSE)</f>
        <v>Haarlem</v>
      </c>
      <c r="F7" s="399"/>
      <c r="G7" s="399" t="s">
        <v>1639</v>
      </c>
      <c r="H7" s="401">
        <v>3</v>
      </c>
      <c r="I7" s="402" t="s">
        <v>1629</v>
      </c>
      <c r="J7" s="336">
        <v>9</v>
      </c>
      <c r="K7" s="414" t="str">
        <f>VLOOKUP(Ruimtestaat[[#This Row],[Ruimte code]],Ruimtegroepen[[#All],[Code]:[Ruimte omschrijving]],2,FALSE)</f>
        <v>Bibliotheek/OLC</v>
      </c>
      <c r="L7" s="399" t="s">
        <v>101</v>
      </c>
      <c r="M7" s="402" t="s">
        <v>1635</v>
      </c>
      <c r="N7" s="404">
        <v>195.2</v>
      </c>
      <c r="O7" s="413"/>
      <c r="P7" s="405" t="str">
        <f>VLOOKUP(Ruimtestaat[[#This Row],[Ruimte code]],Ruimtegroepen[],4,FALSE)</f>
        <v>Le</v>
      </c>
      <c r="Q7" s="399">
        <v>51</v>
      </c>
      <c r="R7" s="399" t="s">
        <v>18</v>
      </c>
      <c r="S7" s="399">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7" s="399">
        <f>IF(S7&gt;0,VLOOKUP($J7,Ruimtegroepen[],3,FALSE)*VLOOKUP($L7,Vloersoorten[],3,FALSE)*VLOOKUP($R7,Frequenties[],3,FALSE)*VLOOKUP($A7,Locaties[],3,FALSE),0)</f>
        <v>0</v>
      </c>
      <c r="U7" s="399">
        <f>Ruimtestaat[[#This Row],[Uitvoeringen werkdagen]]*Ruimtestaat[[#This Row],[Oppervlak (netto)]]</f>
        <v>29865.599999999999</v>
      </c>
      <c r="V7" s="406">
        <f>IF(T7&gt;0,Ruimtestaat[[#This Row],[Prest. (m2 /jaar) werkdagen]]/Ruimtestaat[[#This Row],[Norm (m2/uur) werkdagen]],0)</f>
        <v>0</v>
      </c>
      <c r="W7" s="407">
        <f>Ruimtestaat[[#This Row],[uren / jaar werkdagen]]*Tariefsopbouw!$E$35</f>
        <v>0</v>
      </c>
      <c r="X7" s="399"/>
      <c r="Y7" s="399">
        <f>IF(Ruimtestaat[[#This Row],[Frequentie weekend]]&gt;0,VALUE(LEFT(X7,1))*Q7,0)</f>
        <v>0</v>
      </c>
      <c r="Z7" s="408">
        <f>IF($Y7&gt;0,VLOOKUP($J7,Ruimtegroepen[],3,FALSE)*VLOOKUP($L7,Vloersoorten[],3,FALSE)*VLOOKUP($X7,Frequenties[],3,FALSE)*VLOOKUP(Ruimtestaat[[#This Row],[Code]],Locaties[],3,FALSE),0)</f>
        <v>0</v>
      </c>
      <c r="AA7" s="408">
        <f>Ruimtestaat[[#This Row],[Uitvoeringen weekend]]*Ruimtestaat[[#This Row],[Oppervlak (netto)]]</f>
        <v>0</v>
      </c>
      <c r="AB7" s="408">
        <f>IF(Z7&gt;0,Ruimtestaat[[#This Row],[Prest. (m2 /jaar) weekend]]/Ruimtestaat[[#This Row],[Norm (m2/uur) weekend]],0)</f>
        <v>0</v>
      </c>
      <c r="AC7" s="407">
        <f>Ruimtestaat[[#This Row],[uren / jaar weekend]]*Tariefsopbouw!$D$40</f>
        <v>0</v>
      </c>
      <c r="AD7" s="406">
        <f>Ruimtestaat[[#This Row],[Prest. (m2 /jaar) weekend]]+Ruimtestaat[[#This Row],[Prest. (m2 /jaar) werkdagen]]</f>
        <v>29865.599999999999</v>
      </c>
      <c r="AE7" s="406">
        <f>Ruimtestaat[[#This Row],[uren / jaar weekend]]+Ruimtestaat[[#This Row],[uren / jaar werkdagen]]</f>
        <v>0</v>
      </c>
      <c r="AF7" s="409">
        <f>Ruimtestaat[[#This Row],[kosten / jaar weekend]]+Ruimtestaat[[#This Row],[kosten / jaar werkdagen]]</f>
        <v>0</v>
      </c>
      <c r="AG7" s="409"/>
      <c r="AH7" s="410" t="str">
        <f>IF(Ruimtestaat[[#This Row],[Frequentie werkdagen]]="","",_xlfn.CONCAT(Ruimtestaat[[#This Row],[Ruimte code]],"-",Ruimtestaat[[#This Row],[Frequentie werkdagen]]," ",Ruimtestaat[[#This Row],[Vloer code]]))</f>
        <v>9-3w S</v>
      </c>
      <c r="AI7" s="411" t="str">
        <f>_xlfn.IFNA(VLOOKUP($AH7,Programma!$F$3:$G$1101,2,0),"")</f>
        <v>_</v>
      </c>
      <c r="AJ7" s="411" t="str">
        <f>_xlfn.IFNA(VLOOKUP($AH7,Programma!$F$3:$H$1101,3,0),"")</f>
        <v>_</v>
      </c>
      <c r="AK7" s="411" t="str">
        <f>_xlfn.IFNA(VLOOKUP($AH7,Programma!$F$3:$I$1101,4,0),"")</f>
        <v>2w</v>
      </c>
      <c r="AL7" s="411" t="str">
        <f>_xlfn.IFNA(VLOOKUP($AH7,Programma!$F$3:$J$1101,5,0),"")</f>
        <v>1w</v>
      </c>
      <c r="AM7" s="411" t="str">
        <f>_xlfn.IFNA(VLOOKUP($AH7,Programma!$F$3:$K$1101,6,0),"")</f>
        <v>4j</v>
      </c>
      <c r="AN7" s="411" t="str">
        <f>_xlfn.IFNA(VLOOKUP($AH7,Programma!$F$3:$L$1101,7,0),"")</f>
        <v>_</v>
      </c>
      <c r="AO7" s="411" t="str">
        <f>_xlfn.IFNA(VLOOKUP($AH7,Programma!$F$3:$M$1101,8,0),"")</f>
        <v>_</v>
      </c>
      <c r="AP7" s="411" t="str">
        <f>_xlfn.IFNA(VLOOKUP($AH7,Programma!$F$3:$N$1101,9,0),"")</f>
        <v>_</v>
      </c>
      <c r="AQ7" s="411" t="str">
        <f>_xlfn.IFNA(VLOOKUP($AH7,Programma!$F$3:$O$1101,10,0),"")</f>
        <v>3w</v>
      </c>
      <c r="AR7" s="411" t="str">
        <f>_xlfn.IFNA(VLOOKUP($AH7,Programma!$F$3:$P$1101,11,0),"")</f>
        <v>3w</v>
      </c>
      <c r="AS7" s="411" t="str">
        <f>_xlfn.IFNA(VLOOKUP($AH7,Programma!$F$3:$Q$1101,12,0),"")</f>
        <v>1w</v>
      </c>
      <c r="AT7" s="411" t="str">
        <f>_xlfn.IFNA(VLOOKUP($AH7,Programma!$F$3:$R$1101,13,0),"")</f>
        <v>1w</v>
      </c>
      <c r="AU7" s="411" t="str">
        <f>_xlfn.IFNA(VLOOKUP($AH7,Programma!$F$3:$S$1101,14,0),"")</f>
        <v>1m</v>
      </c>
      <c r="AV7" s="411" t="str">
        <f>_xlfn.IFNA(VLOOKUP($AH7,Programma!$F$3:$T$1101,15,0),"")</f>
        <v>2j</v>
      </c>
      <c r="AW7" s="411" t="str">
        <f>_xlfn.IFNA(VLOOKUP($AH7,Programma!$F$3:$U$1101,16,0),"")</f>
        <v>1j</v>
      </c>
      <c r="AX7" s="411" t="str">
        <f>_xlfn.IFNA(VLOOKUP($AH7,Programma!$F$3:$V$1101,17,0),"")</f>
        <v>_</v>
      </c>
      <c r="AY7" s="411" t="str">
        <f>_xlfn.IFNA(VLOOKUP($AH7,Programma!$F$3:$W$1101,18,0),"")</f>
        <v>_</v>
      </c>
      <c r="AZ7" s="411" t="str">
        <f>_xlfn.IFNA(VLOOKUP($AH7,Programma!$F$3:$X$1101,19,0),"")</f>
        <v>_</v>
      </c>
      <c r="BA7" s="411" t="str">
        <f>_xlfn.IFNA(VLOOKUP($AH7,Programma!$F$3:$Y$1101,20,0),"")</f>
        <v>_</v>
      </c>
      <c r="BB7" s="412"/>
      <c r="BC7" s="410" t="str">
        <f>IF(Ruimtestaat[[#This Row],[Frequentie weekend]]="","",_xlfn.CONCAT(Ruimtestaat[[#This Row],[Ruimte code]],"-",Ruimtestaat[[#This Row],[Frequentie weekend]]," ",Ruimtestaat[[#This Row],[Vloer code]]))</f>
        <v/>
      </c>
      <c r="BD7" s="411" t="str">
        <f>_xlfn.IFNA(VLOOKUP($BC7,Programma!$F$3:$G$1101,2,0),"")</f>
        <v/>
      </c>
      <c r="BE7" s="411" t="str">
        <f>_xlfn.IFNA(VLOOKUP($BC7,Programma!$F$3:$H$1101,3,0),"")</f>
        <v/>
      </c>
      <c r="BF7" s="411" t="str">
        <f>_xlfn.IFNA(VLOOKUP($BC7,Programma!$F$3:$I$1101,4,0),"")</f>
        <v/>
      </c>
      <c r="BG7" s="411" t="str">
        <f>_xlfn.IFNA(VLOOKUP($BC7,Programma!$F$3:$J$1101,5,0),"")</f>
        <v/>
      </c>
      <c r="BH7" s="411" t="str">
        <f>_xlfn.IFNA(VLOOKUP($BC7,Programma!$F$3:$K$1101,6,0),"")</f>
        <v/>
      </c>
      <c r="BI7" s="411" t="str">
        <f>_xlfn.IFNA(VLOOKUP($BC7,Programma!$F$3:$L$1101,7,0),"")</f>
        <v/>
      </c>
      <c r="BJ7" s="411" t="str">
        <f>_xlfn.IFNA(VLOOKUP($BC7,Programma!$F$3:$M$1101,8,0),"")</f>
        <v/>
      </c>
      <c r="BK7" s="411" t="str">
        <f>_xlfn.IFNA(VLOOKUP($BC7,Programma!$F$3:$N$1101,9,0),"")</f>
        <v/>
      </c>
      <c r="BL7" s="411" t="str">
        <f>_xlfn.IFNA(VLOOKUP($BC7,Programma!$F$3:$O$1101,10,0),"")</f>
        <v/>
      </c>
      <c r="BM7" s="411" t="str">
        <f>_xlfn.IFNA(VLOOKUP($BC7,Programma!$F$3:$P$1101,11,0),"")</f>
        <v/>
      </c>
      <c r="BN7" s="411" t="str">
        <f>_xlfn.IFNA(VLOOKUP($BC7,Programma!$F$3:$Q$1101,12,0),"")</f>
        <v/>
      </c>
      <c r="BO7" s="411" t="str">
        <f>_xlfn.IFNA(VLOOKUP($BC7,Programma!$F$3:$R$1101,13,0),"")</f>
        <v/>
      </c>
      <c r="BP7" s="411" t="str">
        <f>_xlfn.IFNA(VLOOKUP($BC7,Programma!$F$3:$S$1101,14,0),"")</f>
        <v/>
      </c>
      <c r="BQ7" s="411" t="str">
        <f>_xlfn.IFNA(VLOOKUP($BC7,Programma!$F$3:$T$1101,15,0),"")</f>
        <v/>
      </c>
      <c r="BR7" s="411" t="str">
        <f>_xlfn.IFNA(VLOOKUP($BC7,Programma!$F$3:$U$1101,16,0),"")</f>
        <v/>
      </c>
      <c r="BS7" s="411" t="str">
        <f>_xlfn.IFNA(VLOOKUP($BC7,Programma!$F$3:$V$1101,17,0),"")</f>
        <v/>
      </c>
      <c r="BT7" s="411" t="str">
        <f>_xlfn.IFNA(VLOOKUP($BC7,Programma!$F$3:$W$1101,18,0),"")</f>
        <v/>
      </c>
      <c r="BU7" s="411" t="str">
        <f>_xlfn.IFNA(VLOOKUP($BC7,Programma!$F$3:$X$1101,19,0),"")</f>
        <v/>
      </c>
      <c r="BV7" s="411" t="str">
        <f>_xlfn.IFNA(VLOOKUP($BC7,Programma!$F$3:$Y$1101,20,0),"")</f>
        <v/>
      </c>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row>
    <row r="8" spans="1:220" ht="12" customHeight="1">
      <c r="A8" s="399">
        <v>1</v>
      </c>
      <c r="B8" s="400" t="str">
        <f>VLOOKUP(Ruimtestaat[[#This Row],[Code]],Locaties[[Code]:[Locatie]],2,FALSE)</f>
        <v>Jansstraat en Janskerk</v>
      </c>
      <c r="C8" s="400" t="str">
        <f>VLOOKUP(Ruimtestaat[[#This Row],[Code]],Locaties[[#All],[Code]:[Adres]],4,FALSE)</f>
        <v>Jansstraat 40</v>
      </c>
      <c r="D8" s="400" t="str">
        <f>VLOOKUP(Ruimtestaat[[#This Row],[Code]],Locaties[[#All],[Code]:[Postcode]],5,FALSE)</f>
        <v>2011 RX</v>
      </c>
      <c r="E8" s="400" t="str">
        <f>VLOOKUP(Ruimtestaat[[#This Row],[Code]],Locaties[#All],6,FALSE)</f>
        <v>Haarlem</v>
      </c>
      <c r="F8" s="399"/>
      <c r="G8" s="399" t="s">
        <v>1639</v>
      </c>
      <c r="H8" s="401" t="s">
        <v>1627</v>
      </c>
      <c r="I8" s="402" t="s">
        <v>1630</v>
      </c>
      <c r="J8" s="399">
        <v>11</v>
      </c>
      <c r="K8" s="414" t="str">
        <f>VLOOKUP(Ruimtestaat[[#This Row],[Ruimte code]],Ruimtegroepen[[#All],[Code]:[Ruimte omschrijving]],2,FALSE)</f>
        <v>Garderobes</v>
      </c>
      <c r="L8" s="399" t="s">
        <v>1313</v>
      </c>
      <c r="M8" s="402" t="s">
        <v>249</v>
      </c>
      <c r="N8" s="404">
        <v>24.4</v>
      </c>
      <c r="O8" s="413"/>
      <c r="P8" s="405" t="str">
        <f>VLOOKUP(Ruimtestaat[[#This Row],[Ruimte code]],Ruimtegroepen[],4,FALSE)</f>
        <v>Ve</v>
      </c>
      <c r="Q8" s="399">
        <v>51</v>
      </c>
      <c r="R8" s="399" t="s">
        <v>18</v>
      </c>
      <c r="S8" s="399">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8" s="399">
        <f>IF(S8&gt;0,VLOOKUP($J8,Ruimtegroepen[],3,FALSE)*VLOOKUP($L8,Vloersoorten[],3,FALSE)*VLOOKUP($R8,Frequenties[],3,FALSE)*VLOOKUP($A8,Locaties[],3,FALSE),0)</f>
        <v>0</v>
      </c>
      <c r="U8" s="399">
        <f>Ruimtestaat[[#This Row],[Uitvoeringen werkdagen]]*Ruimtestaat[[#This Row],[Oppervlak (netto)]]</f>
        <v>3733.2</v>
      </c>
      <c r="V8" s="406">
        <f>IF(T8&gt;0,Ruimtestaat[[#This Row],[Prest. (m2 /jaar) werkdagen]]/Ruimtestaat[[#This Row],[Norm (m2/uur) werkdagen]],0)</f>
        <v>0</v>
      </c>
      <c r="W8" s="407">
        <f>Ruimtestaat[[#This Row],[uren / jaar werkdagen]]*Tariefsopbouw!$E$35</f>
        <v>0</v>
      </c>
      <c r="X8" s="399"/>
      <c r="Y8" s="399">
        <f>IF(Ruimtestaat[[#This Row],[Frequentie weekend]]&gt;0,VALUE(LEFT(X8,1))*Q8,0)</f>
        <v>0</v>
      </c>
      <c r="Z8" s="408">
        <f>IF($Y8&gt;0,VLOOKUP($J8,Ruimtegroepen[],3,FALSE)*VLOOKUP($L8,Vloersoorten[],3,FALSE)*VLOOKUP($X8,Frequenties[],3,FALSE)*VLOOKUP(Ruimtestaat[[#This Row],[Code]],Locaties[],3,FALSE),0)</f>
        <v>0</v>
      </c>
      <c r="AA8" s="408">
        <f>Ruimtestaat[[#This Row],[Uitvoeringen weekend]]*Ruimtestaat[[#This Row],[Oppervlak (netto)]]</f>
        <v>0</v>
      </c>
      <c r="AB8" s="408">
        <f>IF(Z8&gt;0,Ruimtestaat[[#This Row],[Prest. (m2 /jaar) weekend]]/Ruimtestaat[[#This Row],[Norm (m2/uur) weekend]],0)</f>
        <v>0</v>
      </c>
      <c r="AC8" s="407">
        <f>Ruimtestaat[[#This Row],[uren / jaar weekend]]*Tariefsopbouw!$D$40</f>
        <v>0</v>
      </c>
      <c r="AD8" s="406">
        <f>Ruimtestaat[[#This Row],[Prest. (m2 /jaar) weekend]]+Ruimtestaat[[#This Row],[Prest. (m2 /jaar) werkdagen]]</f>
        <v>3733.2</v>
      </c>
      <c r="AE8" s="406">
        <f>Ruimtestaat[[#This Row],[uren / jaar weekend]]+Ruimtestaat[[#This Row],[uren / jaar werkdagen]]</f>
        <v>0</v>
      </c>
      <c r="AF8" s="409">
        <f>Ruimtestaat[[#This Row],[kosten / jaar weekend]]+Ruimtestaat[[#This Row],[kosten / jaar werkdagen]]</f>
        <v>0</v>
      </c>
      <c r="AG8" s="409"/>
      <c r="AH8" s="410" t="str">
        <f>IF(Ruimtestaat[[#This Row],[Frequentie werkdagen]]="","",_xlfn.CONCAT(Ruimtestaat[[#This Row],[Ruimte code]],"-",Ruimtestaat[[#This Row],[Frequentie werkdagen]]," ",Ruimtestaat[[#This Row],[Vloer code]]))</f>
        <v>11-3w H</v>
      </c>
      <c r="AI8" s="411" t="str">
        <f>_xlfn.IFNA(VLOOKUP($AH8,Programma!$F$3:$G$1101,2,0),"")</f>
        <v>_</v>
      </c>
      <c r="AJ8" s="411" t="str">
        <f>_xlfn.IFNA(VLOOKUP($AH8,Programma!$F$3:$H$1101,3,0),"")</f>
        <v>_</v>
      </c>
      <c r="AK8" s="411" t="str">
        <f>_xlfn.IFNA(VLOOKUP($AH8,Programma!$F$3:$I$1101,4,0),"")</f>
        <v>2w</v>
      </c>
      <c r="AL8" s="411" t="str">
        <f>_xlfn.IFNA(VLOOKUP($AH8,Programma!$F$3:$J$1101,5,0),"")</f>
        <v>1w</v>
      </c>
      <c r="AM8" s="411" t="str">
        <f>_xlfn.IFNA(VLOOKUP($AH8,Programma!$F$3:$K$1101,6,0),"")</f>
        <v>4j</v>
      </c>
      <c r="AN8" s="411" t="str">
        <f>_xlfn.IFNA(VLOOKUP($AH8,Programma!$F$3:$L$1101,7,0),"")</f>
        <v>_</v>
      </c>
      <c r="AO8" s="411" t="str">
        <f>_xlfn.IFNA(VLOOKUP($AH8,Programma!$F$3:$M$1101,8,0),"")</f>
        <v>_</v>
      </c>
      <c r="AP8" s="411" t="str">
        <f>_xlfn.IFNA(VLOOKUP($AH8,Programma!$F$3:$N$1101,9,0),"")</f>
        <v>_</v>
      </c>
      <c r="AQ8" s="411" t="str">
        <f>_xlfn.IFNA(VLOOKUP($AH8,Programma!$F$3:$O$1101,10,0),"")</f>
        <v>3w</v>
      </c>
      <c r="AR8" s="411" t="str">
        <f>_xlfn.IFNA(VLOOKUP($AH8,Programma!$F$3:$P$1101,11,0),"")</f>
        <v>3w</v>
      </c>
      <c r="AS8" s="411" t="str">
        <f>_xlfn.IFNA(VLOOKUP($AH8,Programma!$F$3:$Q$1101,12,0),"")</f>
        <v>1w</v>
      </c>
      <c r="AT8" s="411" t="str">
        <f>_xlfn.IFNA(VLOOKUP($AH8,Programma!$F$3:$R$1101,13,0),"")</f>
        <v>1w</v>
      </c>
      <c r="AU8" s="411" t="str">
        <f>_xlfn.IFNA(VLOOKUP($AH8,Programma!$F$3:$S$1101,14,0),"")</f>
        <v>1m</v>
      </c>
      <c r="AV8" s="411" t="str">
        <f>_xlfn.IFNA(VLOOKUP($AH8,Programma!$F$3:$T$1101,15,0),"")</f>
        <v>2j</v>
      </c>
      <c r="AW8" s="411" t="str">
        <f>_xlfn.IFNA(VLOOKUP($AH8,Programma!$F$3:$U$1101,16,0),"")</f>
        <v>1j</v>
      </c>
      <c r="AX8" s="411" t="str">
        <f>_xlfn.IFNA(VLOOKUP($AH8,Programma!$F$3:$V$1101,17,0),"")</f>
        <v>_</v>
      </c>
      <c r="AY8" s="411" t="str">
        <f>_xlfn.IFNA(VLOOKUP($AH8,Programma!$F$3:$W$1101,18,0),"")</f>
        <v>_</v>
      </c>
      <c r="AZ8" s="411" t="str">
        <f>_xlfn.IFNA(VLOOKUP($AH8,Programma!$F$3:$X$1101,19,0),"")</f>
        <v>_</v>
      </c>
      <c r="BA8" s="411" t="str">
        <f>_xlfn.IFNA(VLOOKUP($AH8,Programma!$F$3:$Y$1101,20,0),"")</f>
        <v>_</v>
      </c>
      <c r="BB8" s="412"/>
      <c r="BC8" s="410" t="str">
        <f>IF(Ruimtestaat[[#This Row],[Frequentie weekend]]="","",_xlfn.CONCAT(Ruimtestaat[[#This Row],[Ruimte code]],"-",Ruimtestaat[[#This Row],[Frequentie weekend]]," ",Ruimtestaat[[#This Row],[Vloer code]]))</f>
        <v/>
      </c>
      <c r="BD8" s="411" t="str">
        <f>_xlfn.IFNA(VLOOKUP($BC8,Programma!$F$3:$G$1101,2,0),"")</f>
        <v/>
      </c>
      <c r="BE8" s="411" t="str">
        <f>_xlfn.IFNA(VLOOKUP($BC8,Programma!$F$3:$H$1101,3,0),"")</f>
        <v/>
      </c>
      <c r="BF8" s="411" t="str">
        <f>_xlfn.IFNA(VLOOKUP($BC8,Programma!$F$3:$I$1101,4,0),"")</f>
        <v/>
      </c>
      <c r="BG8" s="411" t="str">
        <f>_xlfn.IFNA(VLOOKUP($BC8,Programma!$F$3:$J$1101,5,0),"")</f>
        <v/>
      </c>
      <c r="BH8" s="411" t="str">
        <f>_xlfn.IFNA(VLOOKUP($BC8,Programma!$F$3:$K$1101,6,0),"")</f>
        <v/>
      </c>
      <c r="BI8" s="411" t="str">
        <f>_xlfn.IFNA(VLOOKUP($BC8,Programma!$F$3:$L$1101,7,0),"")</f>
        <v/>
      </c>
      <c r="BJ8" s="411" t="str">
        <f>_xlfn.IFNA(VLOOKUP($BC8,Programma!$F$3:$M$1101,8,0),"")</f>
        <v/>
      </c>
      <c r="BK8" s="411" t="str">
        <f>_xlfn.IFNA(VLOOKUP($BC8,Programma!$F$3:$N$1101,9,0),"")</f>
        <v/>
      </c>
      <c r="BL8" s="411" t="str">
        <f>_xlfn.IFNA(VLOOKUP($BC8,Programma!$F$3:$O$1101,10,0),"")</f>
        <v/>
      </c>
      <c r="BM8" s="411" t="str">
        <f>_xlfn.IFNA(VLOOKUP($BC8,Programma!$F$3:$P$1101,11,0),"")</f>
        <v/>
      </c>
      <c r="BN8" s="411" t="str">
        <f>_xlfn.IFNA(VLOOKUP($BC8,Programma!$F$3:$Q$1101,12,0),"")</f>
        <v/>
      </c>
      <c r="BO8" s="411" t="str">
        <f>_xlfn.IFNA(VLOOKUP($BC8,Programma!$F$3:$R$1101,13,0),"")</f>
        <v/>
      </c>
      <c r="BP8" s="411" t="str">
        <f>_xlfn.IFNA(VLOOKUP($BC8,Programma!$F$3:$S$1101,14,0),"")</f>
        <v/>
      </c>
      <c r="BQ8" s="411" t="str">
        <f>_xlfn.IFNA(VLOOKUP($BC8,Programma!$F$3:$T$1101,15,0),"")</f>
        <v/>
      </c>
      <c r="BR8" s="411" t="str">
        <f>_xlfn.IFNA(VLOOKUP($BC8,Programma!$F$3:$U$1101,16,0),"")</f>
        <v/>
      </c>
      <c r="BS8" s="411" t="str">
        <f>_xlfn.IFNA(VLOOKUP($BC8,Programma!$F$3:$V$1101,17,0),"")</f>
        <v/>
      </c>
      <c r="BT8" s="411" t="str">
        <f>_xlfn.IFNA(VLOOKUP($BC8,Programma!$F$3:$W$1101,18,0),"")</f>
        <v/>
      </c>
      <c r="BU8" s="411" t="str">
        <f>_xlfn.IFNA(VLOOKUP($BC8,Programma!$F$3:$X$1101,19,0),"")</f>
        <v/>
      </c>
      <c r="BV8" s="411" t="str">
        <f>_xlfn.IFNA(VLOOKUP($BC8,Programma!$F$3:$Y$1101,20,0),"")</f>
        <v/>
      </c>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row>
    <row r="9" spans="1:220" ht="15" customHeight="1">
      <c r="A9" s="399">
        <v>1</v>
      </c>
      <c r="B9" s="400" t="str">
        <f>VLOOKUP(Ruimtestaat[[#This Row],[Code]],Locaties[[Code]:[Locatie]],2,FALSE)</f>
        <v>Jansstraat en Janskerk</v>
      </c>
      <c r="C9" s="400" t="str">
        <f>VLOOKUP(Ruimtestaat[[#This Row],[Code]],Locaties[[#All],[Code]:[Adres]],4,FALSE)</f>
        <v>Jansstraat 40</v>
      </c>
      <c r="D9" s="400" t="str">
        <f>VLOOKUP(Ruimtestaat[[#This Row],[Code]],Locaties[[#All],[Code]:[Postcode]],5,FALSE)</f>
        <v>2011 RX</v>
      </c>
      <c r="E9" s="400" t="str">
        <f>VLOOKUP(Ruimtestaat[[#This Row],[Code]],Locaties[#All],6,FALSE)</f>
        <v>Haarlem</v>
      </c>
      <c r="F9" s="399"/>
      <c r="G9" s="399" t="s">
        <v>1639</v>
      </c>
      <c r="H9" s="401">
        <v>4</v>
      </c>
      <c r="I9" s="402" t="s">
        <v>1636</v>
      </c>
      <c r="J9" s="336">
        <v>5</v>
      </c>
      <c r="K9" s="414" t="str">
        <f>VLOOKUP(Ruimtestaat[[#This Row],[Ruimte code]],Ruimtegroepen[[#All],[Code]:[Ruimte omschrijving]],2,FALSE)</f>
        <v>Sanitair</v>
      </c>
      <c r="L9" s="399" t="s">
        <v>101</v>
      </c>
      <c r="M9" s="402" t="s">
        <v>1635</v>
      </c>
      <c r="N9" s="404">
        <v>11.4</v>
      </c>
      <c r="O9" s="399"/>
      <c r="P9" s="405" t="str">
        <f>VLOOKUP(Ruimtestaat[[#This Row],[Ruimte code]],Ruimtegroepen[],4,FALSE)</f>
        <v>Sa</v>
      </c>
      <c r="Q9" s="399">
        <v>51</v>
      </c>
      <c r="R9" s="399" t="s">
        <v>2</v>
      </c>
      <c r="S9" s="399">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 s="399">
        <f>IF(S9&gt;0,VLOOKUP($J9,Ruimtegroepen[],3,FALSE)*VLOOKUP($L9,Vloersoorten[],3,FALSE)*VLOOKUP($R9,Frequenties[],3,FALSE)*VLOOKUP($A9,Locaties[],3,FALSE),0)</f>
        <v>0</v>
      </c>
      <c r="U9" s="399">
        <f>Ruimtestaat[[#This Row],[Uitvoeringen werkdagen]]*Ruimtestaat[[#This Row],[Oppervlak (netto)]]</f>
        <v>2907</v>
      </c>
      <c r="V9" s="406">
        <f>IF(T9&gt;0,Ruimtestaat[[#This Row],[Prest. (m2 /jaar) werkdagen]]/Ruimtestaat[[#This Row],[Norm (m2/uur) werkdagen]],0)</f>
        <v>0</v>
      </c>
      <c r="W9" s="407">
        <f>Ruimtestaat[[#This Row],[uren / jaar werkdagen]]*Tariefsopbouw!$E$35</f>
        <v>0</v>
      </c>
      <c r="X9" s="399"/>
      <c r="Y9" s="399">
        <f>IF(Ruimtestaat[[#This Row],[Frequentie weekend]]&gt;0,VALUE(LEFT(X9,1))*Q9,0)</f>
        <v>0</v>
      </c>
      <c r="Z9" s="408">
        <f>IF($Y9&gt;0,VLOOKUP($J9,Ruimtegroepen[],3,FALSE)*VLOOKUP($L9,Vloersoorten[],3,FALSE)*VLOOKUP($X9,Frequenties[],3,FALSE)*VLOOKUP(Ruimtestaat[[#This Row],[Code]],Locaties[],3,FALSE),0)</f>
        <v>0</v>
      </c>
      <c r="AA9" s="408">
        <f>Ruimtestaat[[#This Row],[Uitvoeringen weekend]]*Ruimtestaat[[#This Row],[Oppervlak (netto)]]</f>
        <v>0</v>
      </c>
      <c r="AB9" s="408">
        <f>IF(Z9&gt;0,Ruimtestaat[[#This Row],[Prest. (m2 /jaar) weekend]]/Ruimtestaat[[#This Row],[Norm (m2/uur) weekend]],0)</f>
        <v>0</v>
      </c>
      <c r="AC9" s="407">
        <f>Ruimtestaat[[#This Row],[uren / jaar weekend]]*Tariefsopbouw!$D$40</f>
        <v>0</v>
      </c>
      <c r="AD9" s="406">
        <f>Ruimtestaat[[#This Row],[Prest. (m2 /jaar) weekend]]+Ruimtestaat[[#This Row],[Prest. (m2 /jaar) werkdagen]]</f>
        <v>2907</v>
      </c>
      <c r="AE9" s="406">
        <f>Ruimtestaat[[#This Row],[uren / jaar weekend]]+Ruimtestaat[[#This Row],[uren / jaar werkdagen]]</f>
        <v>0</v>
      </c>
      <c r="AF9" s="409">
        <f>Ruimtestaat[[#This Row],[kosten / jaar weekend]]+Ruimtestaat[[#This Row],[kosten / jaar werkdagen]]</f>
        <v>0</v>
      </c>
      <c r="AG9" s="409"/>
      <c r="AH9" s="410" t="str">
        <f>IF(Ruimtestaat[[#This Row],[Frequentie werkdagen]]="","",_xlfn.CONCAT(Ruimtestaat[[#This Row],[Ruimte code]],"-",Ruimtestaat[[#This Row],[Frequentie werkdagen]]," ",Ruimtestaat[[#This Row],[Vloer code]]))</f>
        <v>5-5w S</v>
      </c>
      <c r="AI9" s="411" t="str">
        <f>_xlfn.IFNA(VLOOKUP($AH9,Programma!$F$3:$G$1101,2,0),"")</f>
        <v>_</v>
      </c>
      <c r="AJ9" s="411" t="str">
        <f>_xlfn.IFNA(VLOOKUP($AH9,Programma!$F$3:$H$1101,3,0),"")</f>
        <v>_</v>
      </c>
      <c r="AK9" s="411" t="str">
        <f>_xlfn.IFNA(VLOOKUP($AH9,Programma!$F$3:$I$1101,4,0),"")</f>
        <v>_</v>
      </c>
      <c r="AL9" s="411" t="str">
        <f>_xlfn.IFNA(VLOOKUP($AH9,Programma!$F$3:$J$1101,5,0),"")</f>
        <v>4w</v>
      </c>
      <c r="AM9" s="411" t="str">
        <f>_xlfn.IFNA(VLOOKUP($AH9,Programma!$F$3:$K$1101,6,0),"")</f>
        <v>1w</v>
      </c>
      <c r="AN9" s="411" t="str">
        <f>_xlfn.IFNA(VLOOKUP($AH9,Programma!$F$3:$L$1101,7,0),"")</f>
        <v>_</v>
      </c>
      <c r="AO9" s="411" t="str">
        <f>_xlfn.IFNA(VLOOKUP($AH9,Programma!$F$3:$M$1101,8,0),"")</f>
        <v>_</v>
      </c>
      <c r="AP9" s="411" t="str">
        <f>_xlfn.IFNA(VLOOKUP($AH9,Programma!$F$3:$N$1101,9,0),"")</f>
        <v>_</v>
      </c>
      <c r="AQ9" s="411" t="str">
        <f>_xlfn.IFNA(VLOOKUP($AH9,Programma!$F$3:$O$1101,10,0),"")</f>
        <v>_</v>
      </c>
      <c r="AR9" s="411" t="str">
        <f>_xlfn.IFNA(VLOOKUP($AH9,Programma!$F$3:$P$1101,11,0),"")</f>
        <v>_</v>
      </c>
      <c r="AS9" s="411" t="str">
        <f>_xlfn.IFNA(VLOOKUP($AH9,Programma!$F$3:$Q$1101,12,0),"")</f>
        <v>_</v>
      </c>
      <c r="AT9" s="411" t="str">
        <f>_xlfn.IFNA(VLOOKUP($AH9,Programma!$F$3:$R$1101,13,0),"")</f>
        <v>_</v>
      </c>
      <c r="AU9" s="411" t="str">
        <f>_xlfn.IFNA(VLOOKUP($AH9,Programma!$F$3:$S$1101,14,0),"")</f>
        <v>_</v>
      </c>
      <c r="AV9" s="411" t="str">
        <f>_xlfn.IFNA(VLOOKUP($AH9,Programma!$F$3:$T$1101,15,0),"")</f>
        <v>_</v>
      </c>
      <c r="AW9" s="411" t="str">
        <f>_xlfn.IFNA(VLOOKUP($AH9,Programma!$F$3:$U$1101,16,0),"")</f>
        <v>_</v>
      </c>
      <c r="AX9" s="411" t="str">
        <f>_xlfn.IFNA(VLOOKUP($AH9,Programma!$F$3:$V$1101,17,0),"")</f>
        <v>_</v>
      </c>
      <c r="AY9" s="411" t="str">
        <f>_xlfn.IFNA(VLOOKUP($AH9,Programma!$F$3:$W$1101,18,0),"")</f>
        <v>4w</v>
      </c>
      <c r="AZ9" s="411" t="str">
        <f>_xlfn.IFNA(VLOOKUP($AH9,Programma!$F$3:$X$1101,19,0),"")</f>
        <v>1w</v>
      </c>
      <c r="BA9" s="411" t="str">
        <f>_xlfn.IFNA(VLOOKUP($AH9,Programma!$F$3:$Y$1101,20,0),"")</f>
        <v>_</v>
      </c>
      <c r="BB9" s="412"/>
      <c r="BC9" s="410" t="str">
        <f>IF(Ruimtestaat[[#This Row],[Frequentie weekend]]="","",_xlfn.CONCAT(Ruimtestaat[[#This Row],[Ruimte code]],"-",Ruimtestaat[[#This Row],[Frequentie weekend]]," ",Ruimtestaat[[#This Row],[Vloer code]]))</f>
        <v/>
      </c>
      <c r="BD9" s="411" t="str">
        <f>_xlfn.IFNA(VLOOKUP($BC9,Programma!$F$3:$G$1101,2,0),"")</f>
        <v/>
      </c>
      <c r="BE9" s="411" t="str">
        <f>_xlfn.IFNA(VLOOKUP($BC9,Programma!$F$3:$H$1101,3,0),"")</f>
        <v/>
      </c>
      <c r="BF9" s="411" t="str">
        <f>_xlfn.IFNA(VLOOKUP($BC9,Programma!$F$3:$I$1101,4,0),"")</f>
        <v/>
      </c>
      <c r="BG9" s="411" t="str">
        <f>_xlfn.IFNA(VLOOKUP($BC9,Programma!$F$3:$J$1101,5,0),"")</f>
        <v/>
      </c>
      <c r="BH9" s="411" t="str">
        <f>_xlfn.IFNA(VLOOKUP($BC9,Programma!$F$3:$K$1101,6,0),"")</f>
        <v/>
      </c>
      <c r="BI9" s="411" t="str">
        <f>_xlfn.IFNA(VLOOKUP($BC9,Programma!$F$3:$L$1101,7,0),"")</f>
        <v/>
      </c>
      <c r="BJ9" s="411" t="str">
        <f>_xlfn.IFNA(VLOOKUP($BC9,Programma!$F$3:$M$1101,8,0),"")</f>
        <v/>
      </c>
      <c r="BK9" s="411" t="str">
        <f>_xlfn.IFNA(VLOOKUP($BC9,Programma!$F$3:$N$1101,9,0),"")</f>
        <v/>
      </c>
      <c r="BL9" s="411" t="str">
        <f>_xlfn.IFNA(VLOOKUP($BC9,Programma!$F$3:$O$1101,10,0),"")</f>
        <v/>
      </c>
      <c r="BM9" s="411" t="str">
        <f>_xlfn.IFNA(VLOOKUP($BC9,Programma!$F$3:$P$1101,11,0),"")</f>
        <v/>
      </c>
      <c r="BN9" s="411" t="str">
        <f>_xlfn.IFNA(VLOOKUP($BC9,Programma!$F$3:$Q$1101,12,0),"")</f>
        <v/>
      </c>
      <c r="BO9" s="411" t="str">
        <f>_xlfn.IFNA(VLOOKUP($BC9,Programma!$F$3:$R$1101,13,0),"")</f>
        <v/>
      </c>
      <c r="BP9" s="411" t="str">
        <f>_xlfn.IFNA(VLOOKUP($BC9,Programma!$F$3:$S$1101,14,0),"")</f>
        <v/>
      </c>
      <c r="BQ9" s="411" t="str">
        <f>_xlfn.IFNA(VLOOKUP($BC9,Programma!$F$3:$T$1101,15,0),"")</f>
        <v/>
      </c>
      <c r="BR9" s="411" t="str">
        <f>_xlfn.IFNA(VLOOKUP($BC9,Programma!$F$3:$U$1101,16,0),"")</f>
        <v/>
      </c>
      <c r="BS9" s="411" t="str">
        <f>_xlfn.IFNA(VLOOKUP($BC9,Programma!$F$3:$V$1101,17,0),"")</f>
        <v/>
      </c>
      <c r="BT9" s="411" t="str">
        <f>_xlfn.IFNA(VLOOKUP($BC9,Programma!$F$3:$W$1101,18,0),"")</f>
        <v/>
      </c>
      <c r="BU9" s="411" t="str">
        <f>_xlfn.IFNA(VLOOKUP($BC9,Programma!$F$3:$X$1101,19,0),"")</f>
        <v/>
      </c>
      <c r="BV9" s="411" t="str">
        <f>_xlfn.IFNA(VLOOKUP($BC9,Programma!$F$3:$Y$1101,20,0),"")</f>
        <v/>
      </c>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row>
    <row r="10" spans="1:220" ht="15" customHeight="1">
      <c r="A10" s="399">
        <v>1</v>
      </c>
      <c r="B10" s="400" t="str">
        <f>VLOOKUP(Ruimtestaat[[#This Row],[Code]],Locaties[[Code]:[Locatie]],2,FALSE)</f>
        <v>Jansstraat en Janskerk</v>
      </c>
      <c r="C10" s="400" t="str">
        <f>VLOOKUP(Ruimtestaat[[#This Row],[Code]],Locaties[[#All],[Code]:[Adres]],4,FALSE)</f>
        <v>Jansstraat 40</v>
      </c>
      <c r="D10" s="400" t="str">
        <f>VLOOKUP(Ruimtestaat[[#This Row],[Code]],Locaties[[#All],[Code]:[Postcode]],5,FALSE)</f>
        <v>2011 RX</v>
      </c>
      <c r="E10" s="400" t="str">
        <f>VLOOKUP(Ruimtestaat[[#This Row],[Code]],Locaties[#All],6,FALSE)</f>
        <v>Haarlem</v>
      </c>
      <c r="F10" s="399"/>
      <c r="G10" s="399" t="s">
        <v>1639</v>
      </c>
      <c r="H10" s="401">
        <v>5</v>
      </c>
      <c r="I10" s="402" t="s">
        <v>22</v>
      </c>
      <c r="J10" s="336">
        <v>5</v>
      </c>
      <c r="K10" s="414" t="str">
        <f>VLOOKUP(Ruimtestaat[[#This Row],[Ruimte code]],Ruimtegroepen[[#All],[Code]:[Ruimte omschrijving]],2,FALSE)</f>
        <v>Sanitair</v>
      </c>
      <c r="L10" s="399" t="s">
        <v>101</v>
      </c>
      <c r="M10" s="402" t="s">
        <v>1635</v>
      </c>
      <c r="N10" s="404">
        <v>1.1000000000000001</v>
      </c>
      <c r="O10" s="413"/>
      <c r="P10" s="405" t="str">
        <f>VLOOKUP(Ruimtestaat[[#This Row],[Ruimte code]],Ruimtegroepen[],4,FALSE)</f>
        <v>Sa</v>
      </c>
      <c r="Q10" s="399">
        <v>51</v>
      </c>
      <c r="R10" s="399" t="s">
        <v>2</v>
      </c>
      <c r="S10" s="399">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 s="399">
        <f>IF(S10&gt;0,VLOOKUP($J10,Ruimtegroepen[],3,FALSE)*VLOOKUP($L10,Vloersoorten[],3,FALSE)*VLOOKUP($R10,Frequenties[],3,FALSE)*VLOOKUP($A10,Locaties[],3,FALSE),0)</f>
        <v>0</v>
      </c>
      <c r="U10" s="399">
        <f>Ruimtestaat[[#This Row],[Uitvoeringen werkdagen]]*Ruimtestaat[[#This Row],[Oppervlak (netto)]]</f>
        <v>280.5</v>
      </c>
      <c r="V10" s="406">
        <f>IF(T10&gt;0,Ruimtestaat[[#This Row],[Prest. (m2 /jaar) werkdagen]]/Ruimtestaat[[#This Row],[Norm (m2/uur) werkdagen]],0)</f>
        <v>0</v>
      </c>
      <c r="W10" s="407">
        <f>Ruimtestaat[[#This Row],[uren / jaar werkdagen]]*Tariefsopbouw!$E$35</f>
        <v>0</v>
      </c>
      <c r="X10" s="399"/>
      <c r="Y10" s="399">
        <f>IF(Ruimtestaat[[#This Row],[Frequentie weekend]]&gt;0,VALUE(LEFT(X10,1))*Q10,0)</f>
        <v>0</v>
      </c>
      <c r="Z10" s="408">
        <f>IF($Y10&gt;0,VLOOKUP($J10,Ruimtegroepen[],3,FALSE)*VLOOKUP($L10,Vloersoorten[],3,FALSE)*VLOOKUP($X10,Frequenties[],3,FALSE)*VLOOKUP(Ruimtestaat[[#This Row],[Code]],Locaties[],3,FALSE),0)</f>
        <v>0</v>
      </c>
      <c r="AA10" s="408">
        <f>Ruimtestaat[[#This Row],[Uitvoeringen weekend]]*Ruimtestaat[[#This Row],[Oppervlak (netto)]]</f>
        <v>0</v>
      </c>
      <c r="AB10" s="408">
        <f>IF(Z10&gt;0,Ruimtestaat[[#This Row],[Prest. (m2 /jaar) weekend]]/Ruimtestaat[[#This Row],[Norm (m2/uur) weekend]],0)</f>
        <v>0</v>
      </c>
      <c r="AC10" s="407">
        <f>Ruimtestaat[[#This Row],[uren / jaar weekend]]*Tariefsopbouw!$D$40</f>
        <v>0</v>
      </c>
      <c r="AD10" s="406">
        <f>Ruimtestaat[[#This Row],[Prest. (m2 /jaar) weekend]]+Ruimtestaat[[#This Row],[Prest. (m2 /jaar) werkdagen]]</f>
        <v>280.5</v>
      </c>
      <c r="AE10" s="406">
        <f>Ruimtestaat[[#This Row],[uren / jaar weekend]]+Ruimtestaat[[#This Row],[uren / jaar werkdagen]]</f>
        <v>0</v>
      </c>
      <c r="AF10" s="409">
        <f>Ruimtestaat[[#This Row],[kosten / jaar weekend]]+Ruimtestaat[[#This Row],[kosten / jaar werkdagen]]</f>
        <v>0</v>
      </c>
      <c r="AG10" s="409"/>
      <c r="AH10" s="410" t="str">
        <f>IF(Ruimtestaat[[#This Row],[Frequentie werkdagen]]="","",_xlfn.CONCAT(Ruimtestaat[[#This Row],[Ruimte code]],"-",Ruimtestaat[[#This Row],[Frequentie werkdagen]]," ",Ruimtestaat[[#This Row],[Vloer code]]))</f>
        <v>5-5w S</v>
      </c>
      <c r="AI10" s="411" t="str">
        <f>_xlfn.IFNA(VLOOKUP($AH10,Programma!$F$3:$G$1101,2,0),"")</f>
        <v>_</v>
      </c>
      <c r="AJ10" s="411" t="str">
        <f>_xlfn.IFNA(VLOOKUP($AH10,Programma!$F$3:$H$1101,3,0),"")</f>
        <v>_</v>
      </c>
      <c r="AK10" s="411" t="str">
        <f>_xlfn.IFNA(VLOOKUP($AH10,Programma!$F$3:$I$1101,4,0),"")</f>
        <v>_</v>
      </c>
      <c r="AL10" s="411" t="str">
        <f>_xlfn.IFNA(VLOOKUP($AH10,Programma!$F$3:$J$1101,5,0),"")</f>
        <v>4w</v>
      </c>
      <c r="AM10" s="411" t="str">
        <f>_xlfn.IFNA(VLOOKUP($AH10,Programma!$F$3:$K$1101,6,0),"")</f>
        <v>1w</v>
      </c>
      <c r="AN10" s="411" t="str">
        <f>_xlfn.IFNA(VLOOKUP($AH10,Programma!$F$3:$L$1101,7,0),"")</f>
        <v>_</v>
      </c>
      <c r="AO10" s="411" t="str">
        <f>_xlfn.IFNA(VLOOKUP($AH10,Programma!$F$3:$M$1101,8,0),"")</f>
        <v>_</v>
      </c>
      <c r="AP10" s="411" t="str">
        <f>_xlfn.IFNA(VLOOKUP($AH10,Programma!$F$3:$N$1101,9,0),"")</f>
        <v>_</v>
      </c>
      <c r="AQ10" s="411" t="str">
        <f>_xlfn.IFNA(VLOOKUP($AH10,Programma!$F$3:$O$1101,10,0),"")</f>
        <v>_</v>
      </c>
      <c r="AR10" s="411" t="str">
        <f>_xlfn.IFNA(VLOOKUP($AH10,Programma!$F$3:$P$1101,11,0),"")</f>
        <v>_</v>
      </c>
      <c r="AS10" s="411" t="str">
        <f>_xlfn.IFNA(VLOOKUP($AH10,Programma!$F$3:$Q$1101,12,0),"")</f>
        <v>_</v>
      </c>
      <c r="AT10" s="411" t="str">
        <f>_xlfn.IFNA(VLOOKUP($AH10,Programma!$F$3:$R$1101,13,0),"")</f>
        <v>_</v>
      </c>
      <c r="AU10" s="411" t="str">
        <f>_xlfn.IFNA(VLOOKUP($AH10,Programma!$F$3:$S$1101,14,0),"")</f>
        <v>_</v>
      </c>
      <c r="AV10" s="411" t="str">
        <f>_xlfn.IFNA(VLOOKUP($AH10,Programma!$F$3:$T$1101,15,0),"")</f>
        <v>_</v>
      </c>
      <c r="AW10" s="411" t="str">
        <f>_xlfn.IFNA(VLOOKUP($AH10,Programma!$F$3:$U$1101,16,0),"")</f>
        <v>_</v>
      </c>
      <c r="AX10" s="411" t="str">
        <f>_xlfn.IFNA(VLOOKUP($AH10,Programma!$F$3:$V$1101,17,0),"")</f>
        <v>_</v>
      </c>
      <c r="AY10" s="411" t="str">
        <f>_xlfn.IFNA(VLOOKUP($AH10,Programma!$F$3:$W$1101,18,0),"")</f>
        <v>4w</v>
      </c>
      <c r="AZ10" s="411" t="str">
        <f>_xlfn.IFNA(VLOOKUP($AH10,Programma!$F$3:$X$1101,19,0),"")</f>
        <v>1w</v>
      </c>
      <c r="BA10" s="411" t="str">
        <f>_xlfn.IFNA(VLOOKUP($AH10,Programma!$F$3:$Y$1101,20,0),"")</f>
        <v>_</v>
      </c>
      <c r="BB10" s="412"/>
      <c r="BC10" s="410" t="str">
        <f>IF(Ruimtestaat[[#This Row],[Frequentie weekend]]="","",_xlfn.CONCAT(Ruimtestaat[[#This Row],[Ruimte code]],"-",Ruimtestaat[[#This Row],[Frequentie weekend]]," ",Ruimtestaat[[#This Row],[Vloer code]]))</f>
        <v/>
      </c>
      <c r="BD10" s="411" t="str">
        <f>_xlfn.IFNA(VLOOKUP($BC10,Programma!$F$3:$G$1101,2,0),"")</f>
        <v/>
      </c>
      <c r="BE10" s="411" t="str">
        <f>_xlfn.IFNA(VLOOKUP($BC10,Programma!$F$3:$H$1101,3,0),"")</f>
        <v/>
      </c>
      <c r="BF10" s="411" t="str">
        <f>_xlfn.IFNA(VLOOKUP($BC10,Programma!$F$3:$I$1101,4,0),"")</f>
        <v/>
      </c>
      <c r="BG10" s="411" t="str">
        <f>_xlfn.IFNA(VLOOKUP($BC10,Programma!$F$3:$J$1101,5,0),"")</f>
        <v/>
      </c>
      <c r="BH10" s="411" t="str">
        <f>_xlfn.IFNA(VLOOKUP($BC10,Programma!$F$3:$K$1101,6,0),"")</f>
        <v/>
      </c>
      <c r="BI10" s="411" t="str">
        <f>_xlfn.IFNA(VLOOKUP($BC10,Programma!$F$3:$L$1101,7,0),"")</f>
        <v/>
      </c>
      <c r="BJ10" s="411" t="str">
        <f>_xlfn.IFNA(VLOOKUP($BC10,Programma!$F$3:$M$1101,8,0),"")</f>
        <v/>
      </c>
      <c r="BK10" s="411" t="str">
        <f>_xlfn.IFNA(VLOOKUP($BC10,Programma!$F$3:$N$1101,9,0),"")</f>
        <v/>
      </c>
      <c r="BL10" s="411" t="str">
        <f>_xlfn.IFNA(VLOOKUP($BC10,Programma!$F$3:$O$1101,10,0),"")</f>
        <v/>
      </c>
      <c r="BM10" s="411" t="str">
        <f>_xlfn.IFNA(VLOOKUP($BC10,Programma!$F$3:$P$1101,11,0),"")</f>
        <v/>
      </c>
      <c r="BN10" s="411" t="str">
        <f>_xlfn.IFNA(VLOOKUP($BC10,Programma!$F$3:$Q$1101,12,0),"")</f>
        <v/>
      </c>
      <c r="BO10" s="411" t="str">
        <f>_xlfn.IFNA(VLOOKUP($BC10,Programma!$F$3:$R$1101,13,0),"")</f>
        <v/>
      </c>
      <c r="BP10" s="411" t="str">
        <f>_xlfn.IFNA(VLOOKUP($BC10,Programma!$F$3:$S$1101,14,0),"")</f>
        <v/>
      </c>
      <c r="BQ10" s="411" t="str">
        <f>_xlfn.IFNA(VLOOKUP($BC10,Programma!$F$3:$T$1101,15,0),"")</f>
        <v/>
      </c>
      <c r="BR10" s="411" t="str">
        <f>_xlfn.IFNA(VLOOKUP($BC10,Programma!$F$3:$U$1101,16,0),"")</f>
        <v/>
      </c>
      <c r="BS10" s="411" t="str">
        <f>_xlfn.IFNA(VLOOKUP($BC10,Programma!$F$3:$V$1101,17,0),"")</f>
        <v/>
      </c>
      <c r="BT10" s="411" t="str">
        <f>_xlfn.IFNA(VLOOKUP($BC10,Programma!$F$3:$W$1101,18,0),"")</f>
        <v/>
      </c>
      <c r="BU10" s="411" t="str">
        <f>_xlfn.IFNA(VLOOKUP($BC10,Programma!$F$3:$X$1101,19,0),"")</f>
        <v/>
      </c>
      <c r="BV10" s="411" t="str">
        <f>_xlfn.IFNA(VLOOKUP($BC10,Programma!$F$3:$Y$1101,20,0),"")</f>
        <v/>
      </c>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row>
    <row r="11" spans="1:220" ht="15" customHeight="1">
      <c r="A11" s="399">
        <v>1</v>
      </c>
      <c r="B11" s="400" t="str">
        <f>VLOOKUP(Ruimtestaat[[#This Row],[Code]],Locaties[[Code]:[Locatie]],2,FALSE)</f>
        <v>Jansstraat en Janskerk</v>
      </c>
      <c r="C11" s="400" t="str">
        <f>VLOOKUP(Ruimtestaat[[#This Row],[Code]],Locaties[[#All],[Code]:[Adres]],4,FALSE)</f>
        <v>Jansstraat 40</v>
      </c>
      <c r="D11" s="400" t="str">
        <f>VLOOKUP(Ruimtestaat[[#This Row],[Code]],Locaties[[#All],[Code]:[Postcode]],5,FALSE)</f>
        <v>2011 RX</v>
      </c>
      <c r="E11" s="400" t="str">
        <f>VLOOKUP(Ruimtestaat[[#This Row],[Code]],Locaties[#All],6,FALSE)</f>
        <v>Haarlem</v>
      </c>
      <c r="F11" s="399"/>
      <c r="G11" s="399" t="s">
        <v>1639</v>
      </c>
      <c r="H11" s="401">
        <v>6</v>
      </c>
      <c r="I11" s="402" t="s">
        <v>22</v>
      </c>
      <c r="J11" s="336">
        <v>5</v>
      </c>
      <c r="K11" s="414" t="str">
        <f>VLOOKUP(Ruimtestaat[[#This Row],[Ruimte code]],Ruimtegroepen[[#All],[Code]:[Ruimte omschrijving]],2,FALSE)</f>
        <v>Sanitair</v>
      </c>
      <c r="L11" s="399" t="s">
        <v>101</v>
      </c>
      <c r="M11" s="402" t="s">
        <v>1635</v>
      </c>
      <c r="N11" s="404">
        <v>1.1000000000000001</v>
      </c>
      <c r="O11" s="413"/>
      <c r="P11" s="405" t="str">
        <f>VLOOKUP(Ruimtestaat[[#This Row],[Ruimte code]],Ruimtegroepen[],4,FALSE)</f>
        <v>Sa</v>
      </c>
      <c r="Q11" s="399">
        <v>51</v>
      </c>
      <c r="R11" s="399" t="s">
        <v>2</v>
      </c>
      <c r="S11" s="399">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 s="399">
        <f>IF(S11&gt;0,VLOOKUP($J11,Ruimtegroepen[],3,FALSE)*VLOOKUP($L11,Vloersoorten[],3,FALSE)*VLOOKUP($R11,Frequenties[],3,FALSE)*VLOOKUP($A11,Locaties[],3,FALSE),0)</f>
        <v>0</v>
      </c>
      <c r="U11" s="399">
        <f>Ruimtestaat[[#This Row],[Uitvoeringen werkdagen]]*Ruimtestaat[[#This Row],[Oppervlak (netto)]]</f>
        <v>280.5</v>
      </c>
      <c r="V11" s="406">
        <f>IF(T11&gt;0,Ruimtestaat[[#This Row],[Prest. (m2 /jaar) werkdagen]]/Ruimtestaat[[#This Row],[Norm (m2/uur) werkdagen]],0)</f>
        <v>0</v>
      </c>
      <c r="W11" s="407">
        <f>Ruimtestaat[[#This Row],[uren / jaar werkdagen]]*Tariefsopbouw!$E$35</f>
        <v>0</v>
      </c>
      <c r="X11" s="399"/>
      <c r="Y11" s="399">
        <f>IF(Ruimtestaat[[#This Row],[Frequentie weekend]]&gt;0,VALUE(LEFT(X11,1))*Q11,0)</f>
        <v>0</v>
      </c>
      <c r="Z11" s="408">
        <f>IF($Y11&gt;0,VLOOKUP($J11,Ruimtegroepen[],3,FALSE)*VLOOKUP($L11,Vloersoorten[],3,FALSE)*VLOOKUP($X11,Frequenties[],3,FALSE)*VLOOKUP(Ruimtestaat[[#This Row],[Code]],Locaties[],3,FALSE),0)</f>
        <v>0</v>
      </c>
      <c r="AA11" s="408">
        <f>Ruimtestaat[[#This Row],[Uitvoeringen weekend]]*Ruimtestaat[[#This Row],[Oppervlak (netto)]]</f>
        <v>0</v>
      </c>
      <c r="AB11" s="408">
        <f>IF(Z11&gt;0,Ruimtestaat[[#This Row],[Prest. (m2 /jaar) weekend]]/Ruimtestaat[[#This Row],[Norm (m2/uur) weekend]],0)</f>
        <v>0</v>
      </c>
      <c r="AC11" s="407">
        <f>Ruimtestaat[[#This Row],[uren / jaar weekend]]*Tariefsopbouw!$D$40</f>
        <v>0</v>
      </c>
      <c r="AD11" s="406">
        <f>Ruimtestaat[[#This Row],[Prest. (m2 /jaar) weekend]]+Ruimtestaat[[#This Row],[Prest. (m2 /jaar) werkdagen]]</f>
        <v>280.5</v>
      </c>
      <c r="AE11" s="406">
        <f>Ruimtestaat[[#This Row],[uren / jaar weekend]]+Ruimtestaat[[#This Row],[uren / jaar werkdagen]]</f>
        <v>0</v>
      </c>
      <c r="AF11" s="409">
        <f>Ruimtestaat[[#This Row],[kosten / jaar weekend]]+Ruimtestaat[[#This Row],[kosten / jaar werkdagen]]</f>
        <v>0</v>
      </c>
      <c r="AG11" s="409"/>
      <c r="AH11" s="410" t="str">
        <f>IF(Ruimtestaat[[#This Row],[Frequentie werkdagen]]="","",_xlfn.CONCAT(Ruimtestaat[[#This Row],[Ruimte code]],"-",Ruimtestaat[[#This Row],[Frequentie werkdagen]]," ",Ruimtestaat[[#This Row],[Vloer code]]))</f>
        <v>5-5w S</v>
      </c>
      <c r="AI11" s="411" t="str">
        <f>_xlfn.IFNA(VLOOKUP($AH11,Programma!$F$3:$G$1101,2,0),"")</f>
        <v>_</v>
      </c>
      <c r="AJ11" s="411" t="str">
        <f>_xlfn.IFNA(VLOOKUP($AH11,Programma!$F$3:$H$1101,3,0),"")</f>
        <v>_</v>
      </c>
      <c r="AK11" s="411" t="str">
        <f>_xlfn.IFNA(VLOOKUP($AH11,Programma!$F$3:$I$1101,4,0),"")</f>
        <v>_</v>
      </c>
      <c r="AL11" s="411" t="str">
        <f>_xlfn.IFNA(VLOOKUP($AH11,Programma!$F$3:$J$1101,5,0),"")</f>
        <v>4w</v>
      </c>
      <c r="AM11" s="411" t="str">
        <f>_xlfn.IFNA(VLOOKUP($AH11,Programma!$F$3:$K$1101,6,0),"")</f>
        <v>1w</v>
      </c>
      <c r="AN11" s="411" t="str">
        <f>_xlfn.IFNA(VLOOKUP($AH11,Programma!$F$3:$L$1101,7,0),"")</f>
        <v>_</v>
      </c>
      <c r="AO11" s="411" t="str">
        <f>_xlfn.IFNA(VLOOKUP($AH11,Programma!$F$3:$M$1101,8,0),"")</f>
        <v>_</v>
      </c>
      <c r="AP11" s="411" t="str">
        <f>_xlfn.IFNA(VLOOKUP($AH11,Programma!$F$3:$N$1101,9,0),"")</f>
        <v>_</v>
      </c>
      <c r="AQ11" s="411" t="str">
        <f>_xlfn.IFNA(VLOOKUP($AH11,Programma!$F$3:$O$1101,10,0),"")</f>
        <v>_</v>
      </c>
      <c r="AR11" s="411" t="str">
        <f>_xlfn.IFNA(VLOOKUP($AH11,Programma!$F$3:$P$1101,11,0),"")</f>
        <v>_</v>
      </c>
      <c r="AS11" s="411" t="str">
        <f>_xlfn.IFNA(VLOOKUP($AH11,Programma!$F$3:$Q$1101,12,0),"")</f>
        <v>_</v>
      </c>
      <c r="AT11" s="411" t="str">
        <f>_xlfn.IFNA(VLOOKUP($AH11,Programma!$F$3:$R$1101,13,0),"")</f>
        <v>_</v>
      </c>
      <c r="AU11" s="411" t="str">
        <f>_xlfn.IFNA(VLOOKUP($AH11,Programma!$F$3:$S$1101,14,0),"")</f>
        <v>_</v>
      </c>
      <c r="AV11" s="411" t="str">
        <f>_xlfn.IFNA(VLOOKUP($AH11,Programma!$F$3:$T$1101,15,0),"")</f>
        <v>_</v>
      </c>
      <c r="AW11" s="411" t="str">
        <f>_xlfn.IFNA(VLOOKUP($AH11,Programma!$F$3:$U$1101,16,0),"")</f>
        <v>_</v>
      </c>
      <c r="AX11" s="411" t="str">
        <f>_xlfn.IFNA(VLOOKUP($AH11,Programma!$F$3:$V$1101,17,0),"")</f>
        <v>_</v>
      </c>
      <c r="AY11" s="411" t="str">
        <f>_xlfn.IFNA(VLOOKUP($AH11,Programma!$F$3:$W$1101,18,0),"")</f>
        <v>4w</v>
      </c>
      <c r="AZ11" s="411" t="str">
        <f>_xlfn.IFNA(VLOOKUP($AH11,Programma!$F$3:$X$1101,19,0),"")</f>
        <v>1w</v>
      </c>
      <c r="BA11" s="411" t="str">
        <f>_xlfn.IFNA(VLOOKUP($AH11,Programma!$F$3:$Y$1101,20,0),"")</f>
        <v>_</v>
      </c>
      <c r="BB11" s="412"/>
      <c r="BC11" s="410" t="str">
        <f>IF(Ruimtestaat[[#This Row],[Frequentie weekend]]="","",_xlfn.CONCAT(Ruimtestaat[[#This Row],[Ruimte code]],"-",Ruimtestaat[[#This Row],[Frequentie weekend]]," ",Ruimtestaat[[#This Row],[Vloer code]]))</f>
        <v/>
      </c>
      <c r="BD11" s="411" t="str">
        <f>_xlfn.IFNA(VLOOKUP($BC11,Programma!$F$3:$G$1101,2,0),"")</f>
        <v/>
      </c>
      <c r="BE11" s="411" t="str">
        <f>_xlfn.IFNA(VLOOKUP($BC11,Programma!$F$3:$H$1101,3,0),"")</f>
        <v/>
      </c>
      <c r="BF11" s="411" t="str">
        <f>_xlfn.IFNA(VLOOKUP($BC11,Programma!$F$3:$I$1101,4,0),"")</f>
        <v/>
      </c>
      <c r="BG11" s="411" t="str">
        <f>_xlfn.IFNA(VLOOKUP($BC11,Programma!$F$3:$J$1101,5,0),"")</f>
        <v/>
      </c>
      <c r="BH11" s="411" t="str">
        <f>_xlfn.IFNA(VLOOKUP($BC11,Programma!$F$3:$K$1101,6,0),"")</f>
        <v/>
      </c>
      <c r="BI11" s="411" t="str">
        <f>_xlfn.IFNA(VLOOKUP($BC11,Programma!$F$3:$L$1101,7,0),"")</f>
        <v/>
      </c>
      <c r="BJ11" s="411" t="str">
        <f>_xlfn.IFNA(VLOOKUP($BC11,Programma!$F$3:$M$1101,8,0),"")</f>
        <v/>
      </c>
      <c r="BK11" s="411" t="str">
        <f>_xlfn.IFNA(VLOOKUP($BC11,Programma!$F$3:$N$1101,9,0),"")</f>
        <v/>
      </c>
      <c r="BL11" s="411" t="str">
        <f>_xlfn.IFNA(VLOOKUP($BC11,Programma!$F$3:$O$1101,10,0),"")</f>
        <v/>
      </c>
      <c r="BM11" s="411" t="str">
        <f>_xlfn.IFNA(VLOOKUP($BC11,Programma!$F$3:$P$1101,11,0),"")</f>
        <v/>
      </c>
      <c r="BN11" s="411" t="str">
        <f>_xlfn.IFNA(VLOOKUP($BC11,Programma!$F$3:$Q$1101,12,0),"")</f>
        <v/>
      </c>
      <c r="BO11" s="411" t="str">
        <f>_xlfn.IFNA(VLOOKUP($BC11,Programma!$F$3:$R$1101,13,0),"")</f>
        <v/>
      </c>
      <c r="BP11" s="411" t="str">
        <f>_xlfn.IFNA(VLOOKUP($BC11,Programma!$F$3:$S$1101,14,0),"")</f>
        <v/>
      </c>
      <c r="BQ11" s="411" t="str">
        <f>_xlfn.IFNA(VLOOKUP($BC11,Programma!$F$3:$T$1101,15,0),"")</f>
        <v/>
      </c>
      <c r="BR11" s="411" t="str">
        <f>_xlfn.IFNA(VLOOKUP($BC11,Programma!$F$3:$U$1101,16,0),"")</f>
        <v/>
      </c>
      <c r="BS11" s="411" t="str">
        <f>_xlfn.IFNA(VLOOKUP($BC11,Programma!$F$3:$V$1101,17,0),"")</f>
        <v/>
      </c>
      <c r="BT11" s="411" t="str">
        <f>_xlfn.IFNA(VLOOKUP($BC11,Programma!$F$3:$W$1101,18,0),"")</f>
        <v/>
      </c>
      <c r="BU11" s="411" t="str">
        <f>_xlfn.IFNA(VLOOKUP($BC11,Programma!$F$3:$X$1101,19,0),"")</f>
        <v/>
      </c>
      <c r="BV11" s="411" t="str">
        <f>_xlfn.IFNA(VLOOKUP($BC11,Programma!$F$3:$Y$1101,20,0),"")</f>
        <v/>
      </c>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row>
    <row r="12" spans="1:220" ht="15" customHeight="1">
      <c r="A12" s="399">
        <v>1</v>
      </c>
      <c r="B12" s="400" t="str">
        <f>VLOOKUP(Ruimtestaat[[#This Row],[Code]],Locaties[[Code]:[Locatie]],2,FALSE)</f>
        <v>Jansstraat en Janskerk</v>
      </c>
      <c r="C12" s="400" t="str">
        <f>VLOOKUP(Ruimtestaat[[#This Row],[Code]],Locaties[[#All],[Code]:[Adres]],4,FALSE)</f>
        <v>Jansstraat 40</v>
      </c>
      <c r="D12" s="400" t="str">
        <f>VLOOKUP(Ruimtestaat[[#This Row],[Code]],Locaties[[#All],[Code]:[Postcode]],5,FALSE)</f>
        <v>2011 RX</v>
      </c>
      <c r="E12" s="400" t="str">
        <f>VLOOKUP(Ruimtestaat[[#This Row],[Code]],Locaties[#All],6,FALSE)</f>
        <v>Haarlem</v>
      </c>
      <c r="F12" s="399"/>
      <c r="G12" s="399" t="s">
        <v>1639</v>
      </c>
      <c r="H12" s="401">
        <v>7</v>
      </c>
      <c r="I12" s="402" t="s">
        <v>1637</v>
      </c>
      <c r="J12" s="336">
        <v>5</v>
      </c>
      <c r="K12" s="414" t="str">
        <f>VLOOKUP(Ruimtestaat[[#This Row],[Ruimte code]],Ruimtegroepen[[#All],[Code]:[Ruimte omschrijving]],2,FALSE)</f>
        <v>Sanitair</v>
      </c>
      <c r="L12" s="399" t="s">
        <v>101</v>
      </c>
      <c r="M12" s="402" t="s">
        <v>1635</v>
      </c>
      <c r="N12" s="404">
        <v>3.9</v>
      </c>
      <c r="O12" s="399"/>
      <c r="P12" s="405" t="str">
        <f>VLOOKUP(Ruimtestaat[[#This Row],[Ruimte code]],Ruimtegroepen[],4,FALSE)</f>
        <v>Sa</v>
      </c>
      <c r="Q12" s="399">
        <v>51</v>
      </c>
      <c r="R12" s="399" t="s">
        <v>2</v>
      </c>
      <c r="S12" s="399">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 s="399">
        <f>IF(S12&gt;0,VLOOKUP($J12,Ruimtegroepen[],3,FALSE)*VLOOKUP($L12,Vloersoorten[],3,FALSE)*VLOOKUP($R12,Frequenties[],3,FALSE)*VLOOKUP($A12,Locaties[],3,FALSE),0)</f>
        <v>0</v>
      </c>
      <c r="U12" s="399">
        <f>Ruimtestaat[[#This Row],[Uitvoeringen werkdagen]]*Ruimtestaat[[#This Row],[Oppervlak (netto)]]</f>
        <v>994.5</v>
      </c>
      <c r="V12" s="406">
        <f>IF(T12&gt;0,Ruimtestaat[[#This Row],[Prest. (m2 /jaar) werkdagen]]/Ruimtestaat[[#This Row],[Norm (m2/uur) werkdagen]],0)</f>
        <v>0</v>
      </c>
      <c r="W12" s="407">
        <f>Ruimtestaat[[#This Row],[uren / jaar werkdagen]]*Tariefsopbouw!$E$35</f>
        <v>0</v>
      </c>
      <c r="X12" s="399"/>
      <c r="Y12" s="399">
        <f>IF(Ruimtestaat[[#This Row],[Frequentie weekend]]&gt;0,VALUE(LEFT(X12,1))*Q12,0)</f>
        <v>0</v>
      </c>
      <c r="Z12" s="408">
        <f>IF($Y12&gt;0,VLOOKUP($J12,Ruimtegroepen[],3,FALSE)*VLOOKUP($L12,Vloersoorten[],3,FALSE)*VLOOKUP($X12,Frequenties[],3,FALSE)*VLOOKUP(Ruimtestaat[[#This Row],[Code]],Locaties[],3,FALSE),0)</f>
        <v>0</v>
      </c>
      <c r="AA12" s="408">
        <f>Ruimtestaat[[#This Row],[Uitvoeringen weekend]]*Ruimtestaat[[#This Row],[Oppervlak (netto)]]</f>
        <v>0</v>
      </c>
      <c r="AB12" s="408">
        <f>IF(Z12&gt;0,Ruimtestaat[[#This Row],[Prest. (m2 /jaar) weekend]]/Ruimtestaat[[#This Row],[Norm (m2/uur) weekend]],0)</f>
        <v>0</v>
      </c>
      <c r="AC12" s="407">
        <f>Ruimtestaat[[#This Row],[uren / jaar weekend]]*Tariefsopbouw!$D$40</f>
        <v>0</v>
      </c>
      <c r="AD12" s="406">
        <f>Ruimtestaat[[#This Row],[Prest. (m2 /jaar) weekend]]+Ruimtestaat[[#This Row],[Prest. (m2 /jaar) werkdagen]]</f>
        <v>994.5</v>
      </c>
      <c r="AE12" s="406">
        <f>Ruimtestaat[[#This Row],[uren / jaar weekend]]+Ruimtestaat[[#This Row],[uren / jaar werkdagen]]</f>
        <v>0</v>
      </c>
      <c r="AF12" s="409">
        <f>Ruimtestaat[[#This Row],[kosten / jaar weekend]]+Ruimtestaat[[#This Row],[kosten / jaar werkdagen]]</f>
        <v>0</v>
      </c>
      <c r="AG12" s="409"/>
      <c r="AH12" s="410" t="str">
        <f>IF(Ruimtestaat[[#This Row],[Frequentie werkdagen]]="","",_xlfn.CONCAT(Ruimtestaat[[#This Row],[Ruimte code]],"-",Ruimtestaat[[#This Row],[Frequentie werkdagen]]," ",Ruimtestaat[[#This Row],[Vloer code]]))</f>
        <v>5-5w S</v>
      </c>
      <c r="AI12" s="411" t="str">
        <f>_xlfn.IFNA(VLOOKUP($AH12,Programma!$F$3:$G$1101,2,0),"")</f>
        <v>_</v>
      </c>
      <c r="AJ12" s="411" t="str">
        <f>_xlfn.IFNA(VLOOKUP($AH12,Programma!$F$3:$H$1101,3,0),"")</f>
        <v>_</v>
      </c>
      <c r="AK12" s="411" t="str">
        <f>_xlfn.IFNA(VLOOKUP($AH12,Programma!$F$3:$I$1101,4,0),"")</f>
        <v>_</v>
      </c>
      <c r="AL12" s="411" t="str">
        <f>_xlfn.IFNA(VLOOKUP($AH12,Programma!$F$3:$J$1101,5,0),"")</f>
        <v>4w</v>
      </c>
      <c r="AM12" s="411" t="str">
        <f>_xlfn.IFNA(VLOOKUP($AH12,Programma!$F$3:$K$1101,6,0),"")</f>
        <v>1w</v>
      </c>
      <c r="AN12" s="411" t="str">
        <f>_xlfn.IFNA(VLOOKUP($AH12,Programma!$F$3:$L$1101,7,0),"")</f>
        <v>_</v>
      </c>
      <c r="AO12" s="411" t="str">
        <f>_xlfn.IFNA(VLOOKUP($AH12,Programma!$F$3:$M$1101,8,0),"")</f>
        <v>_</v>
      </c>
      <c r="AP12" s="411" t="str">
        <f>_xlfn.IFNA(VLOOKUP($AH12,Programma!$F$3:$N$1101,9,0),"")</f>
        <v>_</v>
      </c>
      <c r="AQ12" s="411" t="str">
        <f>_xlfn.IFNA(VLOOKUP($AH12,Programma!$F$3:$O$1101,10,0),"")</f>
        <v>_</v>
      </c>
      <c r="AR12" s="411" t="str">
        <f>_xlfn.IFNA(VLOOKUP($AH12,Programma!$F$3:$P$1101,11,0),"")</f>
        <v>_</v>
      </c>
      <c r="AS12" s="411" t="str">
        <f>_xlfn.IFNA(VLOOKUP($AH12,Programma!$F$3:$Q$1101,12,0),"")</f>
        <v>_</v>
      </c>
      <c r="AT12" s="411" t="str">
        <f>_xlfn.IFNA(VLOOKUP($AH12,Programma!$F$3:$R$1101,13,0),"")</f>
        <v>_</v>
      </c>
      <c r="AU12" s="411" t="str">
        <f>_xlfn.IFNA(VLOOKUP($AH12,Programma!$F$3:$S$1101,14,0),"")</f>
        <v>_</v>
      </c>
      <c r="AV12" s="411" t="str">
        <f>_xlfn.IFNA(VLOOKUP($AH12,Programma!$F$3:$T$1101,15,0),"")</f>
        <v>_</v>
      </c>
      <c r="AW12" s="411" t="str">
        <f>_xlfn.IFNA(VLOOKUP($AH12,Programma!$F$3:$U$1101,16,0),"")</f>
        <v>_</v>
      </c>
      <c r="AX12" s="411" t="str">
        <f>_xlfn.IFNA(VLOOKUP($AH12,Programma!$F$3:$V$1101,17,0),"")</f>
        <v>_</v>
      </c>
      <c r="AY12" s="411" t="str">
        <f>_xlfn.IFNA(VLOOKUP($AH12,Programma!$F$3:$W$1101,18,0),"")</f>
        <v>4w</v>
      </c>
      <c r="AZ12" s="411" t="str">
        <f>_xlfn.IFNA(VLOOKUP($AH12,Programma!$F$3:$X$1101,19,0),"")</f>
        <v>1w</v>
      </c>
      <c r="BA12" s="411" t="str">
        <f>_xlfn.IFNA(VLOOKUP($AH12,Programma!$F$3:$Y$1101,20,0),"")</f>
        <v>_</v>
      </c>
      <c r="BB12" s="412"/>
      <c r="BC12" s="410" t="str">
        <f>IF(Ruimtestaat[[#This Row],[Frequentie weekend]]="","",_xlfn.CONCAT(Ruimtestaat[[#This Row],[Ruimte code]],"-",Ruimtestaat[[#This Row],[Frequentie weekend]]," ",Ruimtestaat[[#This Row],[Vloer code]]))</f>
        <v/>
      </c>
      <c r="BD12" s="411" t="str">
        <f>_xlfn.IFNA(VLOOKUP($BC12,Programma!$F$3:$G$1101,2,0),"")</f>
        <v/>
      </c>
      <c r="BE12" s="411" t="str">
        <f>_xlfn.IFNA(VLOOKUP($BC12,Programma!$F$3:$H$1101,3,0),"")</f>
        <v/>
      </c>
      <c r="BF12" s="411" t="str">
        <f>_xlfn.IFNA(VLOOKUP($BC12,Programma!$F$3:$I$1101,4,0),"")</f>
        <v/>
      </c>
      <c r="BG12" s="411" t="str">
        <f>_xlfn.IFNA(VLOOKUP($BC12,Programma!$F$3:$J$1101,5,0),"")</f>
        <v/>
      </c>
      <c r="BH12" s="411" t="str">
        <f>_xlfn.IFNA(VLOOKUP($BC12,Programma!$F$3:$K$1101,6,0),"")</f>
        <v/>
      </c>
      <c r="BI12" s="411" t="str">
        <f>_xlfn.IFNA(VLOOKUP($BC12,Programma!$F$3:$L$1101,7,0),"")</f>
        <v/>
      </c>
      <c r="BJ12" s="411" t="str">
        <f>_xlfn.IFNA(VLOOKUP($BC12,Programma!$F$3:$M$1101,8,0),"")</f>
        <v/>
      </c>
      <c r="BK12" s="411" t="str">
        <f>_xlfn.IFNA(VLOOKUP($BC12,Programma!$F$3:$N$1101,9,0),"")</f>
        <v/>
      </c>
      <c r="BL12" s="411" t="str">
        <f>_xlfn.IFNA(VLOOKUP($BC12,Programma!$F$3:$O$1101,10,0),"")</f>
        <v/>
      </c>
      <c r="BM12" s="411" t="str">
        <f>_xlfn.IFNA(VLOOKUP($BC12,Programma!$F$3:$P$1101,11,0),"")</f>
        <v/>
      </c>
      <c r="BN12" s="411" t="str">
        <f>_xlfn.IFNA(VLOOKUP($BC12,Programma!$F$3:$Q$1101,12,0),"")</f>
        <v/>
      </c>
      <c r="BO12" s="411" t="str">
        <f>_xlfn.IFNA(VLOOKUP($BC12,Programma!$F$3:$R$1101,13,0),"")</f>
        <v/>
      </c>
      <c r="BP12" s="411" t="str">
        <f>_xlfn.IFNA(VLOOKUP($BC12,Programma!$F$3:$S$1101,14,0),"")</f>
        <v/>
      </c>
      <c r="BQ12" s="411" t="str">
        <f>_xlfn.IFNA(VLOOKUP($BC12,Programma!$F$3:$T$1101,15,0),"")</f>
        <v/>
      </c>
      <c r="BR12" s="411" t="str">
        <f>_xlfn.IFNA(VLOOKUP($BC12,Programma!$F$3:$U$1101,16,0),"")</f>
        <v/>
      </c>
      <c r="BS12" s="411" t="str">
        <f>_xlfn.IFNA(VLOOKUP($BC12,Programma!$F$3:$V$1101,17,0),"")</f>
        <v/>
      </c>
      <c r="BT12" s="411" t="str">
        <f>_xlfn.IFNA(VLOOKUP($BC12,Programma!$F$3:$W$1101,18,0),"")</f>
        <v/>
      </c>
      <c r="BU12" s="411" t="str">
        <f>_xlfn.IFNA(VLOOKUP($BC12,Programma!$F$3:$X$1101,19,0),"")</f>
        <v/>
      </c>
      <c r="BV12" s="411" t="str">
        <f>_xlfn.IFNA(VLOOKUP($BC12,Programma!$F$3:$Y$1101,20,0),"")</f>
        <v/>
      </c>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row>
    <row r="13" spans="1:220" ht="15" customHeight="1">
      <c r="A13" s="399">
        <v>1</v>
      </c>
      <c r="B13" s="400" t="str">
        <f>VLOOKUP(Ruimtestaat[[#This Row],[Code]],Locaties[[Code]:[Locatie]],2,FALSE)</f>
        <v>Jansstraat en Janskerk</v>
      </c>
      <c r="C13" s="400" t="str">
        <f>VLOOKUP(Ruimtestaat[[#This Row],[Code]],Locaties[[#All],[Code]:[Adres]],4,FALSE)</f>
        <v>Jansstraat 40</v>
      </c>
      <c r="D13" s="400" t="str">
        <f>VLOOKUP(Ruimtestaat[[#This Row],[Code]],Locaties[[#All],[Code]:[Postcode]],5,FALSE)</f>
        <v>2011 RX</v>
      </c>
      <c r="E13" s="400" t="str">
        <f>VLOOKUP(Ruimtestaat[[#This Row],[Code]],Locaties[#All],6,FALSE)</f>
        <v>Haarlem</v>
      </c>
      <c r="F13" s="399"/>
      <c r="G13" s="399" t="s">
        <v>1639</v>
      </c>
      <c r="H13" s="401">
        <v>8</v>
      </c>
      <c r="I13" s="402" t="s">
        <v>1638</v>
      </c>
      <c r="J13" s="336">
        <v>9</v>
      </c>
      <c r="K13" s="414" t="str">
        <f>VLOOKUP(Ruimtestaat[[#This Row],[Ruimte code]],Ruimtegroepen[[#All],[Code]:[Ruimte omschrijving]],2,FALSE)</f>
        <v>Bibliotheek/OLC</v>
      </c>
      <c r="L13" s="399" t="s">
        <v>101</v>
      </c>
      <c r="M13" s="402" t="s">
        <v>1635</v>
      </c>
      <c r="N13" s="404">
        <v>33.200000000000003</v>
      </c>
      <c r="O13" s="413"/>
      <c r="P13" s="405" t="str">
        <f>VLOOKUP(Ruimtestaat[[#This Row],[Ruimte code]],Ruimtegroepen[],4,FALSE)</f>
        <v>Le</v>
      </c>
      <c r="Q13" s="399">
        <v>51</v>
      </c>
      <c r="R13" s="399" t="s">
        <v>18</v>
      </c>
      <c r="S13" s="399">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13" s="399">
        <f>IF(S13&gt;0,VLOOKUP($J13,Ruimtegroepen[],3,FALSE)*VLOOKUP($L13,Vloersoorten[],3,FALSE)*VLOOKUP($R13,Frequenties[],3,FALSE)*VLOOKUP($A13,Locaties[],3,FALSE),0)</f>
        <v>0</v>
      </c>
      <c r="U13" s="399">
        <f>Ruimtestaat[[#This Row],[Uitvoeringen werkdagen]]*Ruimtestaat[[#This Row],[Oppervlak (netto)]]</f>
        <v>5079.6000000000004</v>
      </c>
      <c r="V13" s="406">
        <f>IF(T13&gt;0,Ruimtestaat[[#This Row],[Prest. (m2 /jaar) werkdagen]]/Ruimtestaat[[#This Row],[Norm (m2/uur) werkdagen]],0)</f>
        <v>0</v>
      </c>
      <c r="W13" s="407">
        <f>Ruimtestaat[[#This Row],[uren / jaar werkdagen]]*Tariefsopbouw!$E$35</f>
        <v>0</v>
      </c>
      <c r="X13" s="399"/>
      <c r="Y13" s="399">
        <f>IF(Ruimtestaat[[#This Row],[Frequentie weekend]]&gt;0,VALUE(LEFT(X13,1))*Q13,0)</f>
        <v>0</v>
      </c>
      <c r="Z13" s="408">
        <f>IF($Y13&gt;0,VLOOKUP($J13,Ruimtegroepen[],3,FALSE)*VLOOKUP($L13,Vloersoorten[],3,FALSE)*VLOOKUP($X13,Frequenties[],3,FALSE)*VLOOKUP(Ruimtestaat[[#This Row],[Code]],Locaties[],3,FALSE),0)</f>
        <v>0</v>
      </c>
      <c r="AA13" s="408">
        <f>Ruimtestaat[[#This Row],[Uitvoeringen weekend]]*Ruimtestaat[[#This Row],[Oppervlak (netto)]]</f>
        <v>0</v>
      </c>
      <c r="AB13" s="408">
        <f>IF(Z13&gt;0,Ruimtestaat[[#This Row],[Prest. (m2 /jaar) weekend]]/Ruimtestaat[[#This Row],[Norm (m2/uur) weekend]],0)</f>
        <v>0</v>
      </c>
      <c r="AC13" s="407">
        <f>Ruimtestaat[[#This Row],[uren / jaar weekend]]*Tariefsopbouw!$D$40</f>
        <v>0</v>
      </c>
      <c r="AD13" s="406">
        <f>Ruimtestaat[[#This Row],[Prest. (m2 /jaar) weekend]]+Ruimtestaat[[#This Row],[Prest. (m2 /jaar) werkdagen]]</f>
        <v>5079.6000000000004</v>
      </c>
      <c r="AE13" s="406">
        <f>Ruimtestaat[[#This Row],[uren / jaar weekend]]+Ruimtestaat[[#This Row],[uren / jaar werkdagen]]</f>
        <v>0</v>
      </c>
      <c r="AF13" s="409">
        <f>Ruimtestaat[[#This Row],[kosten / jaar weekend]]+Ruimtestaat[[#This Row],[kosten / jaar werkdagen]]</f>
        <v>0</v>
      </c>
      <c r="AG13" s="409"/>
      <c r="AH13" s="410" t="str">
        <f>IF(Ruimtestaat[[#This Row],[Frequentie werkdagen]]="","",_xlfn.CONCAT(Ruimtestaat[[#This Row],[Ruimte code]],"-",Ruimtestaat[[#This Row],[Frequentie werkdagen]]," ",Ruimtestaat[[#This Row],[Vloer code]]))</f>
        <v>9-3w S</v>
      </c>
      <c r="AI13" s="411" t="str">
        <f>_xlfn.IFNA(VLOOKUP($AH13,Programma!$F$3:$G$1101,2,0),"")</f>
        <v>_</v>
      </c>
      <c r="AJ13" s="411" t="str">
        <f>_xlfn.IFNA(VLOOKUP($AH13,Programma!$F$3:$H$1101,3,0),"")</f>
        <v>_</v>
      </c>
      <c r="AK13" s="411" t="str">
        <f>_xlfn.IFNA(VLOOKUP($AH13,Programma!$F$3:$I$1101,4,0),"")</f>
        <v>2w</v>
      </c>
      <c r="AL13" s="411" t="str">
        <f>_xlfn.IFNA(VLOOKUP($AH13,Programma!$F$3:$J$1101,5,0),"")</f>
        <v>1w</v>
      </c>
      <c r="AM13" s="411" t="str">
        <f>_xlfn.IFNA(VLOOKUP($AH13,Programma!$F$3:$K$1101,6,0),"")</f>
        <v>4j</v>
      </c>
      <c r="AN13" s="411" t="str">
        <f>_xlfn.IFNA(VLOOKUP($AH13,Programma!$F$3:$L$1101,7,0),"")</f>
        <v>_</v>
      </c>
      <c r="AO13" s="411" t="str">
        <f>_xlfn.IFNA(VLOOKUP($AH13,Programma!$F$3:$M$1101,8,0),"")</f>
        <v>_</v>
      </c>
      <c r="AP13" s="411" t="str">
        <f>_xlfn.IFNA(VLOOKUP($AH13,Programma!$F$3:$N$1101,9,0),"")</f>
        <v>_</v>
      </c>
      <c r="AQ13" s="411" t="str">
        <f>_xlfn.IFNA(VLOOKUP($AH13,Programma!$F$3:$O$1101,10,0),"")</f>
        <v>3w</v>
      </c>
      <c r="AR13" s="411" t="str">
        <f>_xlfn.IFNA(VLOOKUP($AH13,Programma!$F$3:$P$1101,11,0),"")</f>
        <v>3w</v>
      </c>
      <c r="AS13" s="411" t="str">
        <f>_xlfn.IFNA(VLOOKUP($AH13,Programma!$F$3:$Q$1101,12,0),"")</f>
        <v>1w</v>
      </c>
      <c r="AT13" s="411" t="str">
        <f>_xlfn.IFNA(VLOOKUP($AH13,Programma!$F$3:$R$1101,13,0),"")</f>
        <v>1w</v>
      </c>
      <c r="AU13" s="411" t="str">
        <f>_xlfn.IFNA(VLOOKUP($AH13,Programma!$F$3:$S$1101,14,0),"")</f>
        <v>1m</v>
      </c>
      <c r="AV13" s="411" t="str">
        <f>_xlfn.IFNA(VLOOKUP($AH13,Programma!$F$3:$T$1101,15,0),"")</f>
        <v>2j</v>
      </c>
      <c r="AW13" s="411" t="str">
        <f>_xlfn.IFNA(VLOOKUP($AH13,Programma!$F$3:$U$1101,16,0),"")</f>
        <v>1j</v>
      </c>
      <c r="AX13" s="411" t="str">
        <f>_xlfn.IFNA(VLOOKUP($AH13,Programma!$F$3:$V$1101,17,0),"")</f>
        <v>_</v>
      </c>
      <c r="AY13" s="411" t="str">
        <f>_xlfn.IFNA(VLOOKUP($AH13,Programma!$F$3:$W$1101,18,0),"")</f>
        <v>_</v>
      </c>
      <c r="AZ13" s="411" t="str">
        <f>_xlfn.IFNA(VLOOKUP($AH13,Programma!$F$3:$X$1101,19,0),"")</f>
        <v>_</v>
      </c>
      <c r="BA13" s="411" t="str">
        <f>_xlfn.IFNA(VLOOKUP($AH13,Programma!$F$3:$Y$1101,20,0),"")</f>
        <v>_</v>
      </c>
      <c r="BB13" s="412"/>
      <c r="BC13" s="410" t="str">
        <f>IF(Ruimtestaat[[#This Row],[Frequentie weekend]]="","",_xlfn.CONCAT(Ruimtestaat[[#This Row],[Ruimte code]],"-",Ruimtestaat[[#This Row],[Frequentie weekend]]," ",Ruimtestaat[[#This Row],[Vloer code]]))</f>
        <v/>
      </c>
      <c r="BD13" s="411" t="str">
        <f>_xlfn.IFNA(VLOOKUP($BC13,Programma!$F$3:$G$1101,2,0),"")</f>
        <v/>
      </c>
      <c r="BE13" s="411" t="str">
        <f>_xlfn.IFNA(VLOOKUP($BC13,Programma!$F$3:$H$1101,3,0),"")</f>
        <v/>
      </c>
      <c r="BF13" s="411" t="str">
        <f>_xlfn.IFNA(VLOOKUP($BC13,Programma!$F$3:$I$1101,4,0),"")</f>
        <v/>
      </c>
      <c r="BG13" s="411" t="str">
        <f>_xlfn.IFNA(VLOOKUP($BC13,Programma!$F$3:$J$1101,5,0),"")</f>
        <v/>
      </c>
      <c r="BH13" s="411" t="str">
        <f>_xlfn.IFNA(VLOOKUP($BC13,Programma!$F$3:$K$1101,6,0),"")</f>
        <v/>
      </c>
      <c r="BI13" s="411" t="str">
        <f>_xlfn.IFNA(VLOOKUP($BC13,Programma!$F$3:$L$1101,7,0),"")</f>
        <v/>
      </c>
      <c r="BJ13" s="411" t="str">
        <f>_xlfn.IFNA(VLOOKUP($BC13,Programma!$F$3:$M$1101,8,0),"")</f>
        <v/>
      </c>
      <c r="BK13" s="411" t="str">
        <f>_xlfn.IFNA(VLOOKUP($BC13,Programma!$F$3:$N$1101,9,0),"")</f>
        <v/>
      </c>
      <c r="BL13" s="411" t="str">
        <f>_xlfn.IFNA(VLOOKUP($BC13,Programma!$F$3:$O$1101,10,0),"")</f>
        <v/>
      </c>
      <c r="BM13" s="411" t="str">
        <f>_xlfn.IFNA(VLOOKUP($BC13,Programma!$F$3:$P$1101,11,0),"")</f>
        <v/>
      </c>
      <c r="BN13" s="411" t="str">
        <f>_xlfn.IFNA(VLOOKUP($BC13,Programma!$F$3:$Q$1101,12,0),"")</f>
        <v/>
      </c>
      <c r="BO13" s="411" t="str">
        <f>_xlfn.IFNA(VLOOKUP($BC13,Programma!$F$3:$R$1101,13,0),"")</f>
        <v/>
      </c>
      <c r="BP13" s="411" t="str">
        <f>_xlfn.IFNA(VLOOKUP($BC13,Programma!$F$3:$S$1101,14,0),"")</f>
        <v/>
      </c>
      <c r="BQ13" s="411" t="str">
        <f>_xlfn.IFNA(VLOOKUP($BC13,Programma!$F$3:$T$1101,15,0),"")</f>
        <v/>
      </c>
      <c r="BR13" s="411" t="str">
        <f>_xlfn.IFNA(VLOOKUP($BC13,Programma!$F$3:$U$1101,16,0),"")</f>
        <v/>
      </c>
      <c r="BS13" s="411" t="str">
        <f>_xlfn.IFNA(VLOOKUP($BC13,Programma!$F$3:$V$1101,17,0),"")</f>
        <v/>
      </c>
      <c r="BT13" s="411" t="str">
        <f>_xlfn.IFNA(VLOOKUP($BC13,Programma!$F$3:$W$1101,18,0),"")</f>
        <v/>
      </c>
      <c r="BU13" s="411" t="str">
        <f>_xlfn.IFNA(VLOOKUP($BC13,Programma!$F$3:$X$1101,19,0),"")</f>
        <v/>
      </c>
      <c r="BV13" s="411" t="str">
        <f>_xlfn.IFNA(VLOOKUP($BC13,Programma!$F$3:$Y$1101,20,0),"")</f>
        <v/>
      </c>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row>
    <row r="14" spans="1:220" ht="15" customHeight="1">
      <c r="A14" s="399">
        <v>1</v>
      </c>
      <c r="B14" s="400" t="str">
        <f>VLOOKUP(Ruimtestaat[[#This Row],[Code]],Locaties[[Code]:[Locatie]],2,FALSE)</f>
        <v>Jansstraat en Janskerk</v>
      </c>
      <c r="C14" s="400" t="str">
        <f>VLOOKUP(Ruimtestaat[[#This Row],[Code]],Locaties[[#All],[Code]:[Adres]],4,FALSE)</f>
        <v>Jansstraat 40</v>
      </c>
      <c r="D14" s="400" t="str">
        <f>VLOOKUP(Ruimtestaat[[#This Row],[Code]],Locaties[[#All],[Code]:[Postcode]],5,FALSE)</f>
        <v>2011 RX</v>
      </c>
      <c r="E14" s="400" t="str">
        <f>VLOOKUP(Ruimtestaat[[#This Row],[Code]],Locaties[#All],6,FALSE)</f>
        <v>Haarlem</v>
      </c>
      <c r="F14" s="399"/>
      <c r="G14" s="399" t="s">
        <v>1639</v>
      </c>
      <c r="H14" s="401">
        <v>9</v>
      </c>
      <c r="I14" s="402" t="s">
        <v>1631</v>
      </c>
      <c r="J14" s="336">
        <v>6</v>
      </c>
      <c r="K14" s="414" t="str">
        <f>VLOOKUP(Ruimtestaat[[#This Row],[Ruimte code]],Ruimtegroepen[[#All],[Code]:[Ruimte omschrijving]],2,FALSE)</f>
        <v>Gangen/hallen</v>
      </c>
      <c r="L14" s="399" t="s">
        <v>101</v>
      </c>
      <c r="M14" s="402" t="s">
        <v>1635</v>
      </c>
      <c r="N14" s="404">
        <v>9.1</v>
      </c>
      <c r="O14" s="413"/>
      <c r="P14" s="405" t="str">
        <f>VLOOKUP(Ruimtestaat[[#This Row],[Ruimte code]],Ruimtegroepen[],4,FALSE)</f>
        <v>Ve</v>
      </c>
      <c r="Q14" s="399">
        <v>51</v>
      </c>
      <c r="R14" s="399" t="s">
        <v>2</v>
      </c>
      <c r="S14" s="399">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 s="399">
        <f>IF(S14&gt;0,VLOOKUP($J14,Ruimtegroepen[],3,FALSE)*VLOOKUP($L14,Vloersoorten[],3,FALSE)*VLOOKUP($R14,Frequenties[],3,FALSE)*VLOOKUP($A14,Locaties[],3,FALSE),0)</f>
        <v>0</v>
      </c>
      <c r="U14" s="399">
        <f>Ruimtestaat[[#This Row],[Uitvoeringen werkdagen]]*Ruimtestaat[[#This Row],[Oppervlak (netto)]]</f>
        <v>2320.5</v>
      </c>
      <c r="V14" s="406">
        <f>IF(T14&gt;0,Ruimtestaat[[#This Row],[Prest. (m2 /jaar) werkdagen]]/Ruimtestaat[[#This Row],[Norm (m2/uur) werkdagen]],0)</f>
        <v>0</v>
      </c>
      <c r="W14" s="407">
        <f>Ruimtestaat[[#This Row],[uren / jaar werkdagen]]*Tariefsopbouw!$E$35</f>
        <v>0</v>
      </c>
      <c r="X14" s="399"/>
      <c r="Y14" s="399">
        <f>IF(Ruimtestaat[[#This Row],[Frequentie weekend]]&gt;0,VALUE(LEFT(X14,1))*Q14,0)</f>
        <v>0</v>
      </c>
      <c r="Z14" s="408">
        <f>IF($Y14&gt;0,VLOOKUP($J14,Ruimtegroepen[],3,FALSE)*VLOOKUP($L14,Vloersoorten[],3,FALSE)*VLOOKUP($X14,Frequenties[],3,FALSE)*VLOOKUP(Ruimtestaat[[#This Row],[Code]],Locaties[],3,FALSE),0)</f>
        <v>0</v>
      </c>
      <c r="AA14" s="408">
        <f>Ruimtestaat[[#This Row],[Uitvoeringen weekend]]*Ruimtestaat[[#This Row],[Oppervlak (netto)]]</f>
        <v>0</v>
      </c>
      <c r="AB14" s="408">
        <f>IF(Z14&gt;0,Ruimtestaat[[#This Row],[Prest. (m2 /jaar) weekend]]/Ruimtestaat[[#This Row],[Norm (m2/uur) weekend]],0)</f>
        <v>0</v>
      </c>
      <c r="AC14" s="407">
        <f>Ruimtestaat[[#This Row],[uren / jaar weekend]]*Tariefsopbouw!$D$40</f>
        <v>0</v>
      </c>
      <c r="AD14" s="406">
        <f>Ruimtestaat[[#This Row],[Prest. (m2 /jaar) weekend]]+Ruimtestaat[[#This Row],[Prest. (m2 /jaar) werkdagen]]</f>
        <v>2320.5</v>
      </c>
      <c r="AE14" s="406">
        <f>Ruimtestaat[[#This Row],[uren / jaar weekend]]+Ruimtestaat[[#This Row],[uren / jaar werkdagen]]</f>
        <v>0</v>
      </c>
      <c r="AF14" s="409">
        <f>Ruimtestaat[[#This Row],[kosten / jaar weekend]]+Ruimtestaat[[#This Row],[kosten / jaar werkdagen]]</f>
        <v>0</v>
      </c>
      <c r="AG14" s="409"/>
      <c r="AH14" s="410" t="str">
        <f>IF(Ruimtestaat[[#This Row],[Frequentie werkdagen]]="","",_xlfn.CONCAT(Ruimtestaat[[#This Row],[Ruimte code]],"-",Ruimtestaat[[#This Row],[Frequentie werkdagen]]," ",Ruimtestaat[[#This Row],[Vloer code]]))</f>
        <v>6-5w S</v>
      </c>
      <c r="AI14" s="411" t="str">
        <f>_xlfn.IFNA(VLOOKUP($AH14,Programma!$F$3:$G$1101,2,0),"")</f>
        <v>_</v>
      </c>
      <c r="AJ14" s="411" t="str">
        <f>_xlfn.IFNA(VLOOKUP($AH14,Programma!$F$3:$H$1101,3,0),"")</f>
        <v>_</v>
      </c>
      <c r="AK14" s="411" t="str">
        <f>_xlfn.IFNA(VLOOKUP($AH14,Programma!$F$3:$I$1101,4,0),"")</f>
        <v>5w</v>
      </c>
      <c r="AL14" s="411" t="str">
        <f>_xlfn.IFNA(VLOOKUP($AH14,Programma!$F$3:$J$1101,5,0),"")</f>
        <v>_</v>
      </c>
      <c r="AM14" s="411" t="str">
        <f>_xlfn.IFNA(VLOOKUP($AH14,Programma!$F$3:$K$1101,6,0),"")</f>
        <v>5w</v>
      </c>
      <c r="AN14" s="411" t="str">
        <f>_xlfn.IFNA(VLOOKUP($AH14,Programma!$F$3:$L$1101,7,0),"")</f>
        <v>_</v>
      </c>
      <c r="AO14" s="411" t="str">
        <f>_xlfn.IFNA(VLOOKUP($AH14,Programma!$F$3:$M$1101,8,0),"")</f>
        <v>_</v>
      </c>
      <c r="AP14" s="411" t="str">
        <f>_xlfn.IFNA(VLOOKUP($AH14,Programma!$F$3:$N$1101,9,0),"")</f>
        <v>_</v>
      </c>
      <c r="AQ14" s="411" t="str">
        <f>_xlfn.IFNA(VLOOKUP($AH14,Programma!$F$3:$O$1101,10,0),"")</f>
        <v>5w</v>
      </c>
      <c r="AR14" s="411" t="str">
        <f>_xlfn.IFNA(VLOOKUP($AH14,Programma!$F$3:$P$1101,11,0),"")</f>
        <v>5w</v>
      </c>
      <c r="AS14" s="411" t="str">
        <f>_xlfn.IFNA(VLOOKUP($AH14,Programma!$F$3:$Q$1101,12,0),"")</f>
        <v>1w</v>
      </c>
      <c r="AT14" s="411" t="str">
        <f>_xlfn.IFNA(VLOOKUP($AH14,Programma!$F$3:$R$1101,13,0),"")</f>
        <v>1w</v>
      </c>
      <c r="AU14" s="411" t="str">
        <f>_xlfn.IFNA(VLOOKUP($AH14,Programma!$F$3:$S$1101,14,0),"")</f>
        <v>1m</v>
      </c>
      <c r="AV14" s="411" t="str">
        <f>_xlfn.IFNA(VLOOKUP($AH14,Programma!$F$3:$T$1101,15,0),"")</f>
        <v>2j</v>
      </c>
      <c r="AW14" s="411" t="str">
        <f>_xlfn.IFNA(VLOOKUP($AH14,Programma!$F$3:$U$1101,16,0),"")</f>
        <v>1j</v>
      </c>
      <c r="AX14" s="411" t="str">
        <f>_xlfn.IFNA(VLOOKUP($AH14,Programma!$F$3:$V$1101,17,0),"")</f>
        <v>_</v>
      </c>
      <c r="AY14" s="411" t="str">
        <f>_xlfn.IFNA(VLOOKUP($AH14,Programma!$F$3:$W$1101,18,0),"")</f>
        <v>_</v>
      </c>
      <c r="AZ14" s="411" t="str">
        <f>_xlfn.IFNA(VLOOKUP($AH14,Programma!$F$3:$X$1101,19,0),"")</f>
        <v>_</v>
      </c>
      <c r="BA14" s="411" t="str">
        <f>_xlfn.IFNA(VLOOKUP($AH14,Programma!$F$3:$Y$1101,20,0),"")</f>
        <v>_</v>
      </c>
      <c r="BB14" s="412"/>
      <c r="BC14" s="410" t="str">
        <f>IF(Ruimtestaat[[#This Row],[Frequentie weekend]]="","",_xlfn.CONCAT(Ruimtestaat[[#This Row],[Ruimte code]],"-",Ruimtestaat[[#This Row],[Frequentie weekend]]," ",Ruimtestaat[[#This Row],[Vloer code]]))</f>
        <v/>
      </c>
      <c r="BD14" s="411" t="str">
        <f>_xlfn.IFNA(VLOOKUP($BC14,Programma!$F$3:$G$1101,2,0),"")</f>
        <v/>
      </c>
      <c r="BE14" s="411" t="str">
        <f>_xlfn.IFNA(VLOOKUP($BC14,Programma!$F$3:$H$1101,3,0),"")</f>
        <v/>
      </c>
      <c r="BF14" s="411" t="str">
        <f>_xlfn.IFNA(VLOOKUP($BC14,Programma!$F$3:$I$1101,4,0),"")</f>
        <v/>
      </c>
      <c r="BG14" s="411" t="str">
        <f>_xlfn.IFNA(VLOOKUP($BC14,Programma!$F$3:$J$1101,5,0),"")</f>
        <v/>
      </c>
      <c r="BH14" s="411" t="str">
        <f>_xlfn.IFNA(VLOOKUP($BC14,Programma!$F$3:$K$1101,6,0),"")</f>
        <v/>
      </c>
      <c r="BI14" s="411" t="str">
        <f>_xlfn.IFNA(VLOOKUP($BC14,Programma!$F$3:$L$1101,7,0),"")</f>
        <v/>
      </c>
      <c r="BJ14" s="411" t="str">
        <f>_xlfn.IFNA(VLOOKUP($BC14,Programma!$F$3:$M$1101,8,0),"")</f>
        <v/>
      </c>
      <c r="BK14" s="411" t="str">
        <f>_xlfn.IFNA(VLOOKUP($BC14,Programma!$F$3:$N$1101,9,0),"")</f>
        <v/>
      </c>
      <c r="BL14" s="411" t="str">
        <f>_xlfn.IFNA(VLOOKUP($BC14,Programma!$F$3:$O$1101,10,0),"")</f>
        <v/>
      </c>
      <c r="BM14" s="411" t="str">
        <f>_xlfn.IFNA(VLOOKUP($BC14,Programma!$F$3:$P$1101,11,0),"")</f>
        <v/>
      </c>
      <c r="BN14" s="411" t="str">
        <f>_xlfn.IFNA(VLOOKUP($BC14,Programma!$F$3:$Q$1101,12,0),"")</f>
        <v/>
      </c>
      <c r="BO14" s="411" t="str">
        <f>_xlfn.IFNA(VLOOKUP($BC14,Programma!$F$3:$R$1101,13,0),"")</f>
        <v/>
      </c>
      <c r="BP14" s="411" t="str">
        <f>_xlfn.IFNA(VLOOKUP($BC14,Programma!$F$3:$S$1101,14,0),"")</f>
        <v/>
      </c>
      <c r="BQ14" s="411" t="str">
        <f>_xlfn.IFNA(VLOOKUP($BC14,Programma!$F$3:$T$1101,15,0),"")</f>
        <v/>
      </c>
      <c r="BR14" s="411" t="str">
        <f>_xlfn.IFNA(VLOOKUP($BC14,Programma!$F$3:$U$1101,16,0),"")</f>
        <v/>
      </c>
      <c r="BS14" s="411" t="str">
        <f>_xlfn.IFNA(VLOOKUP($BC14,Programma!$F$3:$V$1101,17,0),"")</f>
        <v/>
      </c>
      <c r="BT14" s="411" t="str">
        <f>_xlfn.IFNA(VLOOKUP($BC14,Programma!$F$3:$W$1101,18,0),"")</f>
        <v/>
      </c>
      <c r="BU14" s="411" t="str">
        <f>_xlfn.IFNA(VLOOKUP($BC14,Programma!$F$3:$X$1101,19,0),"")</f>
        <v/>
      </c>
      <c r="BV14" s="411" t="str">
        <f>_xlfn.IFNA(VLOOKUP($BC14,Programma!$F$3:$Y$1101,20,0),"")</f>
        <v/>
      </c>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row>
    <row r="15" spans="1:220" ht="15" customHeight="1">
      <c r="A15" s="399">
        <v>1</v>
      </c>
      <c r="B15" s="400" t="str">
        <f>VLOOKUP(Ruimtestaat[[#This Row],[Code]],Locaties[[Code]:[Locatie]],2,FALSE)</f>
        <v>Jansstraat en Janskerk</v>
      </c>
      <c r="C15" s="400" t="str">
        <f>VLOOKUP(Ruimtestaat[[#This Row],[Code]],Locaties[[#All],[Code]:[Adres]],4,FALSE)</f>
        <v>Jansstraat 40</v>
      </c>
      <c r="D15" s="400" t="str">
        <f>VLOOKUP(Ruimtestaat[[#This Row],[Code]],Locaties[[#All],[Code]:[Postcode]],5,FALSE)</f>
        <v>2011 RX</v>
      </c>
      <c r="E15" s="400" t="str">
        <f>VLOOKUP(Ruimtestaat[[#This Row],[Code]],Locaties[#All],6,FALSE)</f>
        <v>Haarlem</v>
      </c>
      <c r="F15" s="399"/>
      <c r="G15" s="399" t="s">
        <v>1639</v>
      </c>
      <c r="H15" s="401">
        <v>10</v>
      </c>
      <c r="I15" s="402" t="s">
        <v>1649</v>
      </c>
      <c r="J15" s="336">
        <v>6</v>
      </c>
      <c r="K15" s="414" t="str">
        <f>VLOOKUP(Ruimtestaat[[#This Row],[Ruimte code]],Ruimtegroepen[[#All],[Code]:[Ruimte omschrijving]],2,FALSE)</f>
        <v>Gangen/hallen</v>
      </c>
      <c r="L15" s="399" t="s">
        <v>101</v>
      </c>
      <c r="M15" s="402" t="s">
        <v>1635</v>
      </c>
      <c r="N15" s="404">
        <v>161.30000000000001</v>
      </c>
      <c r="O15" s="399"/>
      <c r="P15" s="405" t="str">
        <f>VLOOKUP(Ruimtestaat[[#This Row],[Ruimte code]],Ruimtegroepen[],4,FALSE)</f>
        <v>Ve</v>
      </c>
      <c r="Q15" s="399">
        <v>51</v>
      </c>
      <c r="R15" s="399" t="s">
        <v>2</v>
      </c>
      <c r="S15" s="399">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 s="399">
        <f>IF(S15&gt;0,VLOOKUP($J15,Ruimtegroepen[],3,FALSE)*VLOOKUP($L15,Vloersoorten[],3,FALSE)*VLOOKUP($R15,Frequenties[],3,FALSE)*VLOOKUP($A15,Locaties[],3,FALSE),0)</f>
        <v>0</v>
      </c>
      <c r="U15" s="399">
        <f>Ruimtestaat[[#This Row],[Uitvoeringen werkdagen]]*Ruimtestaat[[#This Row],[Oppervlak (netto)]]</f>
        <v>41131.5</v>
      </c>
      <c r="V15" s="406">
        <f>IF(T15&gt;0,Ruimtestaat[[#This Row],[Prest. (m2 /jaar) werkdagen]]/Ruimtestaat[[#This Row],[Norm (m2/uur) werkdagen]],0)</f>
        <v>0</v>
      </c>
      <c r="W15" s="407">
        <f>Ruimtestaat[[#This Row],[uren / jaar werkdagen]]*Tariefsopbouw!$E$35</f>
        <v>0</v>
      </c>
      <c r="X15" s="399"/>
      <c r="Y15" s="399">
        <f>IF(Ruimtestaat[[#This Row],[Frequentie weekend]]&gt;0,VALUE(LEFT(X15,1))*Q15,0)</f>
        <v>0</v>
      </c>
      <c r="Z15" s="408">
        <f>IF($Y15&gt;0,VLOOKUP($J15,Ruimtegroepen[],3,FALSE)*VLOOKUP($L15,Vloersoorten[],3,FALSE)*VLOOKUP($X15,Frequenties[],3,FALSE)*VLOOKUP(Ruimtestaat[[#This Row],[Code]],Locaties[],3,FALSE),0)</f>
        <v>0</v>
      </c>
      <c r="AA15" s="408">
        <f>Ruimtestaat[[#This Row],[Uitvoeringen weekend]]*Ruimtestaat[[#This Row],[Oppervlak (netto)]]</f>
        <v>0</v>
      </c>
      <c r="AB15" s="408">
        <f>IF(Z15&gt;0,Ruimtestaat[[#This Row],[Prest. (m2 /jaar) weekend]]/Ruimtestaat[[#This Row],[Norm (m2/uur) weekend]],0)</f>
        <v>0</v>
      </c>
      <c r="AC15" s="407">
        <f>Ruimtestaat[[#This Row],[uren / jaar weekend]]*Tariefsopbouw!$D$40</f>
        <v>0</v>
      </c>
      <c r="AD15" s="406">
        <f>Ruimtestaat[[#This Row],[Prest. (m2 /jaar) weekend]]+Ruimtestaat[[#This Row],[Prest. (m2 /jaar) werkdagen]]</f>
        <v>41131.5</v>
      </c>
      <c r="AE15" s="406">
        <f>Ruimtestaat[[#This Row],[uren / jaar weekend]]+Ruimtestaat[[#This Row],[uren / jaar werkdagen]]</f>
        <v>0</v>
      </c>
      <c r="AF15" s="409">
        <f>Ruimtestaat[[#This Row],[kosten / jaar weekend]]+Ruimtestaat[[#This Row],[kosten / jaar werkdagen]]</f>
        <v>0</v>
      </c>
      <c r="AG15" s="409"/>
      <c r="AH15" s="410" t="str">
        <f>IF(Ruimtestaat[[#This Row],[Frequentie werkdagen]]="","",_xlfn.CONCAT(Ruimtestaat[[#This Row],[Ruimte code]],"-",Ruimtestaat[[#This Row],[Frequentie werkdagen]]," ",Ruimtestaat[[#This Row],[Vloer code]]))</f>
        <v>6-5w S</v>
      </c>
      <c r="AI15" s="411" t="str">
        <f>_xlfn.IFNA(VLOOKUP($AH15,Programma!$F$3:$G$1101,2,0),"")</f>
        <v>_</v>
      </c>
      <c r="AJ15" s="411" t="str">
        <f>_xlfn.IFNA(VLOOKUP($AH15,Programma!$F$3:$H$1101,3,0),"")</f>
        <v>_</v>
      </c>
      <c r="AK15" s="411" t="str">
        <f>_xlfn.IFNA(VLOOKUP($AH15,Programma!$F$3:$I$1101,4,0),"")</f>
        <v>5w</v>
      </c>
      <c r="AL15" s="411" t="str">
        <f>_xlfn.IFNA(VLOOKUP($AH15,Programma!$F$3:$J$1101,5,0),"")</f>
        <v>_</v>
      </c>
      <c r="AM15" s="411" t="str">
        <f>_xlfn.IFNA(VLOOKUP($AH15,Programma!$F$3:$K$1101,6,0),"")</f>
        <v>5w</v>
      </c>
      <c r="AN15" s="411" t="str">
        <f>_xlfn.IFNA(VLOOKUP($AH15,Programma!$F$3:$L$1101,7,0),"")</f>
        <v>_</v>
      </c>
      <c r="AO15" s="411" t="str">
        <f>_xlfn.IFNA(VLOOKUP($AH15,Programma!$F$3:$M$1101,8,0),"")</f>
        <v>_</v>
      </c>
      <c r="AP15" s="411" t="str">
        <f>_xlfn.IFNA(VLOOKUP($AH15,Programma!$F$3:$N$1101,9,0),"")</f>
        <v>_</v>
      </c>
      <c r="AQ15" s="411" t="str">
        <f>_xlfn.IFNA(VLOOKUP($AH15,Programma!$F$3:$O$1101,10,0),"")</f>
        <v>5w</v>
      </c>
      <c r="AR15" s="411" t="str">
        <f>_xlfn.IFNA(VLOOKUP($AH15,Programma!$F$3:$P$1101,11,0),"")</f>
        <v>5w</v>
      </c>
      <c r="AS15" s="411" t="str">
        <f>_xlfn.IFNA(VLOOKUP($AH15,Programma!$F$3:$Q$1101,12,0),"")</f>
        <v>1w</v>
      </c>
      <c r="AT15" s="411" t="str">
        <f>_xlfn.IFNA(VLOOKUP($AH15,Programma!$F$3:$R$1101,13,0),"")</f>
        <v>1w</v>
      </c>
      <c r="AU15" s="411" t="str">
        <f>_xlfn.IFNA(VLOOKUP($AH15,Programma!$F$3:$S$1101,14,0),"")</f>
        <v>1m</v>
      </c>
      <c r="AV15" s="411" t="str">
        <f>_xlfn.IFNA(VLOOKUP($AH15,Programma!$F$3:$T$1101,15,0),"")</f>
        <v>2j</v>
      </c>
      <c r="AW15" s="411" t="str">
        <f>_xlfn.IFNA(VLOOKUP($AH15,Programma!$F$3:$U$1101,16,0),"")</f>
        <v>1j</v>
      </c>
      <c r="AX15" s="411" t="str">
        <f>_xlfn.IFNA(VLOOKUP($AH15,Programma!$F$3:$V$1101,17,0),"")</f>
        <v>_</v>
      </c>
      <c r="AY15" s="411" t="str">
        <f>_xlfn.IFNA(VLOOKUP($AH15,Programma!$F$3:$W$1101,18,0),"")</f>
        <v>_</v>
      </c>
      <c r="AZ15" s="411" t="str">
        <f>_xlfn.IFNA(VLOOKUP($AH15,Programma!$F$3:$X$1101,19,0),"")</f>
        <v>_</v>
      </c>
      <c r="BA15" s="411" t="str">
        <f>_xlfn.IFNA(VLOOKUP($AH15,Programma!$F$3:$Y$1101,20,0),"")</f>
        <v>_</v>
      </c>
      <c r="BB15" s="412"/>
      <c r="BC15" s="410" t="str">
        <f>IF(Ruimtestaat[[#This Row],[Frequentie weekend]]="","",_xlfn.CONCAT(Ruimtestaat[[#This Row],[Ruimte code]],"-",Ruimtestaat[[#This Row],[Frequentie weekend]]," ",Ruimtestaat[[#This Row],[Vloer code]]))</f>
        <v/>
      </c>
      <c r="BD15" s="411" t="str">
        <f>_xlfn.IFNA(VLOOKUP($BC15,Programma!$F$3:$G$1101,2,0),"")</f>
        <v/>
      </c>
      <c r="BE15" s="411" t="str">
        <f>_xlfn.IFNA(VLOOKUP($BC15,Programma!$F$3:$H$1101,3,0),"")</f>
        <v/>
      </c>
      <c r="BF15" s="411" t="str">
        <f>_xlfn.IFNA(VLOOKUP($BC15,Programma!$F$3:$I$1101,4,0),"")</f>
        <v/>
      </c>
      <c r="BG15" s="411" t="str">
        <f>_xlfn.IFNA(VLOOKUP($BC15,Programma!$F$3:$J$1101,5,0),"")</f>
        <v/>
      </c>
      <c r="BH15" s="411" t="str">
        <f>_xlfn.IFNA(VLOOKUP($BC15,Programma!$F$3:$K$1101,6,0),"")</f>
        <v/>
      </c>
      <c r="BI15" s="411" t="str">
        <f>_xlfn.IFNA(VLOOKUP($BC15,Programma!$F$3:$L$1101,7,0),"")</f>
        <v/>
      </c>
      <c r="BJ15" s="411" t="str">
        <f>_xlfn.IFNA(VLOOKUP($BC15,Programma!$F$3:$M$1101,8,0),"")</f>
        <v/>
      </c>
      <c r="BK15" s="411" t="str">
        <f>_xlfn.IFNA(VLOOKUP($BC15,Programma!$F$3:$N$1101,9,0),"")</f>
        <v/>
      </c>
      <c r="BL15" s="411" t="str">
        <f>_xlfn.IFNA(VLOOKUP($BC15,Programma!$F$3:$O$1101,10,0),"")</f>
        <v/>
      </c>
      <c r="BM15" s="411" t="str">
        <f>_xlfn.IFNA(VLOOKUP($BC15,Programma!$F$3:$P$1101,11,0),"")</f>
        <v/>
      </c>
      <c r="BN15" s="411" t="str">
        <f>_xlfn.IFNA(VLOOKUP($BC15,Programma!$F$3:$Q$1101,12,0),"")</f>
        <v/>
      </c>
      <c r="BO15" s="411" t="str">
        <f>_xlfn.IFNA(VLOOKUP($BC15,Programma!$F$3:$R$1101,13,0),"")</f>
        <v/>
      </c>
      <c r="BP15" s="411" t="str">
        <f>_xlfn.IFNA(VLOOKUP($BC15,Programma!$F$3:$S$1101,14,0),"")</f>
        <v/>
      </c>
      <c r="BQ15" s="411" t="str">
        <f>_xlfn.IFNA(VLOOKUP($BC15,Programma!$F$3:$T$1101,15,0),"")</f>
        <v/>
      </c>
      <c r="BR15" s="411" t="str">
        <f>_xlfn.IFNA(VLOOKUP($BC15,Programma!$F$3:$U$1101,16,0),"")</f>
        <v/>
      </c>
      <c r="BS15" s="411" t="str">
        <f>_xlfn.IFNA(VLOOKUP($BC15,Programma!$F$3:$V$1101,17,0),"")</f>
        <v/>
      </c>
      <c r="BT15" s="411" t="str">
        <f>_xlfn.IFNA(VLOOKUP($BC15,Programma!$F$3:$W$1101,18,0),"")</f>
        <v/>
      </c>
      <c r="BU15" s="411" t="str">
        <f>_xlfn.IFNA(VLOOKUP($BC15,Programma!$F$3:$X$1101,19,0),"")</f>
        <v/>
      </c>
      <c r="BV15" s="411" t="str">
        <f>_xlfn.IFNA(VLOOKUP($BC15,Programma!$F$3:$Y$1101,20,0),"")</f>
        <v/>
      </c>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row>
    <row r="16" spans="1:220" ht="15" customHeight="1">
      <c r="A16" s="399">
        <v>1</v>
      </c>
      <c r="B16" s="400" t="str">
        <f>VLOOKUP(Ruimtestaat[[#This Row],[Code]],Locaties[[Code]:[Locatie]],2,FALSE)</f>
        <v>Jansstraat en Janskerk</v>
      </c>
      <c r="C16" s="400" t="str">
        <f>VLOOKUP(Ruimtestaat[[#This Row],[Code]],Locaties[[#All],[Code]:[Adres]],4,FALSE)</f>
        <v>Jansstraat 40</v>
      </c>
      <c r="D16" s="400" t="str">
        <f>VLOOKUP(Ruimtestaat[[#This Row],[Code]],Locaties[[#All],[Code]:[Postcode]],5,FALSE)</f>
        <v>2011 RX</v>
      </c>
      <c r="E16" s="400" t="str">
        <f>VLOOKUP(Ruimtestaat[[#This Row],[Code]],Locaties[#All],6,FALSE)</f>
        <v>Haarlem</v>
      </c>
      <c r="F16" s="399"/>
      <c r="G16" s="399" t="s">
        <v>1639</v>
      </c>
      <c r="H16" s="401">
        <v>11</v>
      </c>
      <c r="I16" s="402" t="s">
        <v>1632</v>
      </c>
      <c r="J16" s="336">
        <v>12</v>
      </c>
      <c r="K16" s="414" t="str">
        <f>VLOOKUP(Ruimtestaat[[#This Row],[Ruimte code]],Ruimtegroepen[[#All],[Code]:[Ruimte omschrijving]],2,FALSE)</f>
        <v>Kantine/Aula</v>
      </c>
      <c r="L16" s="399" t="s">
        <v>1313</v>
      </c>
      <c r="M16" s="402" t="s">
        <v>249</v>
      </c>
      <c r="N16" s="404">
        <v>55</v>
      </c>
      <c r="O16" s="413"/>
      <c r="P16" s="405" t="str">
        <f>VLOOKUP(Ruimtestaat[[#This Row],[Ruimte code]],Ruimtegroepen[],4,FALSE)</f>
        <v>Ve</v>
      </c>
      <c r="Q16" s="399">
        <v>51</v>
      </c>
      <c r="R16" s="399" t="s">
        <v>2</v>
      </c>
      <c r="S16" s="399">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 s="399">
        <f>IF(S16&gt;0,VLOOKUP($J16,Ruimtegroepen[],3,FALSE)*VLOOKUP($L16,Vloersoorten[],3,FALSE)*VLOOKUP($R16,Frequenties[],3,FALSE)*VLOOKUP($A16,Locaties[],3,FALSE),0)</f>
        <v>0</v>
      </c>
      <c r="U16" s="399">
        <f>Ruimtestaat[[#This Row],[Uitvoeringen werkdagen]]*Ruimtestaat[[#This Row],[Oppervlak (netto)]]</f>
        <v>14025</v>
      </c>
      <c r="V16" s="406">
        <f>IF(T16&gt;0,Ruimtestaat[[#This Row],[Prest. (m2 /jaar) werkdagen]]/Ruimtestaat[[#This Row],[Norm (m2/uur) werkdagen]],0)</f>
        <v>0</v>
      </c>
      <c r="W16" s="407">
        <f>Ruimtestaat[[#This Row],[uren / jaar werkdagen]]*Tariefsopbouw!$E$35</f>
        <v>0</v>
      </c>
      <c r="X16" s="399"/>
      <c r="Y16" s="399">
        <f>IF(Ruimtestaat[[#This Row],[Frequentie weekend]]&gt;0,VALUE(LEFT(X16,1))*Q16,0)</f>
        <v>0</v>
      </c>
      <c r="Z16" s="408">
        <f>IF($Y16&gt;0,VLOOKUP($J16,Ruimtegroepen[],3,FALSE)*VLOOKUP($L16,Vloersoorten[],3,FALSE)*VLOOKUP($X16,Frequenties[],3,FALSE)*VLOOKUP(Ruimtestaat[[#This Row],[Code]],Locaties[],3,FALSE),0)</f>
        <v>0</v>
      </c>
      <c r="AA16" s="408">
        <f>Ruimtestaat[[#This Row],[Uitvoeringen weekend]]*Ruimtestaat[[#This Row],[Oppervlak (netto)]]</f>
        <v>0</v>
      </c>
      <c r="AB16" s="408">
        <f>IF(Z16&gt;0,Ruimtestaat[[#This Row],[Prest. (m2 /jaar) weekend]]/Ruimtestaat[[#This Row],[Norm (m2/uur) weekend]],0)</f>
        <v>0</v>
      </c>
      <c r="AC16" s="407">
        <f>Ruimtestaat[[#This Row],[uren / jaar weekend]]*Tariefsopbouw!$D$40</f>
        <v>0</v>
      </c>
      <c r="AD16" s="406">
        <f>Ruimtestaat[[#This Row],[Prest. (m2 /jaar) weekend]]+Ruimtestaat[[#This Row],[Prest. (m2 /jaar) werkdagen]]</f>
        <v>14025</v>
      </c>
      <c r="AE16" s="406">
        <f>Ruimtestaat[[#This Row],[uren / jaar weekend]]+Ruimtestaat[[#This Row],[uren / jaar werkdagen]]</f>
        <v>0</v>
      </c>
      <c r="AF16" s="409">
        <f>Ruimtestaat[[#This Row],[kosten / jaar weekend]]+Ruimtestaat[[#This Row],[kosten / jaar werkdagen]]</f>
        <v>0</v>
      </c>
      <c r="AG16" s="409"/>
      <c r="AH16" s="410" t="str">
        <f>IF(Ruimtestaat[[#This Row],[Frequentie werkdagen]]="","",_xlfn.CONCAT(Ruimtestaat[[#This Row],[Ruimte code]],"-",Ruimtestaat[[#This Row],[Frequentie werkdagen]]," ",Ruimtestaat[[#This Row],[Vloer code]]))</f>
        <v>12-5w H</v>
      </c>
      <c r="AI16" s="411" t="str">
        <f>_xlfn.IFNA(VLOOKUP($AH16,Programma!$F$3:$G$1101,2,0),"")</f>
        <v>_</v>
      </c>
      <c r="AJ16" s="411" t="str">
        <f>_xlfn.IFNA(VLOOKUP($AH16,Programma!$F$3:$H$1101,3,0),"")</f>
        <v>_</v>
      </c>
      <c r="AK16" s="411" t="str">
        <f>_xlfn.IFNA(VLOOKUP($AH16,Programma!$F$3:$I$1101,4,0),"")</f>
        <v>5w</v>
      </c>
      <c r="AL16" s="411" t="str">
        <f>_xlfn.IFNA(VLOOKUP($AH16,Programma!$F$3:$J$1101,5,0),"")</f>
        <v>_</v>
      </c>
      <c r="AM16" s="411" t="str">
        <f>_xlfn.IFNA(VLOOKUP($AH16,Programma!$F$3:$K$1101,6,0),"")</f>
        <v>5w</v>
      </c>
      <c r="AN16" s="411" t="str">
        <f>_xlfn.IFNA(VLOOKUP($AH16,Programma!$F$3:$L$1101,7,0),"")</f>
        <v>_</v>
      </c>
      <c r="AO16" s="411" t="str">
        <f>_xlfn.IFNA(VLOOKUP($AH16,Programma!$F$3:$M$1101,8,0),"")</f>
        <v>_</v>
      </c>
      <c r="AP16" s="411" t="str">
        <f>_xlfn.IFNA(VLOOKUP($AH16,Programma!$F$3:$N$1101,9,0),"")</f>
        <v>_</v>
      </c>
      <c r="AQ16" s="411" t="str">
        <f>_xlfn.IFNA(VLOOKUP($AH16,Programma!$F$3:$O$1101,10,0),"")</f>
        <v>5w</v>
      </c>
      <c r="AR16" s="411" t="str">
        <f>_xlfn.IFNA(VLOOKUP($AH16,Programma!$F$3:$P$1101,11,0),"")</f>
        <v>5w</v>
      </c>
      <c r="AS16" s="411" t="str">
        <f>_xlfn.IFNA(VLOOKUP($AH16,Programma!$F$3:$Q$1101,12,0),"")</f>
        <v>1w</v>
      </c>
      <c r="AT16" s="411" t="str">
        <f>_xlfn.IFNA(VLOOKUP($AH16,Programma!$F$3:$R$1101,13,0),"")</f>
        <v>1w</v>
      </c>
      <c r="AU16" s="411" t="str">
        <f>_xlfn.IFNA(VLOOKUP($AH16,Programma!$F$3:$S$1101,14,0),"")</f>
        <v>1m</v>
      </c>
      <c r="AV16" s="411" t="str">
        <f>_xlfn.IFNA(VLOOKUP($AH16,Programma!$F$3:$T$1101,15,0),"")</f>
        <v>2j</v>
      </c>
      <c r="AW16" s="411" t="str">
        <f>_xlfn.IFNA(VLOOKUP($AH16,Programma!$F$3:$U$1101,16,0),"")</f>
        <v>1j</v>
      </c>
      <c r="AX16" s="411" t="str">
        <f>_xlfn.IFNA(VLOOKUP($AH16,Programma!$F$3:$V$1101,17,0),"")</f>
        <v>_</v>
      </c>
      <c r="AY16" s="411" t="str">
        <f>_xlfn.IFNA(VLOOKUP($AH16,Programma!$F$3:$W$1101,18,0),"")</f>
        <v>_</v>
      </c>
      <c r="AZ16" s="411" t="str">
        <f>_xlfn.IFNA(VLOOKUP($AH16,Programma!$F$3:$X$1101,19,0),"")</f>
        <v>_</v>
      </c>
      <c r="BA16" s="411" t="str">
        <f>_xlfn.IFNA(VLOOKUP($AH16,Programma!$F$3:$Y$1101,20,0),"")</f>
        <v>_</v>
      </c>
      <c r="BB16" s="412"/>
      <c r="BC16" s="410" t="str">
        <f>IF(Ruimtestaat[[#This Row],[Frequentie weekend]]="","",_xlfn.CONCAT(Ruimtestaat[[#This Row],[Ruimte code]],"-",Ruimtestaat[[#This Row],[Frequentie weekend]]," ",Ruimtestaat[[#This Row],[Vloer code]]))</f>
        <v/>
      </c>
      <c r="BD16" s="411" t="str">
        <f>_xlfn.IFNA(VLOOKUP($BC16,Programma!$F$3:$G$1101,2,0),"")</f>
        <v/>
      </c>
      <c r="BE16" s="411" t="str">
        <f>_xlfn.IFNA(VLOOKUP($BC16,Programma!$F$3:$H$1101,3,0),"")</f>
        <v/>
      </c>
      <c r="BF16" s="411" t="str">
        <f>_xlfn.IFNA(VLOOKUP($BC16,Programma!$F$3:$I$1101,4,0),"")</f>
        <v/>
      </c>
      <c r="BG16" s="411" t="str">
        <f>_xlfn.IFNA(VLOOKUP($BC16,Programma!$F$3:$J$1101,5,0),"")</f>
        <v/>
      </c>
      <c r="BH16" s="411" t="str">
        <f>_xlfn.IFNA(VLOOKUP($BC16,Programma!$F$3:$K$1101,6,0),"")</f>
        <v/>
      </c>
      <c r="BI16" s="411" t="str">
        <f>_xlfn.IFNA(VLOOKUP($BC16,Programma!$F$3:$L$1101,7,0),"")</f>
        <v/>
      </c>
      <c r="BJ16" s="411" t="str">
        <f>_xlfn.IFNA(VLOOKUP($BC16,Programma!$F$3:$M$1101,8,0),"")</f>
        <v/>
      </c>
      <c r="BK16" s="411" t="str">
        <f>_xlfn.IFNA(VLOOKUP($BC16,Programma!$F$3:$N$1101,9,0),"")</f>
        <v/>
      </c>
      <c r="BL16" s="411" t="str">
        <f>_xlfn.IFNA(VLOOKUP($BC16,Programma!$F$3:$O$1101,10,0),"")</f>
        <v/>
      </c>
      <c r="BM16" s="411" t="str">
        <f>_xlfn.IFNA(VLOOKUP($BC16,Programma!$F$3:$P$1101,11,0),"")</f>
        <v/>
      </c>
      <c r="BN16" s="411" t="str">
        <f>_xlfn.IFNA(VLOOKUP($BC16,Programma!$F$3:$Q$1101,12,0),"")</f>
        <v/>
      </c>
      <c r="BO16" s="411" t="str">
        <f>_xlfn.IFNA(VLOOKUP($BC16,Programma!$F$3:$R$1101,13,0),"")</f>
        <v/>
      </c>
      <c r="BP16" s="411" t="str">
        <f>_xlfn.IFNA(VLOOKUP($BC16,Programma!$F$3:$S$1101,14,0),"")</f>
        <v/>
      </c>
      <c r="BQ16" s="411" t="str">
        <f>_xlfn.IFNA(VLOOKUP($BC16,Programma!$F$3:$T$1101,15,0),"")</f>
        <v/>
      </c>
      <c r="BR16" s="411" t="str">
        <f>_xlfn.IFNA(VLOOKUP($BC16,Programma!$F$3:$U$1101,16,0),"")</f>
        <v/>
      </c>
      <c r="BS16" s="411" t="str">
        <f>_xlfn.IFNA(VLOOKUP($BC16,Programma!$F$3:$V$1101,17,0),"")</f>
        <v/>
      </c>
      <c r="BT16" s="411" t="str">
        <f>_xlfn.IFNA(VLOOKUP($BC16,Programma!$F$3:$W$1101,18,0),"")</f>
        <v/>
      </c>
      <c r="BU16" s="411" t="str">
        <f>_xlfn.IFNA(VLOOKUP($BC16,Programma!$F$3:$X$1101,19,0),"")</f>
        <v/>
      </c>
      <c r="BV16" s="411" t="str">
        <f>_xlfn.IFNA(VLOOKUP($BC16,Programma!$F$3:$Y$1101,20,0),"")</f>
        <v/>
      </c>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row>
    <row r="17" spans="1:74" s="28" customFormat="1" ht="15" customHeight="1">
      <c r="A17" s="399">
        <v>1</v>
      </c>
      <c r="B17" s="400" t="str">
        <f>VLOOKUP(Ruimtestaat[[#This Row],[Code]],Locaties[[Code]:[Locatie]],2,FALSE)</f>
        <v>Jansstraat en Janskerk</v>
      </c>
      <c r="C17" s="400" t="str">
        <f>VLOOKUP(Ruimtestaat[[#This Row],[Code]],Locaties[[#All],[Code]:[Adres]],4,FALSE)</f>
        <v>Jansstraat 40</v>
      </c>
      <c r="D17" s="400" t="str">
        <f>VLOOKUP(Ruimtestaat[[#This Row],[Code]],Locaties[[#All],[Code]:[Postcode]],5,FALSE)</f>
        <v>2011 RX</v>
      </c>
      <c r="E17" s="400" t="str">
        <f>VLOOKUP(Ruimtestaat[[#This Row],[Code]],Locaties[#All],6,FALSE)</f>
        <v>Haarlem</v>
      </c>
      <c r="F17" s="399"/>
      <c r="G17" s="399" t="s">
        <v>1639</v>
      </c>
      <c r="H17" s="401">
        <v>12</v>
      </c>
      <c r="I17" s="402" t="s">
        <v>1633</v>
      </c>
      <c r="J17" s="336">
        <v>12</v>
      </c>
      <c r="K17" s="414" t="str">
        <f>VLOOKUP(Ruimtestaat[[#This Row],[Ruimte code]],Ruimtegroepen[[#All],[Code]:[Ruimte omschrijving]],2,FALSE)</f>
        <v>Kantine/Aula</v>
      </c>
      <c r="L17" s="399" t="s">
        <v>1313</v>
      </c>
      <c r="M17" s="402" t="s">
        <v>249</v>
      </c>
      <c r="N17" s="404">
        <v>50</v>
      </c>
      <c r="O17" s="413"/>
      <c r="P17" s="405" t="str">
        <f>VLOOKUP(Ruimtestaat[[#This Row],[Ruimte code]],Ruimtegroepen[],4,FALSE)</f>
        <v>Ve</v>
      </c>
      <c r="Q17" s="399">
        <v>51</v>
      </c>
      <c r="R17" s="399" t="s">
        <v>2</v>
      </c>
      <c r="S17" s="399">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 s="399">
        <f>IF(S17&gt;0,VLOOKUP($J17,Ruimtegroepen[],3,FALSE)*VLOOKUP($L17,Vloersoorten[],3,FALSE)*VLOOKUP($R17,Frequenties[],3,FALSE)*VLOOKUP($A17,Locaties[],3,FALSE),0)</f>
        <v>0</v>
      </c>
      <c r="U17" s="399">
        <f>Ruimtestaat[[#This Row],[Uitvoeringen werkdagen]]*Ruimtestaat[[#This Row],[Oppervlak (netto)]]</f>
        <v>12750</v>
      </c>
      <c r="V17" s="406">
        <f>IF(T17&gt;0,Ruimtestaat[[#This Row],[Prest. (m2 /jaar) werkdagen]]/Ruimtestaat[[#This Row],[Norm (m2/uur) werkdagen]],0)</f>
        <v>0</v>
      </c>
      <c r="W17" s="407">
        <f>Ruimtestaat[[#This Row],[uren / jaar werkdagen]]*Tariefsopbouw!$E$35</f>
        <v>0</v>
      </c>
      <c r="X17" s="399"/>
      <c r="Y17" s="399">
        <f>IF(Ruimtestaat[[#This Row],[Frequentie weekend]]&gt;0,VALUE(LEFT(X17,1))*Q17,0)</f>
        <v>0</v>
      </c>
      <c r="Z17" s="408">
        <f>IF($Y17&gt;0,VLOOKUP($J17,Ruimtegroepen[],3,FALSE)*VLOOKUP($L17,Vloersoorten[],3,FALSE)*VLOOKUP($X17,Frequenties[],3,FALSE)*VLOOKUP(Ruimtestaat[[#This Row],[Code]],Locaties[],3,FALSE),0)</f>
        <v>0</v>
      </c>
      <c r="AA17" s="408">
        <f>Ruimtestaat[[#This Row],[Uitvoeringen weekend]]*Ruimtestaat[[#This Row],[Oppervlak (netto)]]</f>
        <v>0</v>
      </c>
      <c r="AB17" s="408">
        <f>IF(Z17&gt;0,Ruimtestaat[[#This Row],[Prest. (m2 /jaar) weekend]]/Ruimtestaat[[#This Row],[Norm (m2/uur) weekend]],0)</f>
        <v>0</v>
      </c>
      <c r="AC17" s="407">
        <f>Ruimtestaat[[#This Row],[uren / jaar weekend]]*Tariefsopbouw!$D$40</f>
        <v>0</v>
      </c>
      <c r="AD17" s="406">
        <f>Ruimtestaat[[#This Row],[Prest. (m2 /jaar) weekend]]+Ruimtestaat[[#This Row],[Prest. (m2 /jaar) werkdagen]]</f>
        <v>12750</v>
      </c>
      <c r="AE17" s="406">
        <f>Ruimtestaat[[#This Row],[uren / jaar weekend]]+Ruimtestaat[[#This Row],[uren / jaar werkdagen]]</f>
        <v>0</v>
      </c>
      <c r="AF17" s="409">
        <f>Ruimtestaat[[#This Row],[kosten / jaar weekend]]+Ruimtestaat[[#This Row],[kosten / jaar werkdagen]]</f>
        <v>0</v>
      </c>
      <c r="AG17" s="409"/>
      <c r="AH17" s="410" t="str">
        <f>IF(Ruimtestaat[[#This Row],[Frequentie werkdagen]]="","",_xlfn.CONCAT(Ruimtestaat[[#This Row],[Ruimte code]],"-",Ruimtestaat[[#This Row],[Frequentie werkdagen]]," ",Ruimtestaat[[#This Row],[Vloer code]]))</f>
        <v>12-5w H</v>
      </c>
      <c r="AI17" s="411" t="str">
        <f>_xlfn.IFNA(VLOOKUP($AH17,Programma!$F$3:$G$1101,2,0),"")</f>
        <v>_</v>
      </c>
      <c r="AJ17" s="411" t="str">
        <f>_xlfn.IFNA(VLOOKUP($AH17,Programma!$F$3:$H$1101,3,0),"")</f>
        <v>_</v>
      </c>
      <c r="AK17" s="411" t="str">
        <f>_xlfn.IFNA(VLOOKUP($AH17,Programma!$F$3:$I$1101,4,0),"")</f>
        <v>5w</v>
      </c>
      <c r="AL17" s="411" t="str">
        <f>_xlfn.IFNA(VLOOKUP($AH17,Programma!$F$3:$J$1101,5,0),"")</f>
        <v>_</v>
      </c>
      <c r="AM17" s="411" t="str">
        <f>_xlfn.IFNA(VLOOKUP($AH17,Programma!$F$3:$K$1101,6,0),"")</f>
        <v>5w</v>
      </c>
      <c r="AN17" s="411" t="str">
        <f>_xlfn.IFNA(VLOOKUP($AH17,Programma!$F$3:$L$1101,7,0),"")</f>
        <v>_</v>
      </c>
      <c r="AO17" s="411" t="str">
        <f>_xlfn.IFNA(VLOOKUP($AH17,Programma!$F$3:$M$1101,8,0),"")</f>
        <v>_</v>
      </c>
      <c r="AP17" s="411" t="str">
        <f>_xlfn.IFNA(VLOOKUP($AH17,Programma!$F$3:$N$1101,9,0),"")</f>
        <v>_</v>
      </c>
      <c r="AQ17" s="411" t="str">
        <f>_xlfn.IFNA(VLOOKUP($AH17,Programma!$F$3:$O$1101,10,0),"")</f>
        <v>5w</v>
      </c>
      <c r="AR17" s="411" t="str">
        <f>_xlfn.IFNA(VLOOKUP($AH17,Programma!$F$3:$P$1101,11,0),"")</f>
        <v>5w</v>
      </c>
      <c r="AS17" s="411" t="str">
        <f>_xlfn.IFNA(VLOOKUP($AH17,Programma!$F$3:$Q$1101,12,0),"")</f>
        <v>1w</v>
      </c>
      <c r="AT17" s="411" t="str">
        <f>_xlfn.IFNA(VLOOKUP($AH17,Programma!$F$3:$R$1101,13,0),"")</f>
        <v>1w</v>
      </c>
      <c r="AU17" s="411" t="str">
        <f>_xlfn.IFNA(VLOOKUP($AH17,Programma!$F$3:$S$1101,14,0),"")</f>
        <v>1m</v>
      </c>
      <c r="AV17" s="411" t="str">
        <f>_xlfn.IFNA(VLOOKUP($AH17,Programma!$F$3:$T$1101,15,0),"")</f>
        <v>2j</v>
      </c>
      <c r="AW17" s="411" t="str">
        <f>_xlfn.IFNA(VLOOKUP($AH17,Programma!$F$3:$U$1101,16,0),"")</f>
        <v>1j</v>
      </c>
      <c r="AX17" s="411" t="str">
        <f>_xlfn.IFNA(VLOOKUP($AH17,Programma!$F$3:$V$1101,17,0),"")</f>
        <v>_</v>
      </c>
      <c r="AY17" s="411" t="str">
        <f>_xlfn.IFNA(VLOOKUP($AH17,Programma!$F$3:$W$1101,18,0),"")</f>
        <v>_</v>
      </c>
      <c r="AZ17" s="411" t="str">
        <f>_xlfn.IFNA(VLOOKUP($AH17,Programma!$F$3:$X$1101,19,0),"")</f>
        <v>_</v>
      </c>
      <c r="BA17" s="411" t="str">
        <f>_xlfn.IFNA(VLOOKUP($AH17,Programma!$F$3:$Y$1101,20,0),"")</f>
        <v>_</v>
      </c>
      <c r="BB17" s="412"/>
      <c r="BC17" s="410" t="str">
        <f>IF(Ruimtestaat[[#This Row],[Frequentie weekend]]="","",_xlfn.CONCAT(Ruimtestaat[[#This Row],[Ruimte code]],"-",Ruimtestaat[[#This Row],[Frequentie weekend]]," ",Ruimtestaat[[#This Row],[Vloer code]]))</f>
        <v/>
      </c>
      <c r="BD17" s="411" t="str">
        <f>_xlfn.IFNA(VLOOKUP($BC17,Programma!$F$3:$G$1101,2,0),"")</f>
        <v/>
      </c>
      <c r="BE17" s="411" t="str">
        <f>_xlfn.IFNA(VLOOKUP($BC17,Programma!$F$3:$H$1101,3,0),"")</f>
        <v/>
      </c>
      <c r="BF17" s="411" t="str">
        <f>_xlfn.IFNA(VLOOKUP($BC17,Programma!$F$3:$I$1101,4,0),"")</f>
        <v/>
      </c>
      <c r="BG17" s="411" t="str">
        <f>_xlfn.IFNA(VLOOKUP($BC17,Programma!$F$3:$J$1101,5,0),"")</f>
        <v/>
      </c>
      <c r="BH17" s="411" t="str">
        <f>_xlfn.IFNA(VLOOKUP($BC17,Programma!$F$3:$K$1101,6,0),"")</f>
        <v/>
      </c>
      <c r="BI17" s="411" t="str">
        <f>_xlfn.IFNA(VLOOKUP($BC17,Programma!$F$3:$L$1101,7,0),"")</f>
        <v/>
      </c>
      <c r="BJ17" s="411" t="str">
        <f>_xlfn.IFNA(VLOOKUP($BC17,Programma!$F$3:$M$1101,8,0),"")</f>
        <v/>
      </c>
      <c r="BK17" s="411" t="str">
        <f>_xlfn.IFNA(VLOOKUP($BC17,Programma!$F$3:$N$1101,9,0),"")</f>
        <v/>
      </c>
      <c r="BL17" s="411" t="str">
        <f>_xlfn.IFNA(VLOOKUP($BC17,Programma!$F$3:$O$1101,10,0),"")</f>
        <v/>
      </c>
      <c r="BM17" s="411" t="str">
        <f>_xlfn.IFNA(VLOOKUP($BC17,Programma!$F$3:$P$1101,11,0),"")</f>
        <v/>
      </c>
      <c r="BN17" s="411" t="str">
        <f>_xlfn.IFNA(VLOOKUP($BC17,Programma!$F$3:$Q$1101,12,0),"")</f>
        <v/>
      </c>
      <c r="BO17" s="411" t="str">
        <f>_xlfn.IFNA(VLOOKUP($BC17,Programma!$F$3:$R$1101,13,0),"")</f>
        <v/>
      </c>
      <c r="BP17" s="411" t="str">
        <f>_xlfn.IFNA(VLOOKUP($BC17,Programma!$F$3:$S$1101,14,0),"")</f>
        <v/>
      </c>
      <c r="BQ17" s="411" t="str">
        <f>_xlfn.IFNA(VLOOKUP($BC17,Programma!$F$3:$T$1101,15,0),"")</f>
        <v/>
      </c>
      <c r="BR17" s="411" t="str">
        <f>_xlfn.IFNA(VLOOKUP($BC17,Programma!$F$3:$U$1101,16,0),"")</f>
        <v/>
      </c>
      <c r="BS17" s="411" t="str">
        <f>_xlfn.IFNA(VLOOKUP($BC17,Programma!$F$3:$V$1101,17,0),"")</f>
        <v/>
      </c>
      <c r="BT17" s="411" t="str">
        <f>_xlfn.IFNA(VLOOKUP($BC17,Programma!$F$3:$W$1101,18,0),"")</f>
        <v/>
      </c>
      <c r="BU17" s="411" t="str">
        <f>_xlfn.IFNA(VLOOKUP($BC17,Programma!$F$3:$X$1101,19,0),"")</f>
        <v/>
      </c>
      <c r="BV17" s="411" t="str">
        <f>_xlfn.IFNA(VLOOKUP($BC17,Programma!$F$3:$Y$1101,20,0),"")</f>
        <v/>
      </c>
    </row>
    <row r="18" spans="1:74" s="28" customFormat="1" ht="15" customHeight="1">
      <c r="A18" s="399">
        <v>1</v>
      </c>
      <c r="B18" s="400" t="str">
        <f>VLOOKUP(Ruimtestaat[[#This Row],[Code]],Locaties[[Code]:[Locatie]],2,FALSE)</f>
        <v>Jansstraat en Janskerk</v>
      </c>
      <c r="C18" s="400" t="str">
        <f>VLOOKUP(Ruimtestaat[[#This Row],[Code]],Locaties[[#All],[Code]:[Adres]],4,FALSE)</f>
        <v>Jansstraat 40</v>
      </c>
      <c r="D18" s="400" t="str">
        <f>VLOOKUP(Ruimtestaat[[#This Row],[Code]],Locaties[[#All],[Code]:[Postcode]],5,FALSE)</f>
        <v>2011 RX</v>
      </c>
      <c r="E18" s="400" t="str">
        <f>VLOOKUP(Ruimtestaat[[#This Row],[Code]],Locaties[#All],6,FALSE)</f>
        <v>Haarlem</v>
      </c>
      <c r="F18" s="399"/>
      <c r="G18" s="399" t="s">
        <v>1639</v>
      </c>
      <c r="H18" s="401">
        <v>13</v>
      </c>
      <c r="I18" s="402" t="s">
        <v>121</v>
      </c>
      <c r="J18" s="336">
        <v>5</v>
      </c>
      <c r="K18" s="414" t="str">
        <f>VLOOKUP(Ruimtestaat[[#This Row],[Ruimte code]],Ruimtegroepen[[#All],[Code]:[Ruimte omschrijving]],2,FALSE)</f>
        <v>Sanitair</v>
      </c>
      <c r="L18" s="399" t="s">
        <v>101</v>
      </c>
      <c r="M18" s="402" t="s">
        <v>1635</v>
      </c>
      <c r="N18" s="404">
        <v>8.3000000000000007</v>
      </c>
      <c r="O18" s="399"/>
      <c r="P18" s="405" t="str">
        <f>VLOOKUP(Ruimtestaat[[#This Row],[Ruimte code]],Ruimtegroepen[],4,FALSE)</f>
        <v>Sa</v>
      </c>
      <c r="Q18" s="399">
        <v>51</v>
      </c>
      <c r="R18" s="399" t="s">
        <v>2</v>
      </c>
      <c r="S18" s="399">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 s="399">
        <f>IF(S18&gt;0,VLOOKUP($J18,Ruimtegroepen[],3,FALSE)*VLOOKUP($L18,Vloersoorten[],3,FALSE)*VLOOKUP($R18,Frequenties[],3,FALSE)*VLOOKUP($A18,Locaties[],3,FALSE),0)</f>
        <v>0</v>
      </c>
      <c r="U18" s="399">
        <f>Ruimtestaat[[#This Row],[Uitvoeringen werkdagen]]*Ruimtestaat[[#This Row],[Oppervlak (netto)]]</f>
        <v>2116.5</v>
      </c>
      <c r="V18" s="406">
        <f>IF(T18&gt;0,Ruimtestaat[[#This Row],[Prest. (m2 /jaar) werkdagen]]/Ruimtestaat[[#This Row],[Norm (m2/uur) werkdagen]],0)</f>
        <v>0</v>
      </c>
      <c r="W18" s="407">
        <f>Ruimtestaat[[#This Row],[uren / jaar werkdagen]]*Tariefsopbouw!$E$35</f>
        <v>0</v>
      </c>
      <c r="X18" s="399"/>
      <c r="Y18" s="399">
        <f>IF(Ruimtestaat[[#This Row],[Frequentie weekend]]&gt;0,VALUE(LEFT(X18,1))*Q18,0)</f>
        <v>0</v>
      </c>
      <c r="Z18" s="408">
        <f>IF($Y18&gt;0,VLOOKUP($J18,Ruimtegroepen[],3,FALSE)*VLOOKUP($L18,Vloersoorten[],3,FALSE)*VLOOKUP($X18,Frequenties[],3,FALSE)*VLOOKUP(Ruimtestaat[[#This Row],[Code]],Locaties[],3,FALSE),0)</f>
        <v>0</v>
      </c>
      <c r="AA18" s="408">
        <f>Ruimtestaat[[#This Row],[Uitvoeringen weekend]]*Ruimtestaat[[#This Row],[Oppervlak (netto)]]</f>
        <v>0</v>
      </c>
      <c r="AB18" s="408">
        <f>IF(Z18&gt;0,Ruimtestaat[[#This Row],[Prest. (m2 /jaar) weekend]]/Ruimtestaat[[#This Row],[Norm (m2/uur) weekend]],0)</f>
        <v>0</v>
      </c>
      <c r="AC18" s="407">
        <f>Ruimtestaat[[#This Row],[uren / jaar weekend]]*Tariefsopbouw!$D$40</f>
        <v>0</v>
      </c>
      <c r="AD18" s="406">
        <f>Ruimtestaat[[#This Row],[Prest. (m2 /jaar) weekend]]+Ruimtestaat[[#This Row],[Prest. (m2 /jaar) werkdagen]]</f>
        <v>2116.5</v>
      </c>
      <c r="AE18" s="406">
        <f>Ruimtestaat[[#This Row],[uren / jaar weekend]]+Ruimtestaat[[#This Row],[uren / jaar werkdagen]]</f>
        <v>0</v>
      </c>
      <c r="AF18" s="409">
        <f>Ruimtestaat[[#This Row],[kosten / jaar weekend]]+Ruimtestaat[[#This Row],[kosten / jaar werkdagen]]</f>
        <v>0</v>
      </c>
      <c r="AG18" s="409"/>
      <c r="AH18" s="410" t="str">
        <f>IF(Ruimtestaat[[#This Row],[Frequentie werkdagen]]="","",_xlfn.CONCAT(Ruimtestaat[[#This Row],[Ruimte code]],"-",Ruimtestaat[[#This Row],[Frequentie werkdagen]]," ",Ruimtestaat[[#This Row],[Vloer code]]))</f>
        <v>5-5w S</v>
      </c>
      <c r="AI18" s="411" t="str">
        <f>_xlfn.IFNA(VLOOKUP($AH18,Programma!$F$3:$G$1101,2,0),"")</f>
        <v>_</v>
      </c>
      <c r="AJ18" s="411" t="str">
        <f>_xlfn.IFNA(VLOOKUP($AH18,Programma!$F$3:$H$1101,3,0),"")</f>
        <v>_</v>
      </c>
      <c r="AK18" s="411" t="str">
        <f>_xlfn.IFNA(VLOOKUP($AH18,Programma!$F$3:$I$1101,4,0),"")</f>
        <v>_</v>
      </c>
      <c r="AL18" s="411" t="str">
        <f>_xlfn.IFNA(VLOOKUP($AH18,Programma!$F$3:$J$1101,5,0),"")</f>
        <v>4w</v>
      </c>
      <c r="AM18" s="411" t="str">
        <f>_xlfn.IFNA(VLOOKUP($AH18,Programma!$F$3:$K$1101,6,0),"")</f>
        <v>1w</v>
      </c>
      <c r="AN18" s="411" t="str">
        <f>_xlfn.IFNA(VLOOKUP($AH18,Programma!$F$3:$L$1101,7,0),"")</f>
        <v>_</v>
      </c>
      <c r="AO18" s="411" t="str">
        <f>_xlfn.IFNA(VLOOKUP($AH18,Programma!$F$3:$M$1101,8,0),"")</f>
        <v>_</v>
      </c>
      <c r="AP18" s="411" t="str">
        <f>_xlfn.IFNA(VLOOKUP($AH18,Programma!$F$3:$N$1101,9,0),"")</f>
        <v>_</v>
      </c>
      <c r="AQ18" s="411" t="str">
        <f>_xlfn.IFNA(VLOOKUP($AH18,Programma!$F$3:$O$1101,10,0),"")</f>
        <v>_</v>
      </c>
      <c r="AR18" s="411" t="str">
        <f>_xlfn.IFNA(VLOOKUP($AH18,Programma!$F$3:$P$1101,11,0),"")</f>
        <v>_</v>
      </c>
      <c r="AS18" s="411" t="str">
        <f>_xlfn.IFNA(VLOOKUP($AH18,Programma!$F$3:$Q$1101,12,0),"")</f>
        <v>_</v>
      </c>
      <c r="AT18" s="411" t="str">
        <f>_xlfn.IFNA(VLOOKUP($AH18,Programma!$F$3:$R$1101,13,0),"")</f>
        <v>_</v>
      </c>
      <c r="AU18" s="411" t="str">
        <f>_xlfn.IFNA(VLOOKUP($AH18,Programma!$F$3:$S$1101,14,0),"")</f>
        <v>_</v>
      </c>
      <c r="AV18" s="411" t="str">
        <f>_xlfn.IFNA(VLOOKUP($AH18,Programma!$F$3:$T$1101,15,0),"")</f>
        <v>_</v>
      </c>
      <c r="AW18" s="411" t="str">
        <f>_xlfn.IFNA(VLOOKUP($AH18,Programma!$F$3:$U$1101,16,0),"")</f>
        <v>_</v>
      </c>
      <c r="AX18" s="411" t="str">
        <f>_xlfn.IFNA(VLOOKUP($AH18,Programma!$F$3:$V$1101,17,0),"")</f>
        <v>_</v>
      </c>
      <c r="AY18" s="411" t="str">
        <f>_xlfn.IFNA(VLOOKUP($AH18,Programma!$F$3:$W$1101,18,0),"")</f>
        <v>4w</v>
      </c>
      <c r="AZ18" s="411" t="str">
        <f>_xlfn.IFNA(VLOOKUP($AH18,Programma!$F$3:$X$1101,19,0),"")</f>
        <v>1w</v>
      </c>
      <c r="BA18" s="411" t="str">
        <f>_xlfn.IFNA(VLOOKUP($AH18,Programma!$F$3:$Y$1101,20,0),"")</f>
        <v>_</v>
      </c>
      <c r="BB18" s="412"/>
      <c r="BC18" s="410" t="str">
        <f>IF(Ruimtestaat[[#This Row],[Frequentie weekend]]="","",_xlfn.CONCAT(Ruimtestaat[[#This Row],[Ruimte code]],"-",Ruimtestaat[[#This Row],[Frequentie weekend]]," ",Ruimtestaat[[#This Row],[Vloer code]]))</f>
        <v/>
      </c>
      <c r="BD18" s="411" t="str">
        <f>_xlfn.IFNA(VLOOKUP($BC18,Programma!$F$3:$G$1101,2,0),"")</f>
        <v/>
      </c>
      <c r="BE18" s="411" t="str">
        <f>_xlfn.IFNA(VLOOKUP($BC18,Programma!$F$3:$H$1101,3,0),"")</f>
        <v/>
      </c>
      <c r="BF18" s="411" t="str">
        <f>_xlfn.IFNA(VLOOKUP($BC18,Programma!$F$3:$I$1101,4,0),"")</f>
        <v/>
      </c>
      <c r="BG18" s="411" t="str">
        <f>_xlfn.IFNA(VLOOKUP($BC18,Programma!$F$3:$J$1101,5,0),"")</f>
        <v/>
      </c>
      <c r="BH18" s="411" t="str">
        <f>_xlfn.IFNA(VLOOKUP($BC18,Programma!$F$3:$K$1101,6,0),"")</f>
        <v/>
      </c>
      <c r="BI18" s="411" t="str">
        <f>_xlfn.IFNA(VLOOKUP($BC18,Programma!$F$3:$L$1101,7,0),"")</f>
        <v/>
      </c>
      <c r="BJ18" s="411" t="str">
        <f>_xlfn.IFNA(VLOOKUP($BC18,Programma!$F$3:$M$1101,8,0),"")</f>
        <v/>
      </c>
      <c r="BK18" s="411" t="str">
        <f>_xlfn.IFNA(VLOOKUP($BC18,Programma!$F$3:$N$1101,9,0),"")</f>
        <v/>
      </c>
      <c r="BL18" s="411" t="str">
        <f>_xlfn.IFNA(VLOOKUP($BC18,Programma!$F$3:$O$1101,10,0),"")</f>
        <v/>
      </c>
      <c r="BM18" s="411" t="str">
        <f>_xlfn.IFNA(VLOOKUP($BC18,Programma!$F$3:$P$1101,11,0),"")</f>
        <v/>
      </c>
      <c r="BN18" s="411" t="str">
        <f>_xlfn.IFNA(VLOOKUP($BC18,Programma!$F$3:$Q$1101,12,0),"")</f>
        <v/>
      </c>
      <c r="BO18" s="411" t="str">
        <f>_xlfn.IFNA(VLOOKUP($BC18,Programma!$F$3:$R$1101,13,0),"")</f>
        <v/>
      </c>
      <c r="BP18" s="411" t="str">
        <f>_xlfn.IFNA(VLOOKUP($BC18,Programma!$F$3:$S$1101,14,0),"")</f>
        <v/>
      </c>
      <c r="BQ18" s="411" t="str">
        <f>_xlfn.IFNA(VLOOKUP($BC18,Programma!$F$3:$T$1101,15,0),"")</f>
        <v/>
      </c>
      <c r="BR18" s="411" t="str">
        <f>_xlfn.IFNA(VLOOKUP($BC18,Programma!$F$3:$U$1101,16,0),"")</f>
        <v/>
      </c>
      <c r="BS18" s="411" t="str">
        <f>_xlfn.IFNA(VLOOKUP($BC18,Programma!$F$3:$V$1101,17,0),"")</f>
        <v/>
      </c>
      <c r="BT18" s="411" t="str">
        <f>_xlfn.IFNA(VLOOKUP($BC18,Programma!$F$3:$W$1101,18,0),"")</f>
        <v/>
      </c>
      <c r="BU18" s="411" t="str">
        <f>_xlfn.IFNA(VLOOKUP($BC18,Programma!$F$3:$X$1101,19,0),"")</f>
        <v/>
      </c>
      <c r="BV18" s="411" t="str">
        <f>_xlfn.IFNA(VLOOKUP($BC18,Programma!$F$3:$Y$1101,20,0),"")</f>
        <v/>
      </c>
    </row>
    <row r="19" spans="1:74" s="28" customFormat="1" ht="15" customHeight="1">
      <c r="A19" s="399">
        <v>1</v>
      </c>
      <c r="B19" s="400" t="str">
        <f>VLOOKUP(Ruimtestaat[[#This Row],[Code]],Locaties[[Code]:[Locatie]],2,FALSE)</f>
        <v>Jansstraat en Janskerk</v>
      </c>
      <c r="C19" s="400" t="str">
        <f>VLOOKUP(Ruimtestaat[[#This Row],[Code]],Locaties[[#All],[Code]:[Adres]],4,FALSE)</f>
        <v>Jansstraat 40</v>
      </c>
      <c r="D19" s="400" t="str">
        <f>VLOOKUP(Ruimtestaat[[#This Row],[Code]],Locaties[[#All],[Code]:[Postcode]],5,FALSE)</f>
        <v>2011 RX</v>
      </c>
      <c r="E19" s="400" t="str">
        <f>VLOOKUP(Ruimtestaat[[#This Row],[Code]],Locaties[#All],6,FALSE)</f>
        <v>Haarlem</v>
      </c>
      <c r="F19" s="399"/>
      <c r="G19" s="399" t="s">
        <v>1639</v>
      </c>
      <c r="H19" s="401">
        <v>14</v>
      </c>
      <c r="I19" s="402" t="s">
        <v>1636</v>
      </c>
      <c r="J19" s="336">
        <v>5</v>
      </c>
      <c r="K19" s="414" t="str">
        <f>VLOOKUP(Ruimtestaat[[#This Row],[Ruimte code]],Ruimtegroepen[[#All],[Code]:[Ruimte omschrijving]],2,FALSE)</f>
        <v>Sanitair</v>
      </c>
      <c r="L19" s="399" t="s">
        <v>101</v>
      </c>
      <c r="M19" s="402" t="s">
        <v>1635</v>
      </c>
      <c r="N19" s="404">
        <v>14.6</v>
      </c>
      <c r="O19" s="413"/>
      <c r="P19" s="405" t="str">
        <f>VLOOKUP(Ruimtestaat[[#This Row],[Ruimte code]],Ruimtegroepen[],4,FALSE)</f>
        <v>Sa</v>
      </c>
      <c r="Q19" s="399">
        <v>51</v>
      </c>
      <c r="R19" s="399" t="s">
        <v>2</v>
      </c>
      <c r="S19" s="399">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 s="399">
        <f>IF(S19&gt;0,VLOOKUP($J19,Ruimtegroepen[],3,FALSE)*VLOOKUP($L19,Vloersoorten[],3,FALSE)*VLOOKUP($R19,Frequenties[],3,FALSE)*VLOOKUP($A19,Locaties[],3,FALSE),0)</f>
        <v>0</v>
      </c>
      <c r="U19" s="399">
        <f>Ruimtestaat[[#This Row],[Uitvoeringen werkdagen]]*Ruimtestaat[[#This Row],[Oppervlak (netto)]]</f>
        <v>3723</v>
      </c>
      <c r="V19" s="406">
        <f>IF(T19&gt;0,Ruimtestaat[[#This Row],[Prest. (m2 /jaar) werkdagen]]/Ruimtestaat[[#This Row],[Norm (m2/uur) werkdagen]],0)</f>
        <v>0</v>
      </c>
      <c r="W19" s="407">
        <f>Ruimtestaat[[#This Row],[uren / jaar werkdagen]]*Tariefsopbouw!$E$35</f>
        <v>0</v>
      </c>
      <c r="X19" s="399"/>
      <c r="Y19" s="399">
        <f>IF(Ruimtestaat[[#This Row],[Frequentie weekend]]&gt;0,VALUE(LEFT(X19,1))*Q19,0)</f>
        <v>0</v>
      </c>
      <c r="Z19" s="408">
        <f>IF($Y19&gt;0,VLOOKUP($J19,Ruimtegroepen[],3,FALSE)*VLOOKUP($L19,Vloersoorten[],3,FALSE)*VLOOKUP($X19,Frequenties[],3,FALSE)*VLOOKUP(Ruimtestaat[[#This Row],[Code]],Locaties[],3,FALSE),0)</f>
        <v>0</v>
      </c>
      <c r="AA19" s="408">
        <f>Ruimtestaat[[#This Row],[Uitvoeringen weekend]]*Ruimtestaat[[#This Row],[Oppervlak (netto)]]</f>
        <v>0</v>
      </c>
      <c r="AB19" s="408">
        <f>IF(Z19&gt;0,Ruimtestaat[[#This Row],[Prest. (m2 /jaar) weekend]]/Ruimtestaat[[#This Row],[Norm (m2/uur) weekend]],0)</f>
        <v>0</v>
      </c>
      <c r="AC19" s="407">
        <f>Ruimtestaat[[#This Row],[uren / jaar weekend]]*Tariefsopbouw!$D$40</f>
        <v>0</v>
      </c>
      <c r="AD19" s="406">
        <f>Ruimtestaat[[#This Row],[Prest. (m2 /jaar) weekend]]+Ruimtestaat[[#This Row],[Prest. (m2 /jaar) werkdagen]]</f>
        <v>3723</v>
      </c>
      <c r="AE19" s="406">
        <f>Ruimtestaat[[#This Row],[uren / jaar weekend]]+Ruimtestaat[[#This Row],[uren / jaar werkdagen]]</f>
        <v>0</v>
      </c>
      <c r="AF19" s="409">
        <f>Ruimtestaat[[#This Row],[kosten / jaar weekend]]+Ruimtestaat[[#This Row],[kosten / jaar werkdagen]]</f>
        <v>0</v>
      </c>
      <c r="AG19" s="409"/>
      <c r="AH19" s="410" t="str">
        <f>IF(Ruimtestaat[[#This Row],[Frequentie werkdagen]]="","",_xlfn.CONCAT(Ruimtestaat[[#This Row],[Ruimte code]],"-",Ruimtestaat[[#This Row],[Frequentie werkdagen]]," ",Ruimtestaat[[#This Row],[Vloer code]]))</f>
        <v>5-5w S</v>
      </c>
      <c r="AI19" s="411" t="str">
        <f>_xlfn.IFNA(VLOOKUP($AH19,Programma!$F$3:$G$1101,2,0),"")</f>
        <v>_</v>
      </c>
      <c r="AJ19" s="411" t="str">
        <f>_xlfn.IFNA(VLOOKUP($AH19,Programma!$F$3:$H$1101,3,0),"")</f>
        <v>_</v>
      </c>
      <c r="AK19" s="411" t="str">
        <f>_xlfn.IFNA(VLOOKUP($AH19,Programma!$F$3:$I$1101,4,0),"")</f>
        <v>_</v>
      </c>
      <c r="AL19" s="411" t="str">
        <f>_xlfn.IFNA(VLOOKUP($AH19,Programma!$F$3:$J$1101,5,0),"")</f>
        <v>4w</v>
      </c>
      <c r="AM19" s="411" t="str">
        <f>_xlfn.IFNA(VLOOKUP($AH19,Programma!$F$3:$K$1101,6,0),"")</f>
        <v>1w</v>
      </c>
      <c r="AN19" s="411" t="str">
        <f>_xlfn.IFNA(VLOOKUP($AH19,Programma!$F$3:$L$1101,7,0),"")</f>
        <v>_</v>
      </c>
      <c r="AO19" s="411" t="str">
        <f>_xlfn.IFNA(VLOOKUP($AH19,Programma!$F$3:$M$1101,8,0),"")</f>
        <v>_</v>
      </c>
      <c r="AP19" s="411" t="str">
        <f>_xlfn.IFNA(VLOOKUP($AH19,Programma!$F$3:$N$1101,9,0),"")</f>
        <v>_</v>
      </c>
      <c r="AQ19" s="411" t="str">
        <f>_xlfn.IFNA(VLOOKUP($AH19,Programma!$F$3:$O$1101,10,0),"")</f>
        <v>_</v>
      </c>
      <c r="AR19" s="411" t="str">
        <f>_xlfn.IFNA(VLOOKUP($AH19,Programma!$F$3:$P$1101,11,0),"")</f>
        <v>_</v>
      </c>
      <c r="AS19" s="411" t="str">
        <f>_xlfn.IFNA(VLOOKUP($AH19,Programma!$F$3:$Q$1101,12,0),"")</f>
        <v>_</v>
      </c>
      <c r="AT19" s="411" t="str">
        <f>_xlfn.IFNA(VLOOKUP($AH19,Programma!$F$3:$R$1101,13,0),"")</f>
        <v>_</v>
      </c>
      <c r="AU19" s="411" t="str">
        <f>_xlfn.IFNA(VLOOKUP($AH19,Programma!$F$3:$S$1101,14,0),"")</f>
        <v>_</v>
      </c>
      <c r="AV19" s="411" t="str">
        <f>_xlfn.IFNA(VLOOKUP($AH19,Programma!$F$3:$T$1101,15,0),"")</f>
        <v>_</v>
      </c>
      <c r="AW19" s="411" t="str">
        <f>_xlfn.IFNA(VLOOKUP($AH19,Programma!$F$3:$U$1101,16,0),"")</f>
        <v>_</v>
      </c>
      <c r="AX19" s="411" t="str">
        <f>_xlfn.IFNA(VLOOKUP($AH19,Programma!$F$3:$V$1101,17,0),"")</f>
        <v>_</v>
      </c>
      <c r="AY19" s="411" t="str">
        <f>_xlfn.IFNA(VLOOKUP($AH19,Programma!$F$3:$W$1101,18,0),"")</f>
        <v>4w</v>
      </c>
      <c r="AZ19" s="411" t="str">
        <f>_xlfn.IFNA(VLOOKUP($AH19,Programma!$F$3:$X$1101,19,0),"")</f>
        <v>1w</v>
      </c>
      <c r="BA19" s="411" t="str">
        <f>_xlfn.IFNA(VLOOKUP($AH19,Programma!$F$3:$Y$1101,20,0),"")</f>
        <v>_</v>
      </c>
      <c r="BB19" s="412"/>
      <c r="BC19" s="410" t="str">
        <f>IF(Ruimtestaat[[#This Row],[Frequentie weekend]]="","",_xlfn.CONCAT(Ruimtestaat[[#This Row],[Ruimte code]],"-",Ruimtestaat[[#This Row],[Frequentie weekend]]," ",Ruimtestaat[[#This Row],[Vloer code]]))</f>
        <v/>
      </c>
      <c r="BD19" s="411" t="str">
        <f>_xlfn.IFNA(VLOOKUP($BC19,Programma!$F$3:$G$1101,2,0),"")</f>
        <v/>
      </c>
      <c r="BE19" s="411" t="str">
        <f>_xlfn.IFNA(VLOOKUP($BC19,Programma!$F$3:$H$1101,3,0),"")</f>
        <v/>
      </c>
      <c r="BF19" s="411" t="str">
        <f>_xlfn.IFNA(VLOOKUP($BC19,Programma!$F$3:$I$1101,4,0),"")</f>
        <v/>
      </c>
      <c r="BG19" s="411" t="str">
        <f>_xlfn.IFNA(VLOOKUP($BC19,Programma!$F$3:$J$1101,5,0),"")</f>
        <v/>
      </c>
      <c r="BH19" s="411" t="str">
        <f>_xlfn.IFNA(VLOOKUP($BC19,Programma!$F$3:$K$1101,6,0),"")</f>
        <v/>
      </c>
      <c r="BI19" s="411" t="str">
        <f>_xlfn.IFNA(VLOOKUP($BC19,Programma!$F$3:$L$1101,7,0),"")</f>
        <v/>
      </c>
      <c r="BJ19" s="411" t="str">
        <f>_xlfn.IFNA(VLOOKUP($BC19,Programma!$F$3:$M$1101,8,0),"")</f>
        <v/>
      </c>
      <c r="BK19" s="411" t="str">
        <f>_xlfn.IFNA(VLOOKUP($BC19,Programma!$F$3:$N$1101,9,0),"")</f>
        <v/>
      </c>
      <c r="BL19" s="411" t="str">
        <f>_xlfn.IFNA(VLOOKUP($BC19,Programma!$F$3:$O$1101,10,0),"")</f>
        <v/>
      </c>
      <c r="BM19" s="411" t="str">
        <f>_xlfn.IFNA(VLOOKUP($BC19,Programma!$F$3:$P$1101,11,0),"")</f>
        <v/>
      </c>
      <c r="BN19" s="411" t="str">
        <f>_xlfn.IFNA(VLOOKUP($BC19,Programma!$F$3:$Q$1101,12,0),"")</f>
        <v/>
      </c>
      <c r="BO19" s="411" t="str">
        <f>_xlfn.IFNA(VLOOKUP($BC19,Programma!$F$3:$R$1101,13,0),"")</f>
        <v/>
      </c>
      <c r="BP19" s="411" t="str">
        <f>_xlfn.IFNA(VLOOKUP($BC19,Programma!$F$3:$S$1101,14,0),"")</f>
        <v/>
      </c>
      <c r="BQ19" s="411" t="str">
        <f>_xlfn.IFNA(VLOOKUP($BC19,Programma!$F$3:$T$1101,15,0),"")</f>
        <v/>
      </c>
      <c r="BR19" s="411" t="str">
        <f>_xlfn.IFNA(VLOOKUP($BC19,Programma!$F$3:$U$1101,16,0),"")</f>
        <v/>
      </c>
      <c r="BS19" s="411" t="str">
        <f>_xlfn.IFNA(VLOOKUP($BC19,Programma!$F$3:$V$1101,17,0),"")</f>
        <v/>
      </c>
      <c r="BT19" s="411" t="str">
        <f>_xlfn.IFNA(VLOOKUP($BC19,Programma!$F$3:$W$1101,18,0),"")</f>
        <v/>
      </c>
      <c r="BU19" s="411" t="str">
        <f>_xlfn.IFNA(VLOOKUP($BC19,Programma!$F$3:$X$1101,19,0),"")</f>
        <v/>
      </c>
      <c r="BV19" s="411" t="str">
        <f>_xlfn.IFNA(VLOOKUP($BC19,Programma!$F$3:$Y$1101,20,0),"")</f>
        <v/>
      </c>
    </row>
    <row r="20" spans="1:74" s="28" customFormat="1" ht="15" customHeight="1">
      <c r="A20" s="399">
        <v>1</v>
      </c>
      <c r="B20" s="400" t="str">
        <f>VLOOKUP(Ruimtestaat[[#This Row],[Code]],Locaties[[Code]:[Locatie]],2,FALSE)</f>
        <v>Jansstraat en Janskerk</v>
      </c>
      <c r="C20" s="400" t="str">
        <f>VLOOKUP(Ruimtestaat[[#This Row],[Code]],Locaties[[#All],[Code]:[Adres]],4,FALSE)</f>
        <v>Jansstraat 40</v>
      </c>
      <c r="D20" s="400" t="str">
        <f>VLOOKUP(Ruimtestaat[[#This Row],[Code]],Locaties[[#All],[Code]:[Postcode]],5,FALSE)</f>
        <v>2011 RX</v>
      </c>
      <c r="E20" s="400" t="str">
        <f>VLOOKUP(Ruimtestaat[[#This Row],[Code]],Locaties[#All],6,FALSE)</f>
        <v>Haarlem</v>
      </c>
      <c r="F20" s="399"/>
      <c r="G20" s="399" t="s">
        <v>1639</v>
      </c>
      <c r="H20" s="401">
        <v>15</v>
      </c>
      <c r="I20" s="402" t="s">
        <v>22</v>
      </c>
      <c r="J20" s="336">
        <v>5</v>
      </c>
      <c r="K20" s="414" t="str">
        <f>VLOOKUP(Ruimtestaat[[#This Row],[Ruimte code]],Ruimtegroepen[[#All],[Code]:[Ruimte omschrijving]],2,FALSE)</f>
        <v>Sanitair</v>
      </c>
      <c r="L20" s="399" t="s">
        <v>101</v>
      </c>
      <c r="M20" s="402" t="s">
        <v>1635</v>
      </c>
      <c r="N20" s="404">
        <v>1.1000000000000001</v>
      </c>
      <c r="O20" s="413"/>
      <c r="P20" s="405" t="str">
        <f>VLOOKUP(Ruimtestaat[[#This Row],[Ruimte code]],Ruimtegroepen[],4,FALSE)</f>
        <v>Sa</v>
      </c>
      <c r="Q20" s="399">
        <v>51</v>
      </c>
      <c r="R20" s="399" t="s">
        <v>2</v>
      </c>
      <c r="S20" s="399">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 s="399">
        <f>IF(S20&gt;0,VLOOKUP($J20,Ruimtegroepen[],3,FALSE)*VLOOKUP($L20,Vloersoorten[],3,FALSE)*VLOOKUP($R20,Frequenties[],3,FALSE)*VLOOKUP($A20,Locaties[],3,FALSE),0)</f>
        <v>0</v>
      </c>
      <c r="U20" s="399">
        <f>Ruimtestaat[[#This Row],[Uitvoeringen werkdagen]]*Ruimtestaat[[#This Row],[Oppervlak (netto)]]</f>
        <v>280.5</v>
      </c>
      <c r="V20" s="406">
        <f>IF(T20&gt;0,Ruimtestaat[[#This Row],[Prest. (m2 /jaar) werkdagen]]/Ruimtestaat[[#This Row],[Norm (m2/uur) werkdagen]],0)</f>
        <v>0</v>
      </c>
      <c r="W20" s="407">
        <f>Ruimtestaat[[#This Row],[uren / jaar werkdagen]]*Tariefsopbouw!$E$35</f>
        <v>0</v>
      </c>
      <c r="X20" s="399"/>
      <c r="Y20" s="399">
        <f>IF(Ruimtestaat[[#This Row],[Frequentie weekend]]&gt;0,VALUE(LEFT(X20,1))*Q20,0)</f>
        <v>0</v>
      </c>
      <c r="Z20" s="408">
        <f>IF($Y20&gt;0,VLOOKUP($J20,Ruimtegroepen[],3,FALSE)*VLOOKUP($L20,Vloersoorten[],3,FALSE)*VLOOKUP($X20,Frequenties[],3,FALSE)*VLOOKUP(Ruimtestaat[[#This Row],[Code]],Locaties[],3,FALSE),0)</f>
        <v>0</v>
      </c>
      <c r="AA20" s="408">
        <f>Ruimtestaat[[#This Row],[Uitvoeringen weekend]]*Ruimtestaat[[#This Row],[Oppervlak (netto)]]</f>
        <v>0</v>
      </c>
      <c r="AB20" s="408">
        <f>IF(Z20&gt;0,Ruimtestaat[[#This Row],[Prest. (m2 /jaar) weekend]]/Ruimtestaat[[#This Row],[Norm (m2/uur) weekend]],0)</f>
        <v>0</v>
      </c>
      <c r="AC20" s="407">
        <f>Ruimtestaat[[#This Row],[uren / jaar weekend]]*Tariefsopbouw!$D$40</f>
        <v>0</v>
      </c>
      <c r="AD20" s="406">
        <f>Ruimtestaat[[#This Row],[Prest. (m2 /jaar) weekend]]+Ruimtestaat[[#This Row],[Prest. (m2 /jaar) werkdagen]]</f>
        <v>280.5</v>
      </c>
      <c r="AE20" s="406">
        <f>Ruimtestaat[[#This Row],[uren / jaar weekend]]+Ruimtestaat[[#This Row],[uren / jaar werkdagen]]</f>
        <v>0</v>
      </c>
      <c r="AF20" s="409">
        <f>Ruimtestaat[[#This Row],[kosten / jaar weekend]]+Ruimtestaat[[#This Row],[kosten / jaar werkdagen]]</f>
        <v>0</v>
      </c>
      <c r="AG20" s="409"/>
      <c r="AH20" s="410" t="str">
        <f>IF(Ruimtestaat[[#This Row],[Frequentie werkdagen]]="","",_xlfn.CONCAT(Ruimtestaat[[#This Row],[Ruimte code]],"-",Ruimtestaat[[#This Row],[Frequentie werkdagen]]," ",Ruimtestaat[[#This Row],[Vloer code]]))</f>
        <v>5-5w S</v>
      </c>
      <c r="AI20" s="411" t="str">
        <f>_xlfn.IFNA(VLOOKUP($AH20,Programma!$F$3:$G$1101,2,0),"")</f>
        <v>_</v>
      </c>
      <c r="AJ20" s="411" t="str">
        <f>_xlfn.IFNA(VLOOKUP($AH20,Programma!$F$3:$H$1101,3,0),"")</f>
        <v>_</v>
      </c>
      <c r="AK20" s="411" t="str">
        <f>_xlfn.IFNA(VLOOKUP($AH20,Programma!$F$3:$I$1101,4,0),"")</f>
        <v>_</v>
      </c>
      <c r="AL20" s="411" t="str">
        <f>_xlfn.IFNA(VLOOKUP($AH20,Programma!$F$3:$J$1101,5,0),"")</f>
        <v>4w</v>
      </c>
      <c r="AM20" s="411" t="str">
        <f>_xlfn.IFNA(VLOOKUP($AH20,Programma!$F$3:$K$1101,6,0),"")</f>
        <v>1w</v>
      </c>
      <c r="AN20" s="411" t="str">
        <f>_xlfn.IFNA(VLOOKUP($AH20,Programma!$F$3:$L$1101,7,0),"")</f>
        <v>_</v>
      </c>
      <c r="AO20" s="411" t="str">
        <f>_xlfn.IFNA(VLOOKUP($AH20,Programma!$F$3:$M$1101,8,0),"")</f>
        <v>_</v>
      </c>
      <c r="AP20" s="411" t="str">
        <f>_xlfn.IFNA(VLOOKUP($AH20,Programma!$F$3:$N$1101,9,0),"")</f>
        <v>_</v>
      </c>
      <c r="AQ20" s="411" t="str">
        <f>_xlfn.IFNA(VLOOKUP($AH20,Programma!$F$3:$O$1101,10,0),"")</f>
        <v>_</v>
      </c>
      <c r="AR20" s="411" t="str">
        <f>_xlfn.IFNA(VLOOKUP($AH20,Programma!$F$3:$P$1101,11,0),"")</f>
        <v>_</v>
      </c>
      <c r="AS20" s="411" t="str">
        <f>_xlfn.IFNA(VLOOKUP($AH20,Programma!$F$3:$Q$1101,12,0),"")</f>
        <v>_</v>
      </c>
      <c r="AT20" s="411" t="str">
        <f>_xlfn.IFNA(VLOOKUP($AH20,Programma!$F$3:$R$1101,13,0),"")</f>
        <v>_</v>
      </c>
      <c r="AU20" s="411" t="str">
        <f>_xlfn.IFNA(VLOOKUP($AH20,Programma!$F$3:$S$1101,14,0),"")</f>
        <v>_</v>
      </c>
      <c r="AV20" s="411" t="str">
        <f>_xlfn.IFNA(VLOOKUP($AH20,Programma!$F$3:$T$1101,15,0),"")</f>
        <v>_</v>
      </c>
      <c r="AW20" s="411" t="str">
        <f>_xlfn.IFNA(VLOOKUP($AH20,Programma!$F$3:$U$1101,16,0),"")</f>
        <v>_</v>
      </c>
      <c r="AX20" s="411" t="str">
        <f>_xlfn.IFNA(VLOOKUP($AH20,Programma!$F$3:$V$1101,17,0),"")</f>
        <v>_</v>
      </c>
      <c r="AY20" s="411" t="str">
        <f>_xlfn.IFNA(VLOOKUP($AH20,Programma!$F$3:$W$1101,18,0),"")</f>
        <v>4w</v>
      </c>
      <c r="AZ20" s="411" t="str">
        <f>_xlfn.IFNA(VLOOKUP($AH20,Programma!$F$3:$X$1101,19,0),"")</f>
        <v>1w</v>
      </c>
      <c r="BA20" s="411" t="str">
        <f>_xlfn.IFNA(VLOOKUP($AH20,Programma!$F$3:$Y$1101,20,0),"")</f>
        <v>_</v>
      </c>
      <c r="BB20" s="412"/>
      <c r="BC20" s="410" t="str">
        <f>IF(Ruimtestaat[[#This Row],[Frequentie weekend]]="","",_xlfn.CONCAT(Ruimtestaat[[#This Row],[Ruimte code]],"-",Ruimtestaat[[#This Row],[Frequentie weekend]]," ",Ruimtestaat[[#This Row],[Vloer code]]))</f>
        <v/>
      </c>
      <c r="BD20" s="411" t="str">
        <f>_xlfn.IFNA(VLOOKUP($BC20,Programma!$F$3:$G$1101,2,0),"")</f>
        <v/>
      </c>
      <c r="BE20" s="411" t="str">
        <f>_xlfn.IFNA(VLOOKUP($BC20,Programma!$F$3:$H$1101,3,0),"")</f>
        <v/>
      </c>
      <c r="BF20" s="411" t="str">
        <f>_xlfn.IFNA(VLOOKUP($BC20,Programma!$F$3:$I$1101,4,0),"")</f>
        <v/>
      </c>
      <c r="BG20" s="411" t="str">
        <f>_xlfn.IFNA(VLOOKUP($BC20,Programma!$F$3:$J$1101,5,0),"")</f>
        <v/>
      </c>
      <c r="BH20" s="411" t="str">
        <f>_xlfn.IFNA(VLOOKUP($BC20,Programma!$F$3:$K$1101,6,0),"")</f>
        <v/>
      </c>
      <c r="BI20" s="411" t="str">
        <f>_xlfn.IFNA(VLOOKUP($BC20,Programma!$F$3:$L$1101,7,0),"")</f>
        <v/>
      </c>
      <c r="BJ20" s="411" t="str">
        <f>_xlfn.IFNA(VLOOKUP($BC20,Programma!$F$3:$M$1101,8,0),"")</f>
        <v/>
      </c>
      <c r="BK20" s="411" t="str">
        <f>_xlfn.IFNA(VLOOKUP($BC20,Programma!$F$3:$N$1101,9,0),"")</f>
        <v/>
      </c>
      <c r="BL20" s="411" t="str">
        <f>_xlfn.IFNA(VLOOKUP($BC20,Programma!$F$3:$O$1101,10,0),"")</f>
        <v/>
      </c>
      <c r="BM20" s="411" t="str">
        <f>_xlfn.IFNA(VLOOKUP($BC20,Programma!$F$3:$P$1101,11,0),"")</f>
        <v/>
      </c>
      <c r="BN20" s="411" t="str">
        <f>_xlfn.IFNA(VLOOKUP($BC20,Programma!$F$3:$Q$1101,12,0),"")</f>
        <v/>
      </c>
      <c r="BO20" s="411" t="str">
        <f>_xlfn.IFNA(VLOOKUP($BC20,Programma!$F$3:$R$1101,13,0),"")</f>
        <v/>
      </c>
      <c r="BP20" s="411" t="str">
        <f>_xlfn.IFNA(VLOOKUP($BC20,Programma!$F$3:$S$1101,14,0),"")</f>
        <v/>
      </c>
      <c r="BQ20" s="411" t="str">
        <f>_xlfn.IFNA(VLOOKUP($BC20,Programma!$F$3:$T$1101,15,0),"")</f>
        <v/>
      </c>
      <c r="BR20" s="411" t="str">
        <f>_xlfn.IFNA(VLOOKUP($BC20,Programma!$F$3:$U$1101,16,0),"")</f>
        <v/>
      </c>
      <c r="BS20" s="411" t="str">
        <f>_xlfn.IFNA(VLOOKUP($BC20,Programma!$F$3:$V$1101,17,0),"")</f>
        <v/>
      </c>
      <c r="BT20" s="411" t="str">
        <f>_xlfn.IFNA(VLOOKUP($BC20,Programma!$F$3:$W$1101,18,0),"")</f>
        <v/>
      </c>
      <c r="BU20" s="411" t="str">
        <f>_xlfn.IFNA(VLOOKUP($BC20,Programma!$F$3:$X$1101,19,0),"")</f>
        <v/>
      </c>
      <c r="BV20" s="411" t="str">
        <f>_xlfn.IFNA(VLOOKUP($BC20,Programma!$F$3:$Y$1101,20,0),"")</f>
        <v/>
      </c>
    </row>
    <row r="21" spans="1:74" s="28" customFormat="1" ht="15" customHeight="1">
      <c r="A21" s="399">
        <v>1</v>
      </c>
      <c r="B21" s="400" t="str">
        <f>VLOOKUP(Ruimtestaat[[#This Row],[Code]],Locaties[[Code]:[Locatie]],2,FALSE)</f>
        <v>Jansstraat en Janskerk</v>
      </c>
      <c r="C21" s="400" t="str">
        <f>VLOOKUP(Ruimtestaat[[#This Row],[Code]],Locaties[[#All],[Code]:[Adres]],4,FALSE)</f>
        <v>Jansstraat 40</v>
      </c>
      <c r="D21" s="400" t="str">
        <f>VLOOKUP(Ruimtestaat[[#This Row],[Code]],Locaties[[#All],[Code]:[Postcode]],5,FALSE)</f>
        <v>2011 RX</v>
      </c>
      <c r="E21" s="400" t="str">
        <f>VLOOKUP(Ruimtestaat[[#This Row],[Code]],Locaties[#All],6,FALSE)</f>
        <v>Haarlem</v>
      </c>
      <c r="F21" s="399"/>
      <c r="G21" s="399" t="s">
        <v>1639</v>
      </c>
      <c r="H21" s="401">
        <v>16</v>
      </c>
      <c r="I21" s="402" t="s">
        <v>22</v>
      </c>
      <c r="J21" s="336">
        <v>5</v>
      </c>
      <c r="K21" s="414" t="str">
        <f>VLOOKUP(Ruimtestaat[[#This Row],[Ruimte code]],Ruimtegroepen[[#All],[Code]:[Ruimte omschrijving]],2,FALSE)</f>
        <v>Sanitair</v>
      </c>
      <c r="L21" s="399" t="s">
        <v>101</v>
      </c>
      <c r="M21" s="402" t="s">
        <v>1635</v>
      </c>
      <c r="N21" s="404">
        <v>1.1000000000000001</v>
      </c>
      <c r="O21" s="399"/>
      <c r="P21" s="405" t="str">
        <f>VLOOKUP(Ruimtestaat[[#This Row],[Ruimte code]],Ruimtegroepen[],4,FALSE)</f>
        <v>Sa</v>
      </c>
      <c r="Q21" s="399">
        <v>51</v>
      </c>
      <c r="R21" s="399" t="s">
        <v>2</v>
      </c>
      <c r="S21" s="399">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 s="399">
        <f>IF(S21&gt;0,VLOOKUP($J21,Ruimtegroepen[],3,FALSE)*VLOOKUP($L21,Vloersoorten[],3,FALSE)*VLOOKUP($R21,Frequenties[],3,FALSE)*VLOOKUP($A21,Locaties[],3,FALSE),0)</f>
        <v>0</v>
      </c>
      <c r="U21" s="399">
        <f>Ruimtestaat[[#This Row],[Uitvoeringen werkdagen]]*Ruimtestaat[[#This Row],[Oppervlak (netto)]]</f>
        <v>280.5</v>
      </c>
      <c r="V21" s="406">
        <f>IF(T21&gt;0,Ruimtestaat[[#This Row],[Prest. (m2 /jaar) werkdagen]]/Ruimtestaat[[#This Row],[Norm (m2/uur) werkdagen]],0)</f>
        <v>0</v>
      </c>
      <c r="W21" s="407">
        <f>Ruimtestaat[[#This Row],[uren / jaar werkdagen]]*Tariefsopbouw!$E$35</f>
        <v>0</v>
      </c>
      <c r="X21" s="399"/>
      <c r="Y21" s="399">
        <f>IF(Ruimtestaat[[#This Row],[Frequentie weekend]]&gt;0,VALUE(LEFT(X21,1))*Q21,0)</f>
        <v>0</v>
      </c>
      <c r="Z21" s="408">
        <f>IF($Y21&gt;0,VLOOKUP($J21,Ruimtegroepen[],3,FALSE)*VLOOKUP($L21,Vloersoorten[],3,FALSE)*VLOOKUP($X21,Frequenties[],3,FALSE)*VLOOKUP(Ruimtestaat[[#This Row],[Code]],Locaties[],3,FALSE),0)</f>
        <v>0</v>
      </c>
      <c r="AA21" s="408">
        <f>Ruimtestaat[[#This Row],[Uitvoeringen weekend]]*Ruimtestaat[[#This Row],[Oppervlak (netto)]]</f>
        <v>0</v>
      </c>
      <c r="AB21" s="408">
        <f>IF(Z21&gt;0,Ruimtestaat[[#This Row],[Prest. (m2 /jaar) weekend]]/Ruimtestaat[[#This Row],[Norm (m2/uur) weekend]],0)</f>
        <v>0</v>
      </c>
      <c r="AC21" s="407">
        <f>Ruimtestaat[[#This Row],[uren / jaar weekend]]*Tariefsopbouw!$D$40</f>
        <v>0</v>
      </c>
      <c r="AD21" s="406">
        <f>Ruimtestaat[[#This Row],[Prest. (m2 /jaar) weekend]]+Ruimtestaat[[#This Row],[Prest. (m2 /jaar) werkdagen]]</f>
        <v>280.5</v>
      </c>
      <c r="AE21" s="406">
        <f>Ruimtestaat[[#This Row],[uren / jaar weekend]]+Ruimtestaat[[#This Row],[uren / jaar werkdagen]]</f>
        <v>0</v>
      </c>
      <c r="AF21" s="409">
        <f>Ruimtestaat[[#This Row],[kosten / jaar weekend]]+Ruimtestaat[[#This Row],[kosten / jaar werkdagen]]</f>
        <v>0</v>
      </c>
      <c r="AG21" s="409"/>
      <c r="AH21" s="410" t="str">
        <f>IF(Ruimtestaat[[#This Row],[Frequentie werkdagen]]="","",_xlfn.CONCAT(Ruimtestaat[[#This Row],[Ruimte code]],"-",Ruimtestaat[[#This Row],[Frequentie werkdagen]]," ",Ruimtestaat[[#This Row],[Vloer code]]))</f>
        <v>5-5w S</v>
      </c>
      <c r="AI21" s="411" t="str">
        <f>_xlfn.IFNA(VLOOKUP($AH21,Programma!$F$3:$G$1101,2,0),"")</f>
        <v>_</v>
      </c>
      <c r="AJ21" s="411" t="str">
        <f>_xlfn.IFNA(VLOOKUP($AH21,Programma!$F$3:$H$1101,3,0),"")</f>
        <v>_</v>
      </c>
      <c r="AK21" s="411" t="str">
        <f>_xlfn.IFNA(VLOOKUP($AH21,Programma!$F$3:$I$1101,4,0),"")</f>
        <v>_</v>
      </c>
      <c r="AL21" s="411" t="str">
        <f>_xlfn.IFNA(VLOOKUP($AH21,Programma!$F$3:$J$1101,5,0),"")</f>
        <v>4w</v>
      </c>
      <c r="AM21" s="411" t="str">
        <f>_xlfn.IFNA(VLOOKUP($AH21,Programma!$F$3:$K$1101,6,0),"")</f>
        <v>1w</v>
      </c>
      <c r="AN21" s="411" t="str">
        <f>_xlfn.IFNA(VLOOKUP($AH21,Programma!$F$3:$L$1101,7,0),"")</f>
        <v>_</v>
      </c>
      <c r="AO21" s="411" t="str">
        <f>_xlfn.IFNA(VLOOKUP($AH21,Programma!$F$3:$M$1101,8,0),"")</f>
        <v>_</v>
      </c>
      <c r="AP21" s="411" t="str">
        <f>_xlfn.IFNA(VLOOKUP($AH21,Programma!$F$3:$N$1101,9,0),"")</f>
        <v>_</v>
      </c>
      <c r="AQ21" s="411" t="str">
        <f>_xlfn.IFNA(VLOOKUP($AH21,Programma!$F$3:$O$1101,10,0),"")</f>
        <v>_</v>
      </c>
      <c r="AR21" s="411" t="str">
        <f>_xlfn.IFNA(VLOOKUP($AH21,Programma!$F$3:$P$1101,11,0),"")</f>
        <v>_</v>
      </c>
      <c r="AS21" s="411" t="str">
        <f>_xlfn.IFNA(VLOOKUP($AH21,Programma!$F$3:$Q$1101,12,0),"")</f>
        <v>_</v>
      </c>
      <c r="AT21" s="411" t="str">
        <f>_xlfn.IFNA(VLOOKUP($AH21,Programma!$F$3:$R$1101,13,0),"")</f>
        <v>_</v>
      </c>
      <c r="AU21" s="411" t="str">
        <f>_xlfn.IFNA(VLOOKUP($AH21,Programma!$F$3:$S$1101,14,0),"")</f>
        <v>_</v>
      </c>
      <c r="AV21" s="411" t="str">
        <f>_xlfn.IFNA(VLOOKUP($AH21,Programma!$F$3:$T$1101,15,0),"")</f>
        <v>_</v>
      </c>
      <c r="AW21" s="411" t="str">
        <f>_xlfn.IFNA(VLOOKUP($AH21,Programma!$F$3:$U$1101,16,0),"")</f>
        <v>_</v>
      </c>
      <c r="AX21" s="411" t="str">
        <f>_xlfn.IFNA(VLOOKUP($AH21,Programma!$F$3:$V$1101,17,0),"")</f>
        <v>_</v>
      </c>
      <c r="AY21" s="411" t="str">
        <f>_xlfn.IFNA(VLOOKUP($AH21,Programma!$F$3:$W$1101,18,0),"")</f>
        <v>4w</v>
      </c>
      <c r="AZ21" s="411" t="str">
        <f>_xlfn.IFNA(VLOOKUP($AH21,Programma!$F$3:$X$1101,19,0),"")</f>
        <v>1w</v>
      </c>
      <c r="BA21" s="411" t="str">
        <f>_xlfn.IFNA(VLOOKUP($AH21,Programma!$F$3:$Y$1101,20,0),"")</f>
        <v>_</v>
      </c>
      <c r="BB21" s="412"/>
      <c r="BC21" s="410" t="str">
        <f>IF(Ruimtestaat[[#This Row],[Frequentie weekend]]="","",_xlfn.CONCAT(Ruimtestaat[[#This Row],[Ruimte code]],"-",Ruimtestaat[[#This Row],[Frequentie weekend]]," ",Ruimtestaat[[#This Row],[Vloer code]]))</f>
        <v/>
      </c>
      <c r="BD21" s="411" t="str">
        <f>_xlfn.IFNA(VLOOKUP($BC21,Programma!$F$3:$G$1101,2,0),"")</f>
        <v/>
      </c>
      <c r="BE21" s="411" t="str">
        <f>_xlfn.IFNA(VLOOKUP($BC21,Programma!$F$3:$H$1101,3,0),"")</f>
        <v/>
      </c>
      <c r="BF21" s="411" t="str">
        <f>_xlfn.IFNA(VLOOKUP($BC21,Programma!$F$3:$I$1101,4,0),"")</f>
        <v/>
      </c>
      <c r="BG21" s="411" t="str">
        <f>_xlfn.IFNA(VLOOKUP($BC21,Programma!$F$3:$J$1101,5,0),"")</f>
        <v/>
      </c>
      <c r="BH21" s="411" t="str">
        <f>_xlfn.IFNA(VLOOKUP($BC21,Programma!$F$3:$K$1101,6,0),"")</f>
        <v/>
      </c>
      <c r="BI21" s="411" t="str">
        <f>_xlfn.IFNA(VLOOKUP($BC21,Programma!$F$3:$L$1101,7,0),"")</f>
        <v/>
      </c>
      <c r="BJ21" s="411" t="str">
        <f>_xlfn.IFNA(VLOOKUP($BC21,Programma!$F$3:$M$1101,8,0),"")</f>
        <v/>
      </c>
      <c r="BK21" s="411" t="str">
        <f>_xlfn.IFNA(VLOOKUP($BC21,Programma!$F$3:$N$1101,9,0),"")</f>
        <v/>
      </c>
      <c r="BL21" s="411" t="str">
        <f>_xlfn.IFNA(VLOOKUP($BC21,Programma!$F$3:$O$1101,10,0),"")</f>
        <v/>
      </c>
      <c r="BM21" s="411" t="str">
        <f>_xlfn.IFNA(VLOOKUP($BC21,Programma!$F$3:$P$1101,11,0),"")</f>
        <v/>
      </c>
      <c r="BN21" s="411" t="str">
        <f>_xlfn.IFNA(VLOOKUP($BC21,Programma!$F$3:$Q$1101,12,0),"")</f>
        <v/>
      </c>
      <c r="BO21" s="411" t="str">
        <f>_xlfn.IFNA(VLOOKUP($BC21,Programma!$F$3:$R$1101,13,0),"")</f>
        <v/>
      </c>
      <c r="BP21" s="411" t="str">
        <f>_xlfn.IFNA(VLOOKUP($BC21,Programma!$F$3:$S$1101,14,0),"")</f>
        <v/>
      </c>
      <c r="BQ21" s="411" t="str">
        <f>_xlfn.IFNA(VLOOKUP($BC21,Programma!$F$3:$T$1101,15,0),"")</f>
        <v/>
      </c>
      <c r="BR21" s="411" t="str">
        <f>_xlfn.IFNA(VLOOKUP($BC21,Programma!$F$3:$U$1101,16,0),"")</f>
        <v/>
      </c>
      <c r="BS21" s="411" t="str">
        <f>_xlfn.IFNA(VLOOKUP($BC21,Programma!$F$3:$V$1101,17,0),"")</f>
        <v/>
      </c>
      <c r="BT21" s="411" t="str">
        <f>_xlfn.IFNA(VLOOKUP($BC21,Programma!$F$3:$W$1101,18,0),"")</f>
        <v/>
      </c>
      <c r="BU21" s="411" t="str">
        <f>_xlfn.IFNA(VLOOKUP($BC21,Programma!$F$3:$X$1101,19,0),"")</f>
        <v/>
      </c>
      <c r="BV21" s="411" t="str">
        <f>_xlfn.IFNA(VLOOKUP($BC21,Programma!$F$3:$Y$1101,20,0),"")</f>
        <v/>
      </c>
    </row>
    <row r="22" spans="1:74" s="28" customFormat="1" ht="15" customHeight="1">
      <c r="A22" s="399">
        <v>1</v>
      </c>
      <c r="B22" s="400" t="str">
        <f>VLOOKUP(Ruimtestaat[[#This Row],[Code]],Locaties[[Code]:[Locatie]],2,FALSE)</f>
        <v>Jansstraat en Janskerk</v>
      </c>
      <c r="C22" s="400" t="str">
        <f>VLOOKUP(Ruimtestaat[[#This Row],[Code]],Locaties[[#All],[Code]:[Adres]],4,FALSE)</f>
        <v>Jansstraat 40</v>
      </c>
      <c r="D22" s="400" t="str">
        <f>VLOOKUP(Ruimtestaat[[#This Row],[Code]],Locaties[[#All],[Code]:[Postcode]],5,FALSE)</f>
        <v>2011 RX</v>
      </c>
      <c r="E22" s="400" t="str">
        <f>VLOOKUP(Ruimtestaat[[#This Row],[Code]],Locaties[#All],6,FALSE)</f>
        <v>Haarlem</v>
      </c>
      <c r="F22" s="399"/>
      <c r="G22" s="399" t="s">
        <v>1639</v>
      </c>
      <c r="H22" s="401">
        <v>17</v>
      </c>
      <c r="I22" s="402" t="s">
        <v>22</v>
      </c>
      <c r="J22" s="336">
        <v>5</v>
      </c>
      <c r="K22" s="414" t="str">
        <f>VLOOKUP(Ruimtestaat[[#This Row],[Ruimte code]],Ruimtegroepen[[#All],[Code]:[Ruimte omschrijving]],2,FALSE)</f>
        <v>Sanitair</v>
      </c>
      <c r="L22" s="399" t="s">
        <v>101</v>
      </c>
      <c r="M22" s="402" t="s">
        <v>1635</v>
      </c>
      <c r="N22" s="404">
        <v>1.1000000000000001</v>
      </c>
      <c r="O22" s="413"/>
      <c r="P22" s="405" t="str">
        <f>VLOOKUP(Ruimtestaat[[#This Row],[Ruimte code]],Ruimtegroepen[],4,FALSE)</f>
        <v>Sa</v>
      </c>
      <c r="Q22" s="399">
        <v>51</v>
      </c>
      <c r="R22" s="399" t="s">
        <v>2</v>
      </c>
      <c r="S22" s="399">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 s="399">
        <f>IF(S22&gt;0,VLOOKUP($J22,Ruimtegroepen[],3,FALSE)*VLOOKUP($L22,Vloersoorten[],3,FALSE)*VLOOKUP($R22,Frequenties[],3,FALSE)*VLOOKUP($A22,Locaties[],3,FALSE),0)</f>
        <v>0</v>
      </c>
      <c r="U22" s="399">
        <f>Ruimtestaat[[#This Row],[Uitvoeringen werkdagen]]*Ruimtestaat[[#This Row],[Oppervlak (netto)]]</f>
        <v>280.5</v>
      </c>
      <c r="V22" s="406">
        <f>IF(T22&gt;0,Ruimtestaat[[#This Row],[Prest. (m2 /jaar) werkdagen]]/Ruimtestaat[[#This Row],[Norm (m2/uur) werkdagen]],0)</f>
        <v>0</v>
      </c>
      <c r="W22" s="407">
        <f>Ruimtestaat[[#This Row],[uren / jaar werkdagen]]*Tariefsopbouw!$E$35</f>
        <v>0</v>
      </c>
      <c r="X22" s="399"/>
      <c r="Y22" s="399">
        <f>IF(Ruimtestaat[[#This Row],[Frequentie weekend]]&gt;0,VALUE(LEFT(X22,1))*Q22,0)</f>
        <v>0</v>
      </c>
      <c r="Z22" s="408">
        <f>IF($Y22&gt;0,VLOOKUP($J22,Ruimtegroepen[],3,FALSE)*VLOOKUP($L22,Vloersoorten[],3,FALSE)*VLOOKUP($X22,Frequenties[],3,FALSE)*VLOOKUP(Ruimtestaat[[#This Row],[Code]],Locaties[],3,FALSE),0)</f>
        <v>0</v>
      </c>
      <c r="AA22" s="408">
        <f>Ruimtestaat[[#This Row],[Uitvoeringen weekend]]*Ruimtestaat[[#This Row],[Oppervlak (netto)]]</f>
        <v>0</v>
      </c>
      <c r="AB22" s="408">
        <f>IF(Z22&gt;0,Ruimtestaat[[#This Row],[Prest. (m2 /jaar) weekend]]/Ruimtestaat[[#This Row],[Norm (m2/uur) weekend]],0)</f>
        <v>0</v>
      </c>
      <c r="AC22" s="407">
        <f>Ruimtestaat[[#This Row],[uren / jaar weekend]]*Tariefsopbouw!$D$40</f>
        <v>0</v>
      </c>
      <c r="AD22" s="406">
        <f>Ruimtestaat[[#This Row],[Prest. (m2 /jaar) weekend]]+Ruimtestaat[[#This Row],[Prest. (m2 /jaar) werkdagen]]</f>
        <v>280.5</v>
      </c>
      <c r="AE22" s="406">
        <f>Ruimtestaat[[#This Row],[uren / jaar weekend]]+Ruimtestaat[[#This Row],[uren / jaar werkdagen]]</f>
        <v>0</v>
      </c>
      <c r="AF22" s="409">
        <f>Ruimtestaat[[#This Row],[kosten / jaar weekend]]+Ruimtestaat[[#This Row],[kosten / jaar werkdagen]]</f>
        <v>0</v>
      </c>
      <c r="AG22" s="409"/>
      <c r="AH22" s="410" t="str">
        <f>IF(Ruimtestaat[[#This Row],[Frequentie werkdagen]]="","",_xlfn.CONCAT(Ruimtestaat[[#This Row],[Ruimte code]],"-",Ruimtestaat[[#This Row],[Frequentie werkdagen]]," ",Ruimtestaat[[#This Row],[Vloer code]]))</f>
        <v>5-5w S</v>
      </c>
      <c r="AI22" s="411" t="str">
        <f>_xlfn.IFNA(VLOOKUP($AH22,Programma!$F$3:$G$1101,2,0),"")</f>
        <v>_</v>
      </c>
      <c r="AJ22" s="411" t="str">
        <f>_xlfn.IFNA(VLOOKUP($AH22,Programma!$F$3:$H$1101,3,0),"")</f>
        <v>_</v>
      </c>
      <c r="AK22" s="411" t="str">
        <f>_xlfn.IFNA(VLOOKUP($AH22,Programma!$F$3:$I$1101,4,0),"")</f>
        <v>_</v>
      </c>
      <c r="AL22" s="411" t="str">
        <f>_xlfn.IFNA(VLOOKUP($AH22,Programma!$F$3:$J$1101,5,0),"")</f>
        <v>4w</v>
      </c>
      <c r="AM22" s="411" t="str">
        <f>_xlfn.IFNA(VLOOKUP($AH22,Programma!$F$3:$K$1101,6,0),"")</f>
        <v>1w</v>
      </c>
      <c r="AN22" s="411" t="str">
        <f>_xlfn.IFNA(VLOOKUP($AH22,Programma!$F$3:$L$1101,7,0),"")</f>
        <v>_</v>
      </c>
      <c r="AO22" s="411" t="str">
        <f>_xlfn.IFNA(VLOOKUP($AH22,Programma!$F$3:$M$1101,8,0),"")</f>
        <v>_</v>
      </c>
      <c r="AP22" s="411" t="str">
        <f>_xlfn.IFNA(VLOOKUP($AH22,Programma!$F$3:$N$1101,9,0),"")</f>
        <v>_</v>
      </c>
      <c r="AQ22" s="411" t="str">
        <f>_xlfn.IFNA(VLOOKUP($AH22,Programma!$F$3:$O$1101,10,0),"")</f>
        <v>_</v>
      </c>
      <c r="AR22" s="411" t="str">
        <f>_xlfn.IFNA(VLOOKUP($AH22,Programma!$F$3:$P$1101,11,0),"")</f>
        <v>_</v>
      </c>
      <c r="AS22" s="411" t="str">
        <f>_xlfn.IFNA(VLOOKUP($AH22,Programma!$F$3:$Q$1101,12,0),"")</f>
        <v>_</v>
      </c>
      <c r="AT22" s="411" t="str">
        <f>_xlfn.IFNA(VLOOKUP($AH22,Programma!$F$3:$R$1101,13,0),"")</f>
        <v>_</v>
      </c>
      <c r="AU22" s="411" t="str">
        <f>_xlfn.IFNA(VLOOKUP($AH22,Programma!$F$3:$S$1101,14,0),"")</f>
        <v>_</v>
      </c>
      <c r="AV22" s="411" t="str">
        <f>_xlfn.IFNA(VLOOKUP($AH22,Programma!$F$3:$T$1101,15,0),"")</f>
        <v>_</v>
      </c>
      <c r="AW22" s="411" t="str">
        <f>_xlfn.IFNA(VLOOKUP($AH22,Programma!$F$3:$U$1101,16,0),"")</f>
        <v>_</v>
      </c>
      <c r="AX22" s="411" t="str">
        <f>_xlfn.IFNA(VLOOKUP($AH22,Programma!$F$3:$V$1101,17,0),"")</f>
        <v>_</v>
      </c>
      <c r="AY22" s="411" t="str">
        <f>_xlfn.IFNA(VLOOKUP($AH22,Programma!$F$3:$W$1101,18,0),"")</f>
        <v>4w</v>
      </c>
      <c r="AZ22" s="411" t="str">
        <f>_xlfn.IFNA(VLOOKUP($AH22,Programma!$F$3:$X$1101,19,0),"")</f>
        <v>1w</v>
      </c>
      <c r="BA22" s="411" t="str">
        <f>_xlfn.IFNA(VLOOKUP($AH22,Programma!$F$3:$Y$1101,20,0),"")</f>
        <v>_</v>
      </c>
      <c r="BB22" s="412"/>
      <c r="BC22" s="410" t="str">
        <f>IF(Ruimtestaat[[#This Row],[Frequentie weekend]]="","",_xlfn.CONCAT(Ruimtestaat[[#This Row],[Ruimte code]],"-",Ruimtestaat[[#This Row],[Frequentie weekend]]," ",Ruimtestaat[[#This Row],[Vloer code]]))</f>
        <v/>
      </c>
      <c r="BD22" s="411" t="str">
        <f>_xlfn.IFNA(VLOOKUP($BC22,Programma!$F$3:$G$1101,2,0),"")</f>
        <v/>
      </c>
      <c r="BE22" s="411" t="str">
        <f>_xlfn.IFNA(VLOOKUP($BC22,Programma!$F$3:$H$1101,3,0),"")</f>
        <v/>
      </c>
      <c r="BF22" s="411" t="str">
        <f>_xlfn.IFNA(VLOOKUP($BC22,Programma!$F$3:$I$1101,4,0),"")</f>
        <v/>
      </c>
      <c r="BG22" s="411" t="str">
        <f>_xlfn.IFNA(VLOOKUP($BC22,Programma!$F$3:$J$1101,5,0),"")</f>
        <v/>
      </c>
      <c r="BH22" s="411" t="str">
        <f>_xlfn.IFNA(VLOOKUP($BC22,Programma!$F$3:$K$1101,6,0),"")</f>
        <v/>
      </c>
      <c r="BI22" s="411" t="str">
        <f>_xlfn.IFNA(VLOOKUP($BC22,Programma!$F$3:$L$1101,7,0),"")</f>
        <v/>
      </c>
      <c r="BJ22" s="411" t="str">
        <f>_xlfn.IFNA(VLOOKUP($BC22,Programma!$F$3:$M$1101,8,0),"")</f>
        <v/>
      </c>
      <c r="BK22" s="411" t="str">
        <f>_xlfn.IFNA(VLOOKUP($BC22,Programma!$F$3:$N$1101,9,0),"")</f>
        <v/>
      </c>
      <c r="BL22" s="411" t="str">
        <f>_xlfn.IFNA(VLOOKUP($BC22,Programma!$F$3:$O$1101,10,0),"")</f>
        <v/>
      </c>
      <c r="BM22" s="411" t="str">
        <f>_xlfn.IFNA(VLOOKUP($BC22,Programma!$F$3:$P$1101,11,0),"")</f>
        <v/>
      </c>
      <c r="BN22" s="411" t="str">
        <f>_xlfn.IFNA(VLOOKUP($BC22,Programma!$F$3:$Q$1101,12,0),"")</f>
        <v/>
      </c>
      <c r="BO22" s="411" t="str">
        <f>_xlfn.IFNA(VLOOKUP($BC22,Programma!$F$3:$R$1101,13,0),"")</f>
        <v/>
      </c>
      <c r="BP22" s="411" t="str">
        <f>_xlfn.IFNA(VLOOKUP($BC22,Programma!$F$3:$S$1101,14,0),"")</f>
        <v/>
      </c>
      <c r="BQ22" s="411" t="str">
        <f>_xlfn.IFNA(VLOOKUP($BC22,Programma!$F$3:$T$1101,15,0),"")</f>
        <v/>
      </c>
      <c r="BR22" s="411" t="str">
        <f>_xlfn.IFNA(VLOOKUP($BC22,Programma!$F$3:$U$1101,16,0),"")</f>
        <v/>
      </c>
      <c r="BS22" s="411" t="str">
        <f>_xlfn.IFNA(VLOOKUP($BC22,Programma!$F$3:$V$1101,17,0),"")</f>
        <v/>
      </c>
      <c r="BT22" s="411" t="str">
        <f>_xlfn.IFNA(VLOOKUP($BC22,Programma!$F$3:$W$1101,18,0),"")</f>
        <v/>
      </c>
      <c r="BU22" s="411" t="str">
        <f>_xlfn.IFNA(VLOOKUP($BC22,Programma!$F$3:$X$1101,19,0),"")</f>
        <v/>
      </c>
      <c r="BV22" s="411" t="str">
        <f>_xlfn.IFNA(VLOOKUP($BC22,Programma!$F$3:$Y$1101,20,0),"")</f>
        <v/>
      </c>
    </row>
    <row r="23" spans="1:74" s="28" customFormat="1" ht="15" customHeight="1">
      <c r="A23" s="399">
        <v>1</v>
      </c>
      <c r="B23" s="400" t="str">
        <f>VLOOKUP(Ruimtestaat[[#This Row],[Code]],Locaties[[Code]:[Locatie]],2,FALSE)</f>
        <v>Jansstraat en Janskerk</v>
      </c>
      <c r="C23" s="400" t="str">
        <f>VLOOKUP(Ruimtestaat[[#This Row],[Code]],Locaties[[#All],[Code]:[Adres]],4,FALSE)</f>
        <v>Jansstraat 40</v>
      </c>
      <c r="D23" s="400" t="str">
        <f>VLOOKUP(Ruimtestaat[[#This Row],[Code]],Locaties[[#All],[Code]:[Postcode]],5,FALSE)</f>
        <v>2011 RX</v>
      </c>
      <c r="E23" s="400" t="str">
        <f>VLOOKUP(Ruimtestaat[[#This Row],[Code]],Locaties[#All],6,FALSE)</f>
        <v>Haarlem</v>
      </c>
      <c r="F23" s="399"/>
      <c r="G23" s="399" t="s">
        <v>1639</v>
      </c>
      <c r="H23" s="401">
        <v>18</v>
      </c>
      <c r="I23" s="402" t="s">
        <v>22</v>
      </c>
      <c r="J23" s="336">
        <v>5</v>
      </c>
      <c r="K23" s="414" t="str">
        <f>VLOOKUP(Ruimtestaat[[#This Row],[Ruimte code]],Ruimtegroepen[[#All],[Code]:[Ruimte omschrijving]],2,FALSE)</f>
        <v>Sanitair</v>
      </c>
      <c r="L23" s="399" t="s">
        <v>101</v>
      </c>
      <c r="M23" s="402" t="s">
        <v>1635</v>
      </c>
      <c r="N23" s="404">
        <v>1.1000000000000001</v>
      </c>
      <c r="O23" s="413"/>
      <c r="P23" s="405" t="str">
        <f>VLOOKUP(Ruimtestaat[[#This Row],[Ruimte code]],Ruimtegroepen[],4,FALSE)</f>
        <v>Sa</v>
      </c>
      <c r="Q23" s="399">
        <v>51</v>
      </c>
      <c r="R23" s="399" t="s">
        <v>2</v>
      </c>
      <c r="S23" s="399">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 s="399">
        <f>IF(S23&gt;0,VLOOKUP($J23,Ruimtegroepen[],3,FALSE)*VLOOKUP($L23,Vloersoorten[],3,FALSE)*VLOOKUP($R23,Frequenties[],3,FALSE)*VLOOKUP($A23,Locaties[],3,FALSE),0)</f>
        <v>0</v>
      </c>
      <c r="U23" s="399">
        <f>Ruimtestaat[[#This Row],[Uitvoeringen werkdagen]]*Ruimtestaat[[#This Row],[Oppervlak (netto)]]</f>
        <v>280.5</v>
      </c>
      <c r="V23" s="406">
        <f>IF(T23&gt;0,Ruimtestaat[[#This Row],[Prest. (m2 /jaar) werkdagen]]/Ruimtestaat[[#This Row],[Norm (m2/uur) werkdagen]],0)</f>
        <v>0</v>
      </c>
      <c r="W23" s="407">
        <f>Ruimtestaat[[#This Row],[uren / jaar werkdagen]]*Tariefsopbouw!$E$35</f>
        <v>0</v>
      </c>
      <c r="X23" s="399"/>
      <c r="Y23" s="399">
        <f>IF(Ruimtestaat[[#This Row],[Frequentie weekend]]&gt;0,VALUE(LEFT(X23,1))*Q23,0)</f>
        <v>0</v>
      </c>
      <c r="Z23" s="408">
        <f>IF($Y23&gt;0,VLOOKUP($J23,Ruimtegroepen[],3,FALSE)*VLOOKUP($L23,Vloersoorten[],3,FALSE)*VLOOKUP($X23,Frequenties[],3,FALSE)*VLOOKUP(Ruimtestaat[[#This Row],[Code]],Locaties[],3,FALSE),0)</f>
        <v>0</v>
      </c>
      <c r="AA23" s="408">
        <f>Ruimtestaat[[#This Row],[Uitvoeringen weekend]]*Ruimtestaat[[#This Row],[Oppervlak (netto)]]</f>
        <v>0</v>
      </c>
      <c r="AB23" s="408">
        <f>IF(Z23&gt;0,Ruimtestaat[[#This Row],[Prest. (m2 /jaar) weekend]]/Ruimtestaat[[#This Row],[Norm (m2/uur) weekend]],0)</f>
        <v>0</v>
      </c>
      <c r="AC23" s="407">
        <f>Ruimtestaat[[#This Row],[uren / jaar weekend]]*Tariefsopbouw!$D$40</f>
        <v>0</v>
      </c>
      <c r="AD23" s="406">
        <f>Ruimtestaat[[#This Row],[Prest. (m2 /jaar) weekend]]+Ruimtestaat[[#This Row],[Prest. (m2 /jaar) werkdagen]]</f>
        <v>280.5</v>
      </c>
      <c r="AE23" s="406">
        <f>Ruimtestaat[[#This Row],[uren / jaar weekend]]+Ruimtestaat[[#This Row],[uren / jaar werkdagen]]</f>
        <v>0</v>
      </c>
      <c r="AF23" s="409">
        <f>Ruimtestaat[[#This Row],[kosten / jaar weekend]]+Ruimtestaat[[#This Row],[kosten / jaar werkdagen]]</f>
        <v>0</v>
      </c>
      <c r="AG23" s="409"/>
      <c r="AH23" s="410" t="str">
        <f>IF(Ruimtestaat[[#This Row],[Frequentie werkdagen]]="","",_xlfn.CONCAT(Ruimtestaat[[#This Row],[Ruimte code]],"-",Ruimtestaat[[#This Row],[Frequentie werkdagen]]," ",Ruimtestaat[[#This Row],[Vloer code]]))</f>
        <v>5-5w S</v>
      </c>
      <c r="AI23" s="411" t="str">
        <f>_xlfn.IFNA(VLOOKUP($AH23,Programma!$F$3:$G$1101,2,0),"")</f>
        <v>_</v>
      </c>
      <c r="AJ23" s="411" t="str">
        <f>_xlfn.IFNA(VLOOKUP($AH23,Programma!$F$3:$H$1101,3,0),"")</f>
        <v>_</v>
      </c>
      <c r="AK23" s="411" t="str">
        <f>_xlfn.IFNA(VLOOKUP($AH23,Programma!$F$3:$I$1101,4,0),"")</f>
        <v>_</v>
      </c>
      <c r="AL23" s="411" t="str">
        <f>_xlfn.IFNA(VLOOKUP($AH23,Programma!$F$3:$J$1101,5,0),"")</f>
        <v>4w</v>
      </c>
      <c r="AM23" s="411" t="str">
        <f>_xlfn.IFNA(VLOOKUP($AH23,Programma!$F$3:$K$1101,6,0),"")</f>
        <v>1w</v>
      </c>
      <c r="AN23" s="411" t="str">
        <f>_xlfn.IFNA(VLOOKUP($AH23,Programma!$F$3:$L$1101,7,0),"")</f>
        <v>_</v>
      </c>
      <c r="AO23" s="411" t="str">
        <f>_xlfn.IFNA(VLOOKUP($AH23,Programma!$F$3:$M$1101,8,0),"")</f>
        <v>_</v>
      </c>
      <c r="AP23" s="411" t="str">
        <f>_xlfn.IFNA(VLOOKUP($AH23,Programma!$F$3:$N$1101,9,0),"")</f>
        <v>_</v>
      </c>
      <c r="AQ23" s="411" t="str">
        <f>_xlfn.IFNA(VLOOKUP($AH23,Programma!$F$3:$O$1101,10,0),"")</f>
        <v>_</v>
      </c>
      <c r="AR23" s="411" t="str">
        <f>_xlfn.IFNA(VLOOKUP($AH23,Programma!$F$3:$P$1101,11,0),"")</f>
        <v>_</v>
      </c>
      <c r="AS23" s="411" t="str">
        <f>_xlfn.IFNA(VLOOKUP($AH23,Programma!$F$3:$Q$1101,12,0),"")</f>
        <v>_</v>
      </c>
      <c r="AT23" s="411" t="str">
        <f>_xlfn.IFNA(VLOOKUP($AH23,Programma!$F$3:$R$1101,13,0),"")</f>
        <v>_</v>
      </c>
      <c r="AU23" s="411" t="str">
        <f>_xlfn.IFNA(VLOOKUP($AH23,Programma!$F$3:$S$1101,14,0),"")</f>
        <v>_</v>
      </c>
      <c r="AV23" s="411" t="str">
        <f>_xlfn.IFNA(VLOOKUP($AH23,Programma!$F$3:$T$1101,15,0),"")</f>
        <v>_</v>
      </c>
      <c r="AW23" s="411" t="str">
        <f>_xlfn.IFNA(VLOOKUP($AH23,Programma!$F$3:$U$1101,16,0),"")</f>
        <v>_</v>
      </c>
      <c r="AX23" s="411" t="str">
        <f>_xlfn.IFNA(VLOOKUP($AH23,Programma!$F$3:$V$1101,17,0),"")</f>
        <v>_</v>
      </c>
      <c r="AY23" s="411" t="str">
        <f>_xlfn.IFNA(VLOOKUP($AH23,Programma!$F$3:$W$1101,18,0),"")</f>
        <v>4w</v>
      </c>
      <c r="AZ23" s="411" t="str">
        <f>_xlfn.IFNA(VLOOKUP($AH23,Programma!$F$3:$X$1101,19,0),"")</f>
        <v>1w</v>
      </c>
      <c r="BA23" s="411" t="str">
        <f>_xlfn.IFNA(VLOOKUP($AH23,Programma!$F$3:$Y$1101,20,0),"")</f>
        <v>_</v>
      </c>
      <c r="BB23" s="412"/>
      <c r="BC23" s="410" t="str">
        <f>IF(Ruimtestaat[[#This Row],[Frequentie weekend]]="","",_xlfn.CONCAT(Ruimtestaat[[#This Row],[Ruimte code]],"-",Ruimtestaat[[#This Row],[Frequentie weekend]]," ",Ruimtestaat[[#This Row],[Vloer code]]))</f>
        <v/>
      </c>
      <c r="BD23" s="411" t="str">
        <f>_xlfn.IFNA(VLOOKUP($BC23,Programma!$F$3:$G$1101,2,0),"")</f>
        <v/>
      </c>
      <c r="BE23" s="411" t="str">
        <f>_xlfn.IFNA(VLOOKUP($BC23,Programma!$F$3:$H$1101,3,0),"")</f>
        <v/>
      </c>
      <c r="BF23" s="411" t="str">
        <f>_xlfn.IFNA(VLOOKUP($BC23,Programma!$F$3:$I$1101,4,0),"")</f>
        <v/>
      </c>
      <c r="BG23" s="411" t="str">
        <f>_xlfn.IFNA(VLOOKUP($BC23,Programma!$F$3:$J$1101,5,0),"")</f>
        <v/>
      </c>
      <c r="BH23" s="411" t="str">
        <f>_xlfn.IFNA(VLOOKUP($BC23,Programma!$F$3:$K$1101,6,0),"")</f>
        <v/>
      </c>
      <c r="BI23" s="411" t="str">
        <f>_xlfn.IFNA(VLOOKUP($BC23,Programma!$F$3:$L$1101,7,0),"")</f>
        <v/>
      </c>
      <c r="BJ23" s="411" t="str">
        <f>_xlfn.IFNA(VLOOKUP($BC23,Programma!$F$3:$M$1101,8,0),"")</f>
        <v/>
      </c>
      <c r="BK23" s="411" t="str">
        <f>_xlfn.IFNA(VLOOKUP($BC23,Programma!$F$3:$N$1101,9,0),"")</f>
        <v/>
      </c>
      <c r="BL23" s="411" t="str">
        <f>_xlfn.IFNA(VLOOKUP($BC23,Programma!$F$3:$O$1101,10,0),"")</f>
        <v/>
      </c>
      <c r="BM23" s="411" t="str">
        <f>_xlfn.IFNA(VLOOKUP($BC23,Programma!$F$3:$P$1101,11,0),"")</f>
        <v/>
      </c>
      <c r="BN23" s="411" t="str">
        <f>_xlfn.IFNA(VLOOKUP($BC23,Programma!$F$3:$Q$1101,12,0),"")</f>
        <v/>
      </c>
      <c r="BO23" s="411" t="str">
        <f>_xlfn.IFNA(VLOOKUP($BC23,Programma!$F$3:$R$1101,13,0),"")</f>
        <v/>
      </c>
      <c r="BP23" s="411" t="str">
        <f>_xlfn.IFNA(VLOOKUP($BC23,Programma!$F$3:$S$1101,14,0),"")</f>
        <v/>
      </c>
      <c r="BQ23" s="411" t="str">
        <f>_xlfn.IFNA(VLOOKUP($BC23,Programma!$F$3:$T$1101,15,0),"")</f>
        <v/>
      </c>
      <c r="BR23" s="411" t="str">
        <f>_xlfn.IFNA(VLOOKUP($BC23,Programma!$F$3:$U$1101,16,0),"")</f>
        <v/>
      </c>
      <c r="BS23" s="411" t="str">
        <f>_xlfn.IFNA(VLOOKUP($BC23,Programma!$F$3:$V$1101,17,0),"")</f>
        <v/>
      </c>
      <c r="BT23" s="411" t="str">
        <f>_xlfn.IFNA(VLOOKUP($BC23,Programma!$F$3:$W$1101,18,0),"")</f>
        <v/>
      </c>
      <c r="BU23" s="411" t="str">
        <f>_xlfn.IFNA(VLOOKUP($BC23,Programma!$F$3:$X$1101,19,0),"")</f>
        <v/>
      </c>
      <c r="BV23" s="411" t="str">
        <f>_xlfn.IFNA(VLOOKUP($BC23,Programma!$F$3:$Y$1101,20,0),"")</f>
        <v/>
      </c>
    </row>
    <row r="24" spans="1:74" s="28" customFormat="1" ht="15" customHeight="1">
      <c r="A24" s="399">
        <v>1</v>
      </c>
      <c r="B24" s="400" t="str">
        <f>VLOOKUP(Ruimtestaat[[#This Row],[Code]],Locaties[[Code]:[Locatie]],2,FALSE)</f>
        <v>Jansstraat en Janskerk</v>
      </c>
      <c r="C24" s="400" t="str">
        <f>VLOOKUP(Ruimtestaat[[#This Row],[Code]],Locaties[[#All],[Code]:[Adres]],4,FALSE)</f>
        <v>Jansstraat 40</v>
      </c>
      <c r="D24" s="400" t="str">
        <f>VLOOKUP(Ruimtestaat[[#This Row],[Code]],Locaties[[#All],[Code]:[Postcode]],5,FALSE)</f>
        <v>2011 RX</v>
      </c>
      <c r="E24" s="400" t="str">
        <f>VLOOKUP(Ruimtestaat[[#This Row],[Code]],Locaties[#All],6,FALSE)</f>
        <v>Haarlem</v>
      </c>
      <c r="F24" s="399"/>
      <c r="G24" s="399" t="s">
        <v>1639</v>
      </c>
      <c r="H24" s="401">
        <v>19</v>
      </c>
      <c r="I24" s="402" t="s">
        <v>22</v>
      </c>
      <c r="J24" s="336">
        <v>5</v>
      </c>
      <c r="K24" s="414" t="str">
        <f>VLOOKUP(Ruimtestaat[[#This Row],[Ruimte code]],Ruimtegroepen[[#All],[Code]:[Ruimte omschrijving]],2,FALSE)</f>
        <v>Sanitair</v>
      </c>
      <c r="L24" s="399" t="s">
        <v>101</v>
      </c>
      <c r="M24" s="402" t="s">
        <v>1635</v>
      </c>
      <c r="N24" s="404">
        <v>1.1000000000000001</v>
      </c>
      <c r="O24" s="399"/>
      <c r="P24" s="405" t="str">
        <f>VLOOKUP(Ruimtestaat[[#This Row],[Ruimte code]],Ruimtegroepen[],4,FALSE)</f>
        <v>Sa</v>
      </c>
      <c r="Q24" s="399">
        <v>51</v>
      </c>
      <c r="R24" s="399" t="s">
        <v>2</v>
      </c>
      <c r="S24" s="399">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4" s="399">
        <f>IF(S24&gt;0,VLOOKUP($J24,Ruimtegroepen[],3,FALSE)*VLOOKUP($L24,Vloersoorten[],3,FALSE)*VLOOKUP($R24,Frequenties[],3,FALSE)*VLOOKUP($A24,Locaties[],3,FALSE),0)</f>
        <v>0</v>
      </c>
      <c r="U24" s="399">
        <f>Ruimtestaat[[#This Row],[Uitvoeringen werkdagen]]*Ruimtestaat[[#This Row],[Oppervlak (netto)]]</f>
        <v>280.5</v>
      </c>
      <c r="V24" s="406">
        <f>IF(T24&gt;0,Ruimtestaat[[#This Row],[Prest. (m2 /jaar) werkdagen]]/Ruimtestaat[[#This Row],[Norm (m2/uur) werkdagen]],0)</f>
        <v>0</v>
      </c>
      <c r="W24" s="407">
        <f>Ruimtestaat[[#This Row],[uren / jaar werkdagen]]*Tariefsopbouw!$E$35</f>
        <v>0</v>
      </c>
      <c r="X24" s="399"/>
      <c r="Y24" s="399">
        <f>IF(Ruimtestaat[[#This Row],[Frequentie weekend]]&gt;0,VALUE(LEFT(X24,1))*Q24,0)</f>
        <v>0</v>
      </c>
      <c r="Z24" s="408">
        <f>IF($Y24&gt;0,VLOOKUP($J24,Ruimtegroepen[],3,FALSE)*VLOOKUP($L24,Vloersoorten[],3,FALSE)*VLOOKUP($X24,Frequenties[],3,FALSE)*VLOOKUP(Ruimtestaat[[#This Row],[Code]],Locaties[],3,FALSE),0)</f>
        <v>0</v>
      </c>
      <c r="AA24" s="408">
        <f>Ruimtestaat[[#This Row],[Uitvoeringen weekend]]*Ruimtestaat[[#This Row],[Oppervlak (netto)]]</f>
        <v>0</v>
      </c>
      <c r="AB24" s="408">
        <f>IF(Z24&gt;0,Ruimtestaat[[#This Row],[Prest. (m2 /jaar) weekend]]/Ruimtestaat[[#This Row],[Norm (m2/uur) weekend]],0)</f>
        <v>0</v>
      </c>
      <c r="AC24" s="407">
        <f>Ruimtestaat[[#This Row],[uren / jaar weekend]]*Tariefsopbouw!$D$40</f>
        <v>0</v>
      </c>
      <c r="AD24" s="406">
        <f>Ruimtestaat[[#This Row],[Prest. (m2 /jaar) weekend]]+Ruimtestaat[[#This Row],[Prest. (m2 /jaar) werkdagen]]</f>
        <v>280.5</v>
      </c>
      <c r="AE24" s="406">
        <f>Ruimtestaat[[#This Row],[uren / jaar weekend]]+Ruimtestaat[[#This Row],[uren / jaar werkdagen]]</f>
        <v>0</v>
      </c>
      <c r="AF24" s="409">
        <f>Ruimtestaat[[#This Row],[kosten / jaar weekend]]+Ruimtestaat[[#This Row],[kosten / jaar werkdagen]]</f>
        <v>0</v>
      </c>
      <c r="AG24" s="409"/>
      <c r="AH24" s="410" t="str">
        <f>IF(Ruimtestaat[[#This Row],[Frequentie werkdagen]]="","",_xlfn.CONCAT(Ruimtestaat[[#This Row],[Ruimte code]],"-",Ruimtestaat[[#This Row],[Frequentie werkdagen]]," ",Ruimtestaat[[#This Row],[Vloer code]]))</f>
        <v>5-5w S</v>
      </c>
      <c r="AI24" s="411" t="str">
        <f>_xlfn.IFNA(VLOOKUP($AH24,Programma!$F$3:$G$1101,2,0),"")</f>
        <v>_</v>
      </c>
      <c r="AJ24" s="411" t="str">
        <f>_xlfn.IFNA(VLOOKUP($AH24,Programma!$F$3:$H$1101,3,0),"")</f>
        <v>_</v>
      </c>
      <c r="AK24" s="411" t="str">
        <f>_xlfn.IFNA(VLOOKUP($AH24,Programma!$F$3:$I$1101,4,0),"")</f>
        <v>_</v>
      </c>
      <c r="AL24" s="411" t="str">
        <f>_xlfn.IFNA(VLOOKUP($AH24,Programma!$F$3:$J$1101,5,0),"")</f>
        <v>4w</v>
      </c>
      <c r="AM24" s="411" t="str">
        <f>_xlfn.IFNA(VLOOKUP($AH24,Programma!$F$3:$K$1101,6,0),"")</f>
        <v>1w</v>
      </c>
      <c r="AN24" s="411" t="str">
        <f>_xlfn.IFNA(VLOOKUP($AH24,Programma!$F$3:$L$1101,7,0),"")</f>
        <v>_</v>
      </c>
      <c r="AO24" s="411" t="str">
        <f>_xlfn.IFNA(VLOOKUP($AH24,Programma!$F$3:$M$1101,8,0),"")</f>
        <v>_</v>
      </c>
      <c r="AP24" s="411" t="str">
        <f>_xlfn.IFNA(VLOOKUP($AH24,Programma!$F$3:$N$1101,9,0),"")</f>
        <v>_</v>
      </c>
      <c r="AQ24" s="411" t="str">
        <f>_xlfn.IFNA(VLOOKUP($AH24,Programma!$F$3:$O$1101,10,0),"")</f>
        <v>_</v>
      </c>
      <c r="AR24" s="411" t="str">
        <f>_xlfn.IFNA(VLOOKUP($AH24,Programma!$F$3:$P$1101,11,0),"")</f>
        <v>_</v>
      </c>
      <c r="AS24" s="411" t="str">
        <f>_xlfn.IFNA(VLOOKUP($AH24,Programma!$F$3:$Q$1101,12,0),"")</f>
        <v>_</v>
      </c>
      <c r="AT24" s="411" t="str">
        <f>_xlfn.IFNA(VLOOKUP($AH24,Programma!$F$3:$R$1101,13,0),"")</f>
        <v>_</v>
      </c>
      <c r="AU24" s="411" t="str">
        <f>_xlfn.IFNA(VLOOKUP($AH24,Programma!$F$3:$S$1101,14,0),"")</f>
        <v>_</v>
      </c>
      <c r="AV24" s="411" t="str">
        <f>_xlfn.IFNA(VLOOKUP($AH24,Programma!$F$3:$T$1101,15,0),"")</f>
        <v>_</v>
      </c>
      <c r="AW24" s="411" t="str">
        <f>_xlfn.IFNA(VLOOKUP($AH24,Programma!$F$3:$U$1101,16,0),"")</f>
        <v>_</v>
      </c>
      <c r="AX24" s="411" t="str">
        <f>_xlfn.IFNA(VLOOKUP($AH24,Programma!$F$3:$V$1101,17,0),"")</f>
        <v>_</v>
      </c>
      <c r="AY24" s="411" t="str">
        <f>_xlfn.IFNA(VLOOKUP($AH24,Programma!$F$3:$W$1101,18,0),"")</f>
        <v>4w</v>
      </c>
      <c r="AZ24" s="411" t="str">
        <f>_xlfn.IFNA(VLOOKUP($AH24,Programma!$F$3:$X$1101,19,0),"")</f>
        <v>1w</v>
      </c>
      <c r="BA24" s="411" t="str">
        <f>_xlfn.IFNA(VLOOKUP($AH24,Programma!$F$3:$Y$1101,20,0),"")</f>
        <v>_</v>
      </c>
      <c r="BB24" s="412"/>
      <c r="BC24" s="410" t="str">
        <f>IF(Ruimtestaat[[#This Row],[Frequentie weekend]]="","",_xlfn.CONCAT(Ruimtestaat[[#This Row],[Ruimte code]],"-",Ruimtestaat[[#This Row],[Frequentie weekend]]," ",Ruimtestaat[[#This Row],[Vloer code]]))</f>
        <v/>
      </c>
      <c r="BD24" s="411" t="str">
        <f>_xlfn.IFNA(VLOOKUP($BC24,Programma!$F$3:$G$1101,2,0),"")</f>
        <v/>
      </c>
      <c r="BE24" s="411" t="str">
        <f>_xlfn.IFNA(VLOOKUP($BC24,Programma!$F$3:$H$1101,3,0),"")</f>
        <v/>
      </c>
      <c r="BF24" s="411" t="str">
        <f>_xlfn.IFNA(VLOOKUP($BC24,Programma!$F$3:$I$1101,4,0),"")</f>
        <v/>
      </c>
      <c r="BG24" s="411" t="str">
        <f>_xlfn.IFNA(VLOOKUP($BC24,Programma!$F$3:$J$1101,5,0),"")</f>
        <v/>
      </c>
      <c r="BH24" s="411" t="str">
        <f>_xlfn.IFNA(VLOOKUP($BC24,Programma!$F$3:$K$1101,6,0),"")</f>
        <v/>
      </c>
      <c r="BI24" s="411" t="str">
        <f>_xlfn.IFNA(VLOOKUP($BC24,Programma!$F$3:$L$1101,7,0),"")</f>
        <v/>
      </c>
      <c r="BJ24" s="411" t="str">
        <f>_xlfn.IFNA(VLOOKUP($BC24,Programma!$F$3:$M$1101,8,0),"")</f>
        <v/>
      </c>
      <c r="BK24" s="411" t="str">
        <f>_xlfn.IFNA(VLOOKUP($BC24,Programma!$F$3:$N$1101,9,0),"")</f>
        <v/>
      </c>
      <c r="BL24" s="411" t="str">
        <f>_xlfn.IFNA(VLOOKUP($BC24,Programma!$F$3:$O$1101,10,0),"")</f>
        <v/>
      </c>
      <c r="BM24" s="411" t="str">
        <f>_xlfn.IFNA(VLOOKUP($BC24,Programma!$F$3:$P$1101,11,0),"")</f>
        <v/>
      </c>
      <c r="BN24" s="411" t="str">
        <f>_xlfn.IFNA(VLOOKUP($BC24,Programma!$F$3:$Q$1101,12,0),"")</f>
        <v/>
      </c>
      <c r="BO24" s="411" t="str">
        <f>_xlfn.IFNA(VLOOKUP($BC24,Programma!$F$3:$R$1101,13,0),"")</f>
        <v/>
      </c>
      <c r="BP24" s="411" t="str">
        <f>_xlfn.IFNA(VLOOKUP($BC24,Programma!$F$3:$S$1101,14,0),"")</f>
        <v/>
      </c>
      <c r="BQ24" s="411" t="str">
        <f>_xlfn.IFNA(VLOOKUP($BC24,Programma!$F$3:$T$1101,15,0),"")</f>
        <v/>
      </c>
      <c r="BR24" s="411" t="str">
        <f>_xlfn.IFNA(VLOOKUP($BC24,Programma!$F$3:$U$1101,16,0),"")</f>
        <v/>
      </c>
      <c r="BS24" s="411" t="str">
        <f>_xlfn.IFNA(VLOOKUP($BC24,Programma!$F$3:$V$1101,17,0),"")</f>
        <v/>
      </c>
      <c r="BT24" s="411" t="str">
        <f>_xlfn.IFNA(VLOOKUP($BC24,Programma!$F$3:$W$1101,18,0),"")</f>
        <v/>
      </c>
      <c r="BU24" s="411" t="str">
        <f>_xlfn.IFNA(VLOOKUP($BC24,Programma!$F$3:$X$1101,19,0),"")</f>
        <v/>
      </c>
      <c r="BV24" s="411" t="str">
        <f>_xlfn.IFNA(VLOOKUP($BC24,Programma!$F$3:$Y$1101,20,0),"")</f>
        <v/>
      </c>
    </row>
    <row r="25" spans="1:74" s="28" customFormat="1" ht="15" customHeight="1">
      <c r="A25" s="399">
        <v>1</v>
      </c>
      <c r="B25" s="400" t="str">
        <f>VLOOKUP(Ruimtestaat[[#This Row],[Code]],Locaties[[Code]:[Locatie]],2,FALSE)</f>
        <v>Jansstraat en Janskerk</v>
      </c>
      <c r="C25" s="400" t="str">
        <f>VLOOKUP(Ruimtestaat[[#This Row],[Code]],Locaties[[#All],[Code]:[Adres]],4,FALSE)</f>
        <v>Jansstraat 40</v>
      </c>
      <c r="D25" s="400" t="str">
        <f>VLOOKUP(Ruimtestaat[[#This Row],[Code]],Locaties[[#All],[Code]:[Postcode]],5,FALSE)</f>
        <v>2011 RX</v>
      </c>
      <c r="E25" s="400" t="str">
        <f>VLOOKUP(Ruimtestaat[[#This Row],[Code]],Locaties[#All],6,FALSE)</f>
        <v>Haarlem</v>
      </c>
      <c r="F25" s="399" t="s">
        <v>1644</v>
      </c>
      <c r="G25" s="399" t="s">
        <v>1640</v>
      </c>
      <c r="H25" s="401">
        <v>1</v>
      </c>
      <c r="I25" s="402" t="s">
        <v>1641</v>
      </c>
      <c r="J25" s="336">
        <v>10</v>
      </c>
      <c r="K25" s="414" t="str">
        <f>VLOOKUP(Ruimtestaat[[#This Row],[Ruimte code]],Ruimtegroepen[[#All],[Code]:[Ruimte omschrijving]],2,FALSE)</f>
        <v>Trappenhuizen/lift</v>
      </c>
      <c r="L25" s="399" t="s">
        <v>100</v>
      </c>
      <c r="M25" s="402" t="s">
        <v>1647</v>
      </c>
      <c r="N25" s="404">
        <v>3.6</v>
      </c>
      <c r="O25" s="413"/>
      <c r="P25" s="405" t="str">
        <f>VLOOKUP(Ruimtestaat[[#This Row],[Ruimte code]],Ruimtegroepen[],4,FALSE)</f>
        <v>Ve</v>
      </c>
      <c r="Q25" s="399">
        <v>51</v>
      </c>
      <c r="R25" s="399" t="s">
        <v>2</v>
      </c>
      <c r="S25" s="399">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 s="399">
        <f>IF(S25&gt;0,VLOOKUP($J25,Ruimtegroepen[],3,FALSE)*VLOOKUP($L25,Vloersoorten[],3,FALSE)*VLOOKUP($R25,Frequenties[],3,FALSE)*VLOOKUP($A25,Locaties[],3,FALSE),0)</f>
        <v>0</v>
      </c>
      <c r="U25" s="399">
        <f>Ruimtestaat[[#This Row],[Uitvoeringen werkdagen]]*Ruimtestaat[[#This Row],[Oppervlak (netto)]]</f>
        <v>918</v>
      </c>
      <c r="V25" s="406">
        <f>IF(T25&gt;0,Ruimtestaat[[#This Row],[Prest. (m2 /jaar) werkdagen]]/Ruimtestaat[[#This Row],[Norm (m2/uur) werkdagen]],0)</f>
        <v>0</v>
      </c>
      <c r="W25" s="407">
        <f>Ruimtestaat[[#This Row],[uren / jaar werkdagen]]*Tariefsopbouw!$E$35</f>
        <v>0</v>
      </c>
      <c r="X25" s="399"/>
      <c r="Y25" s="399">
        <f>IF(Ruimtestaat[[#This Row],[Frequentie weekend]]&gt;0,VALUE(LEFT(X25,1))*Q25,0)</f>
        <v>0</v>
      </c>
      <c r="Z25" s="408">
        <f>IF($Y25&gt;0,VLOOKUP($J25,Ruimtegroepen[],3,FALSE)*VLOOKUP($L25,Vloersoorten[],3,FALSE)*VLOOKUP($X25,Frequenties[],3,FALSE)*VLOOKUP(Ruimtestaat[[#This Row],[Code]],Locaties[],3,FALSE),0)</f>
        <v>0</v>
      </c>
      <c r="AA25" s="408">
        <f>Ruimtestaat[[#This Row],[Uitvoeringen weekend]]*Ruimtestaat[[#This Row],[Oppervlak (netto)]]</f>
        <v>0</v>
      </c>
      <c r="AB25" s="408">
        <f>IF(Z25&gt;0,Ruimtestaat[[#This Row],[Prest. (m2 /jaar) weekend]]/Ruimtestaat[[#This Row],[Norm (m2/uur) weekend]],0)</f>
        <v>0</v>
      </c>
      <c r="AC25" s="407">
        <f>Ruimtestaat[[#This Row],[uren / jaar weekend]]*Tariefsopbouw!$D$40</f>
        <v>0</v>
      </c>
      <c r="AD25" s="406">
        <f>Ruimtestaat[[#This Row],[Prest. (m2 /jaar) weekend]]+Ruimtestaat[[#This Row],[Prest. (m2 /jaar) werkdagen]]</f>
        <v>918</v>
      </c>
      <c r="AE25" s="406">
        <f>Ruimtestaat[[#This Row],[uren / jaar weekend]]+Ruimtestaat[[#This Row],[uren / jaar werkdagen]]</f>
        <v>0</v>
      </c>
      <c r="AF25" s="409">
        <f>Ruimtestaat[[#This Row],[kosten / jaar weekend]]+Ruimtestaat[[#This Row],[kosten / jaar werkdagen]]</f>
        <v>0</v>
      </c>
      <c r="AG25" s="409"/>
      <c r="AH25" s="410" t="str">
        <f>IF(Ruimtestaat[[#This Row],[Frequentie werkdagen]]="","",_xlfn.CONCAT(Ruimtestaat[[#This Row],[Ruimte code]],"-",Ruimtestaat[[#This Row],[Frequentie werkdagen]]," ",Ruimtestaat[[#This Row],[Vloer code]]))</f>
        <v>10-5w L</v>
      </c>
      <c r="AI25" s="411" t="str">
        <f>_xlfn.IFNA(VLOOKUP($AH25,Programma!$F$3:$G$1101,2,0),"")</f>
        <v>_</v>
      </c>
      <c r="AJ25" s="411" t="str">
        <f>_xlfn.IFNA(VLOOKUP($AH25,Programma!$F$3:$H$1101,3,0),"")</f>
        <v>_</v>
      </c>
      <c r="AK25" s="411" t="str">
        <f>_xlfn.IFNA(VLOOKUP($AH25,Programma!$F$3:$I$1101,4,0),"")</f>
        <v>4w</v>
      </c>
      <c r="AL25" s="411" t="str">
        <f>_xlfn.IFNA(VLOOKUP($AH25,Programma!$F$3:$J$1101,5,0),"")</f>
        <v>1w</v>
      </c>
      <c r="AM25" s="411" t="str">
        <f>_xlfn.IFNA(VLOOKUP($AH25,Programma!$F$3:$K$1101,6,0),"")</f>
        <v>_</v>
      </c>
      <c r="AN25" s="411" t="str">
        <f>_xlfn.IFNA(VLOOKUP($AH25,Programma!$F$3:$L$1101,7,0),"")</f>
        <v>_</v>
      </c>
      <c r="AO25" s="411" t="str">
        <f>_xlfn.IFNA(VLOOKUP($AH25,Programma!$F$3:$M$1101,8,0),"")</f>
        <v>_</v>
      </c>
      <c r="AP25" s="411" t="str">
        <f>_xlfn.IFNA(VLOOKUP($AH25,Programma!$F$3:$N$1101,9,0),"")</f>
        <v>_</v>
      </c>
      <c r="AQ25" s="411" t="str">
        <f>_xlfn.IFNA(VLOOKUP($AH25,Programma!$F$3:$O$1101,10,0),"")</f>
        <v>5w</v>
      </c>
      <c r="AR25" s="411" t="str">
        <f>_xlfn.IFNA(VLOOKUP($AH25,Programma!$F$3:$P$1101,11,0),"")</f>
        <v>5w</v>
      </c>
      <c r="AS25" s="411" t="str">
        <f>_xlfn.IFNA(VLOOKUP($AH25,Programma!$F$3:$Q$1101,12,0),"")</f>
        <v>1w</v>
      </c>
      <c r="AT25" s="411" t="str">
        <f>_xlfn.IFNA(VLOOKUP($AH25,Programma!$F$3:$R$1101,13,0),"")</f>
        <v>1w</v>
      </c>
      <c r="AU25" s="411" t="str">
        <f>_xlfn.IFNA(VLOOKUP($AH25,Programma!$F$3:$S$1101,14,0),"")</f>
        <v>1m</v>
      </c>
      <c r="AV25" s="411" t="str">
        <f>_xlfn.IFNA(VLOOKUP($AH25,Programma!$F$3:$T$1101,15,0),"")</f>
        <v>2j</v>
      </c>
      <c r="AW25" s="411" t="str">
        <f>_xlfn.IFNA(VLOOKUP($AH25,Programma!$F$3:$U$1101,16,0),"")</f>
        <v>1j</v>
      </c>
      <c r="AX25" s="411" t="str">
        <f>_xlfn.IFNA(VLOOKUP($AH25,Programma!$F$3:$V$1101,17,0),"")</f>
        <v>_</v>
      </c>
      <c r="AY25" s="411" t="str">
        <f>_xlfn.IFNA(VLOOKUP($AH25,Programma!$F$3:$W$1101,18,0),"")</f>
        <v>_</v>
      </c>
      <c r="AZ25" s="411" t="str">
        <f>_xlfn.IFNA(VLOOKUP($AH25,Programma!$F$3:$X$1101,19,0),"")</f>
        <v>_</v>
      </c>
      <c r="BA25" s="411" t="str">
        <f>_xlfn.IFNA(VLOOKUP($AH25,Programma!$F$3:$Y$1101,20,0),"")</f>
        <v>_</v>
      </c>
      <c r="BB25" s="412"/>
      <c r="BC25" s="410" t="str">
        <f>IF(Ruimtestaat[[#This Row],[Frequentie weekend]]="","",_xlfn.CONCAT(Ruimtestaat[[#This Row],[Ruimte code]],"-",Ruimtestaat[[#This Row],[Frequentie weekend]]," ",Ruimtestaat[[#This Row],[Vloer code]]))</f>
        <v/>
      </c>
      <c r="BD25" s="411" t="str">
        <f>_xlfn.IFNA(VLOOKUP($BC25,Programma!$F$3:$G$1101,2,0),"")</f>
        <v/>
      </c>
      <c r="BE25" s="411" t="str">
        <f>_xlfn.IFNA(VLOOKUP($BC25,Programma!$F$3:$H$1101,3,0),"")</f>
        <v/>
      </c>
      <c r="BF25" s="411" t="str">
        <f>_xlfn.IFNA(VLOOKUP($BC25,Programma!$F$3:$I$1101,4,0),"")</f>
        <v/>
      </c>
      <c r="BG25" s="411" t="str">
        <f>_xlfn.IFNA(VLOOKUP($BC25,Programma!$F$3:$J$1101,5,0),"")</f>
        <v/>
      </c>
      <c r="BH25" s="411" t="str">
        <f>_xlfn.IFNA(VLOOKUP($BC25,Programma!$F$3:$K$1101,6,0),"")</f>
        <v/>
      </c>
      <c r="BI25" s="411" t="str">
        <f>_xlfn.IFNA(VLOOKUP($BC25,Programma!$F$3:$L$1101,7,0),"")</f>
        <v/>
      </c>
      <c r="BJ25" s="411" t="str">
        <f>_xlfn.IFNA(VLOOKUP($BC25,Programma!$F$3:$M$1101,8,0),"")</f>
        <v/>
      </c>
      <c r="BK25" s="411" t="str">
        <f>_xlfn.IFNA(VLOOKUP($BC25,Programma!$F$3:$N$1101,9,0),"")</f>
        <v/>
      </c>
      <c r="BL25" s="411" t="str">
        <f>_xlfn.IFNA(VLOOKUP($BC25,Programma!$F$3:$O$1101,10,0),"")</f>
        <v/>
      </c>
      <c r="BM25" s="411" t="str">
        <f>_xlfn.IFNA(VLOOKUP($BC25,Programma!$F$3:$P$1101,11,0),"")</f>
        <v/>
      </c>
      <c r="BN25" s="411" t="str">
        <f>_xlfn.IFNA(VLOOKUP($BC25,Programma!$F$3:$Q$1101,12,0),"")</f>
        <v/>
      </c>
      <c r="BO25" s="411" t="str">
        <f>_xlfn.IFNA(VLOOKUP($BC25,Programma!$F$3:$R$1101,13,0),"")</f>
        <v/>
      </c>
      <c r="BP25" s="411" t="str">
        <f>_xlfn.IFNA(VLOOKUP($BC25,Programma!$F$3:$S$1101,14,0),"")</f>
        <v/>
      </c>
      <c r="BQ25" s="411" t="str">
        <f>_xlfn.IFNA(VLOOKUP($BC25,Programma!$F$3:$T$1101,15,0),"")</f>
        <v/>
      </c>
      <c r="BR25" s="411" t="str">
        <f>_xlfn.IFNA(VLOOKUP($BC25,Programma!$F$3:$U$1101,16,0),"")</f>
        <v/>
      </c>
      <c r="BS25" s="411" t="str">
        <f>_xlfn.IFNA(VLOOKUP($BC25,Programma!$F$3:$V$1101,17,0),"")</f>
        <v/>
      </c>
      <c r="BT25" s="411" t="str">
        <f>_xlfn.IFNA(VLOOKUP($BC25,Programma!$F$3:$W$1101,18,0),"")</f>
        <v/>
      </c>
      <c r="BU25" s="411" t="str">
        <f>_xlfn.IFNA(VLOOKUP($BC25,Programma!$F$3:$X$1101,19,0),"")</f>
        <v/>
      </c>
      <c r="BV25" s="411" t="str">
        <f>_xlfn.IFNA(VLOOKUP($BC25,Programma!$F$3:$Y$1101,20,0),"")</f>
        <v/>
      </c>
    </row>
    <row r="26" spans="1:74" s="28" customFormat="1" ht="15" customHeight="1">
      <c r="A26" s="399">
        <v>1</v>
      </c>
      <c r="B26" s="400" t="str">
        <f>VLOOKUP(Ruimtestaat[[#This Row],[Code]],Locaties[[Code]:[Locatie]],2,FALSE)</f>
        <v>Jansstraat en Janskerk</v>
      </c>
      <c r="C26" s="400" t="str">
        <f>VLOOKUP(Ruimtestaat[[#This Row],[Code]],Locaties[[#All],[Code]:[Adres]],4,FALSE)</f>
        <v>Jansstraat 40</v>
      </c>
      <c r="D26" s="400" t="str">
        <f>VLOOKUP(Ruimtestaat[[#This Row],[Code]],Locaties[[#All],[Code]:[Postcode]],5,FALSE)</f>
        <v>2011 RX</v>
      </c>
      <c r="E26" s="400" t="str">
        <f>VLOOKUP(Ruimtestaat[[#This Row],[Code]],Locaties[#All],6,FALSE)</f>
        <v>Haarlem</v>
      </c>
      <c r="F26" s="399" t="s">
        <v>1644</v>
      </c>
      <c r="G26" s="399" t="s">
        <v>1640</v>
      </c>
      <c r="H26" s="401">
        <v>2</v>
      </c>
      <c r="I26" s="402" t="s">
        <v>1646</v>
      </c>
      <c r="J26" s="336">
        <v>2</v>
      </c>
      <c r="K26" s="414" t="str">
        <f>VLOOKUP(Ruimtestaat[[#This Row],[Ruimte code]],Ruimtegroepen[[#All],[Code]:[Ruimte omschrijving]],2,FALSE)</f>
        <v>Kantoren</v>
      </c>
      <c r="L26" s="399" t="s">
        <v>99</v>
      </c>
      <c r="M26" s="402" t="s">
        <v>36</v>
      </c>
      <c r="N26" s="404">
        <v>12.8</v>
      </c>
      <c r="O26" s="413"/>
      <c r="P26" s="405" t="str">
        <f>VLOOKUP(Ruimtestaat[[#This Row],[Ruimte code]],Ruimtegroepen[],4,FALSE)</f>
        <v>Bu</v>
      </c>
      <c r="Q26" s="399">
        <v>51</v>
      </c>
      <c r="R26" s="399" t="s">
        <v>18</v>
      </c>
      <c r="S26" s="399">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26" s="399">
        <f>IF(S26&gt;0,VLOOKUP($J26,Ruimtegroepen[],3,FALSE)*VLOOKUP($L26,Vloersoorten[],3,FALSE)*VLOOKUP($R26,Frequenties[],3,FALSE)*VLOOKUP($A26,Locaties[],3,FALSE),0)</f>
        <v>0</v>
      </c>
      <c r="U26" s="399">
        <f>Ruimtestaat[[#This Row],[Uitvoeringen werkdagen]]*Ruimtestaat[[#This Row],[Oppervlak (netto)]]</f>
        <v>1958.4</v>
      </c>
      <c r="V26" s="406">
        <f>IF(T26&gt;0,Ruimtestaat[[#This Row],[Prest. (m2 /jaar) werkdagen]]/Ruimtestaat[[#This Row],[Norm (m2/uur) werkdagen]],0)</f>
        <v>0</v>
      </c>
      <c r="W26" s="407">
        <f>Ruimtestaat[[#This Row],[uren / jaar werkdagen]]*Tariefsopbouw!$E$35</f>
        <v>0</v>
      </c>
      <c r="X26" s="399"/>
      <c r="Y26" s="399">
        <f>IF(Ruimtestaat[[#This Row],[Frequentie weekend]]&gt;0,VALUE(LEFT(X26,1))*Q26,0)</f>
        <v>0</v>
      </c>
      <c r="Z26" s="408">
        <f>IF($Y26&gt;0,VLOOKUP($J26,Ruimtegroepen[],3,FALSE)*VLOOKUP($L26,Vloersoorten[],3,FALSE)*VLOOKUP($X26,Frequenties[],3,FALSE)*VLOOKUP(Ruimtestaat[[#This Row],[Code]],Locaties[],3,FALSE),0)</f>
        <v>0</v>
      </c>
      <c r="AA26" s="408">
        <f>Ruimtestaat[[#This Row],[Uitvoeringen weekend]]*Ruimtestaat[[#This Row],[Oppervlak (netto)]]</f>
        <v>0</v>
      </c>
      <c r="AB26" s="408">
        <f>IF(Z26&gt;0,Ruimtestaat[[#This Row],[Prest. (m2 /jaar) weekend]]/Ruimtestaat[[#This Row],[Norm (m2/uur) weekend]],0)</f>
        <v>0</v>
      </c>
      <c r="AC26" s="407">
        <f>Ruimtestaat[[#This Row],[uren / jaar weekend]]*Tariefsopbouw!$D$40</f>
        <v>0</v>
      </c>
      <c r="AD26" s="406">
        <f>Ruimtestaat[[#This Row],[Prest. (m2 /jaar) weekend]]+Ruimtestaat[[#This Row],[Prest. (m2 /jaar) werkdagen]]</f>
        <v>1958.4</v>
      </c>
      <c r="AE26" s="406">
        <f>Ruimtestaat[[#This Row],[uren / jaar weekend]]+Ruimtestaat[[#This Row],[uren / jaar werkdagen]]</f>
        <v>0</v>
      </c>
      <c r="AF26" s="409">
        <f>Ruimtestaat[[#This Row],[kosten / jaar weekend]]+Ruimtestaat[[#This Row],[kosten / jaar werkdagen]]</f>
        <v>0</v>
      </c>
      <c r="AG26" s="409"/>
      <c r="AH26" s="410" t="str">
        <f>IF(Ruimtestaat[[#This Row],[Frequentie werkdagen]]="","",_xlfn.CONCAT(Ruimtestaat[[#This Row],[Ruimte code]],"-",Ruimtestaat[[#This Row],[Frequentie werkdagen]]," ",Ruimtestaat[[#This Row],[Vloer code]]))</f>
        <v>2-3w T</v>
      </c>
      <c r="AI26" s="411" t="str">
        <f>_xlfn.IFNA(VLOOKUP($AH26,Programma!$F$3:$G$1101,2,0),"")</f>
        <v>2w</v>
      </c>
      <c r="AJ26" s="411" t="str">
        <f>_xlfn.IFNA(VLOOKUP($AH26,Programma!$F$3:$H$1101,3,0),"")</f>
        <v>1w</v>
      </c>
      <c r="AK26" s="411" t="str">
        <f>_xlfn.IFNA(VLOOKUP($AH26,Programma!$F$3:$I$1101,4,0),"")</f>
        <v>_</v>
      </c>
      <c r="AL26" s="411" t="str">
        <f>_xlfn.IFNA(VLOOKUP($AH26,Programma!$F$3:$J$1101,5,0),"")</f>
        <v>_</v>
      </c>
      <c r="AM26" s="411" t="str">
        <f>_xlfn.IFNA(VLOOKUP($AH26,Programma!$F$3:$K$1101,6,0),"")</f>
        <v>_</v>
      </c>
      <c r="AN26" s="411" t="str">
        <f>_xlfn.IFNA(VLOOKUP($AH26,Programma!$F$3:$L$1101,7,0),"")</f>
        <v>_</v>
      </c>
      <c r="AO26" s="411" t="str">
        <f>_xlfn.IFNA(VLOOKUP($AH26,Programma!$F$3:$M$1101,8,0),"")</f>
        <v>_</v>
      </c>
      <c r="AP26" s="411" t="str">
        <f>_xlfn.IFNA(VLOOKUP($AH26,Programma!$F$3:$N$1101,9,0),"")</f>
        <v>_</v>
      </c>
      <c r="AQ26" s="411" t="str">
        <f>_xlfn.IFNA(VLOOKUP($AH26,Programma!$F$3:$O$1101,10,0),"")</f>
        <v>3w</v>
      </c>
      <c r="AR26" s="411" t="str">
        <f>_xlfn.IFNA(VLOOKUP($AH26,Programma!$F$3:$P$1101,11,0),"")</f>
        <v>3w</v>
      </c>
      <c r="AS26" s="411" t="str">
        <f>_xlfn.IFNA(VLOOKUP($AH26,Programma!$F$3:$Q$1101,12,0),"")</f>
        <v>1w</v>
      </c>
      <c r="AT26" s="411" t="str">
        <f>_xlfn.IFNA(VLOOKUP($AH26,Programma!$F$3:$R$1101,13,0),"")</f>
        <v>1w</v>
      </c>
      <c r="AU26" s="411" t="str">
        <f>_xlfn.IFNA(VLOOKUP($AH26,Programma!$F$3:$S$1101,14,0),"")</f>
        <v>1m</v>
      </c>
      <c r="AV26" s="411" t="str">
        <f>_xlfn.IFNA(VLOOKUP($AH26,Programma!$F$3:$T$1101,15,0),"")</f>
        <v>2j</v>
      </c>
      <c r="AW26" s="411" t="str">
        <f>_xlfn.IFNA(VLOOKUP($AH26,Programma!$F$3:$U$1101,16,0),"")</f>
        <v>1j</v>
      </c>
      <c r="AX26" s="411" t="str">
        <f>_xlfn.IFNA(VLOOKUP($AH26,Programma!$F$3:$V$1101,17,0),"")</f>
        <v>_</v>
      </c>
      <c r="AY26" s="411" t="str">
        <f>_xlfn.IFNA(VLOOKUP($AH26,Programma!$F$3:$W$1101,18,0),"")</f>
        <v>_</v>
      </c>
      <c r="AZ26" s="411" t="str">
        <f>_xlfn.IFNA(VLOOKUP($AH26,Programma!$F$3:$X$1101,19,0),"")</f>
        <v>_</v>
      </c>
      <c r="BA26" s="411" t="str">
        <f>_xlfn.IFNA(VLOOKUP($AH26,Programma!$F$3:$Y$1101,20,0),"")</f>
        <v>_</v>
      </c>
      <c r="BB26" s="412"/>
      <c r="BC26" s="410" t="str">
        <f>IF(Ruimtestaat[[#This Row],[Frequentie weekend]]="","",_xlfn.CONCAT(Ruimtestaat[[#This Row],[Ruimte code]],"-",Ruimtestaat[[#This Row],[Frequentie weekend]]," ",Ruimtestaat[[#This Row],[Vloer code]]))</f>
        <v/>
      </c>
      <c r="BD26" s="411" t="str">
        <f>_xlfn.IFNA(VLOOKUP($BC26,Programma!$F$3:$G$1101,2,0),"")</f>
        <v/>
      </c>
      <c r="BE26" s="411" t="str">
        <f>_xlfn.IFNA(VLOOKUP($BC26,Programma!$F$3:$H$1101,3,0),"")</f>
        <v/>
      </c>
      <c r="BF26" s="411" t="str">
        <f>_xlfn.IFNA(VLOOKUP($BC26,Programma!$F$3:$I$1101,4,0),"")</f>
        <v/>
      </c>
      <c r="BG26" s="411" t="str">
        <f>_xlfn.IFNA(VLOOKUP($BC26,Programma!$F$3:$J$1101,5,0),"")</f>
        <v/>
      </c>
      <c r="BH26" s="411" t="str">
        <f>_xlfn.IFNA(VLOOKUP($BC26,Programma!$F$3:$K$1101,6,0),"")</f>
        <v/>
      </c>
      <c r="BI26" s="411" t="str">
        <f>_xlfn.IFNA(VLOOKUP($BC26,Programma!$F$3:$L$1101,7,0),"")</f>
        <v/>
      </c>
      <c r="BJ26" s="411" t="str">
        <f>_xlfn.IFNA(VLOOKUP($BC26,Programma!$F$3:$M$1101,8,0),"")</f>
        <v/>
      </c>
      <c r="BK26" s="411" t="str">
        <f>_xlfn.IFNA(VLOOKUP($BC26,Programma!$F$3:$N$1101,9,0),"")</f>
        <v/>
      </c>
      <c r="BL26" s="411" t="str">
        <f>_xlfn.IFNA(VLOOKUP($BC26,Programma!$F$3:$O$1101,10,0),"")</f>
        <v/>
      </c>
      <c r="BM26" s="411" t="str">
        <f>_xlfn.IFNA(VLOOKUP($BC26,Programma!$F$3:$P$1101,11,0),"")</f>
        <v/>
      </c>
      <c r="BN26" s="411" t="str">
        <f>_xlfn.IFNA(VLOOKUP($BC26,Programma!$F$3:$Q$1101,12,0),"")</f>
        <v/>
      </c>
      <c r="BO26" s="411" t="str">
        <f>_xlfn.IFNA(VLOOKUP($BC26,Programma!$F$3:$R$1101,13,0),"")</f>
        <v/>
      </c>
      <c r="BP26" s="411" t="str">
        <f>_xlfn.IFNA(VLOOKUP($BC26,Programma!$F$3:$S$1101,14,0),"")</f>
        <v/>
      </c>
      <c r="BQ26" s="411" t="str">
        <f>_xlfn.IFNA(VLOOKUP($BC26,Programma!$F$3:$T$1101,15,0),"")</f>
        <v/>
      </c>
      <c r="BR26" s="411" t="str">
        <f>_xlfn.IFNA(VLOOKUP($BC26,Programma!$F$3:$U$1101,16,0),"")</f>
        <v/>
      </c>
      <c r="BS26" s="411" t="str">
        <f>_xlfn.IFNA(VLOOKUP($BC26,Programma!$F$3:$V$1101,17,0),"")</f>
        <v/>
      </c>
      <c r="BT26" s="411" t="str">
        <f>_xlfn.IFNA(VLOOKUP($BC26,Programma!$F$3:$W$1101,18,0),"")</f>
        <v/>
      </c>
      <c r="BU26" s="411" t="str">
        <f>_xlfn.IFNA(VLOOKUP($BC26,Programma!$F$3:$X$1101,19,0),"")</f>
        <v/>
      </c>
      <c r="BV26" s="411" t="str">
        <f>_xlfn.IFNA(VLOOKUP($BC26,Programma!$F$3:$Y$1101,20,0),"")</f>
        <v/>
      </c>
    </row>
    <row r="27" spans="1:74" s="28" customFormat="1" ht="15" customHeight="1">
      <c r="A27" s="399">
        <v>1</v>
      </c>
      <c r="B27" s="400" t="str">
        <f>VLOOKUP(Ruimtestaat[[#This Row],[Code]],Locaties[[Code]:[Locatie]],2,FALSE)</f>
        <v>Jansstraat en Janskerk</v>
      </c>
      <c r="C27" s="400" t="str">
        <f>VLOOKUP(Ruimtestaat[[#This Row],[Code]],Locaties[[#All],[Code]:[Adres]],4,FALSE)</f>
        <v>Jansstraat 40</v>
      </c>
      <c r="D27" s="400" t="str">
        <f>VLOOKUP(Ruimtestaat[[#This Row],[Code]],Locaties[[#All],[Code]:[Postcode]],5,FALSE)</f>
        <v>2011 RX</v>
      </c>
      <c r="E27" s="400" t="str">
        <f>VLOOKUP(Ruimtestaat[[#This Row],[Code]],Locaties[#All],6,FALSE)</f>
        <v>Haarlem</v>
      </c>
      <c r="F27" s="399" t="s">
        <v>1644</v>
      </c>
      <c r="G27" s="399" t="s">
        <v>1640</v>
      </c>
      <c r="H27" s="401">
        <v>3</v>
      </c>
      <c r="I27" s="402" t="s">
        <v>1642</v>
      </c>
      <c r="J27" s="336">
        <v>6</v>
      </c>
      <c r="K27" s="414" t="str">
        <f>VLOOKUP(Ruimtestaat[[#This Row],[Ruimte code]],Ruimtegroepen[[#All],[Code]:[Ruimte omschrijving]],2,FALSE)</f>
        <v>Gangen/hallen</v>
      </c>
      <c r="L27" s="399" t="s">
        <v>100</v>
      </c>
      <c r="M27" s="402" t="s">
        <v>1647</v>
      </c>
      <c r="N27" s="404">
        <v>9.9</v>
      </c>
      <c r="O27" s="399"/>
      <c r="P27" s="405" t="str">
        <f>VLOOKUP(Ruimtestaat[[#This Row],[Ruimte code]],Ruimtegroepen[],4,FALSE)</f>
        <v>Ve</v>
      </c>
      <c r="Q27" s="399">
        <v>51</v>
      </c>
      <c r="R27" s="399" t="s">
        <v>2</v>
      </c>
      <c r="S27" s="399">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 s="399">
        <f>IF(S27&gt;0,VLOOKUP($J27,Ruimtegroepen[],3,FALSE)*VLOOKUP($L27,Vloersoorten[],3,FALSE)*VLOOKUP($R27,Frequenties[],3,FALSE)*VLOOKUP($A27,Locaties[],3,FALSE),0)</f>
        <v>0</v>
      </c>
      <c r="U27" s="399">
        <f>Ruimtestaat[[#This Row],[Uitvoeringen werkdagen]]*Ruimtestaat[[#This Row],[Oppervlak (netto)]]</f>
        <v>2524.5</v>
      </c>
      <c r="V27" s="406">
        <f>IF(T27&gt;0,Ruimtestaat[[#This Row],[Prest. (m2 /jaar) werkdagen]]/Ruimtestaat[[#This Row],[Norm (m2/uur) werkdagen]],0)</f>
        <v>0</v>
      </c>
      <c r="W27" s="407">
        <f>Ruimtestaat[[#This Row],[uren / jaar werkdagen]]*Tariefsopbouw!$E$35</f>
        <v>0</v>
      </c>
      <c r="X27" s="399"/>
      <c r="Y27" s="399">
        <f>IF(Ruimtestaat[[#This Row],[Frequentie weekend]]&gt;0,VALUE(LEFT(X27,1))*Q27,0)</f>
        <v>0</v>
      </c>
      <c r="Z27" s="408">
        <f>IF($Y27&gt;0,VLOOKUP($J27,Ruimtegroepen[],3,FALSE)*VLOOKUP($L27,Vloersoorten[],3,FALSE)*VLOOKUP($X27,Frequenties[],3,FALSE)*VLOOKUP(Ruimtestaat[[#This Row],[Code]],Locaties[],3,FALSE),0)</f>
        <v>0</v>
      </c>
      <c r="AA27" s="408">
        <f>Ruimtestaat[[#This Row],[Uitvoeringen weekend]]*Ruimtestaat[[#This Row],[Oppervlak (netto)]]</f>
        <v>0</v>
      </c>
      <c r="AB27" s="408">
        <f>IF(Z27&gt;0,Ruimtestaat[[#This Row],[Prest. (m2 /jaar) weekend]]/Ruimtestaat[[#This Row],[Norm (m2/uur) weekend]],0)</f>
        <v>0</v>
      </c>
      <c r="AC27" s="407">
        <f>Ruimtestaat[[#This Row],[uren / jaar weekend]]*Tariefsopbouw!$D$40</f>
        <v>0</v>
      </c>
      <c r="AD27" s="406">
        <f>Ruimtestaat[[#This Row],[Prest. (m2 /jaar) weekend]]+Ruimtestaat[[#This Row],[Prest. (m2 /jaar) werkdagen]]</f>
        <v>2524.5</v>
      </c>
      <c r="AE27" s="406">
        <f>Ruimtestaat[[#This Row],[uren / jaar weekend]]+Ruimtestaat[[#This Row],[uren / jaar werkdagen]]</f>
        <v>0</v>
      </c>
      <c r="AF27" s="409">
        <f>Ruimtestaat[[#This Row],[kosten / jaar weekend]]+Ruimtestaat[[#This Row],[kosten / jaar werkdagen]]</f>
        <v>0</v>
      </c>
      <c r="AG27" s="409"/>
      <c r="AH27" s="410" t="str">
        <f>IF(Ruimtestaat[[#This Row],[Frequentie werkdagen]]="","",_xlfn.CONCAT(Ruimtestaat[[#This Row],[Ruimte code]],"-",Ruimtestaat[[#This Row],[Frequentie werkdagen]]," ",Ruimtestaat[[#This Row],[Vloer code]]))</f>
        <v>6-5w L</v>
      </c>
      <c r="AI27" s="411" t="str">
        <f>_xlfn.IFNA(VLOOKUP($AH27,Programma!$F$3:$G$1101,2,0),"")</f>
        <v>_</v>
      </c>
      <c r="AJ27" s="411" t="str">
        <f>_xlfn.IFNA(VLOOKUP($AH27,Programma!$F$3:$H$1101,3,0),"")</f>
        <v>_</v>
      </c>
      <c r="AK27" s="411" t="str">
        <f>_xlfn.IFNA(VLOOKUP($AH27,Programma!$F$3:$I$1101,4,0),"")</f>
        <v>_</v>
      </c>
      <c r="AL27" s="411" t="str">
        <f>_xlfn.IFNA(VLOOKUP($AH27,Programma!$F$3:$J$1101,5,0),"")</f>
        <v>5w</v>
      </c>
      <c r="AM27" s="411" t="str">
        <f>_xlfn.IFNA(VLOOKUP($AH27,Programma!$F$3:$K$1101,6,0),"")</f>
        <v>_</v>
      </c>
      <c r="AN27" s="411" t="str">
        <f>_xlfn.IFNA(VLOOKUP($AH27,Programma!$F$3:$L$1101,7,0),"")</f>
        <v>_</v>
      </c>
      <c r="AO27" s="411" t="str">
        <f>_xlfn.IFNA(VLOOKUP($AH27,Programma!$F$3:$M$1101,8,0),"")</f>
        <v>_</v>
      </c>
      <c r="AP27" s="411" t="str">
        <f>_xlfn.IFNA(VLOOKUP($AH27,Programma!$F$3:$N$1101,9,0),"")</f>
        <v>_</v>
      </c>
      <c r="AQ27" s="411" t="str">
        <f>_xlfn.IFNA(VLOOKUP($AH27,Programma!$F$3:$O$1101,10,0),"")</f>
        <v>5w</v>
      </c>
      <c r="AR27" s="411" t="str">
        <f>_xlfn.IFNA(VLOOKUP($AH27,Programma!$F$3:$P$1101,11,0),"")</f>
        <v>5w</v>
      </c>
      <c r="AS27" s="411" t="str">
        <f>_xlfn.IFNA(VLOOKUP($AH27,Programma!$F$3:$Q$1101,12,0),"")</f>
        <v>1w</v>
      </c>
      <c r="AT27" s="411" t="str">
        <f>_xlfn.IFNA(VLOOKUP($AH27,Programma!$F$3:$R$1101,13,0),"")</f>
        <v>1w</v>
      </c>
      <c r="AU27" s="411" t="str">
        <f>_xlfn.IFNA(VLOOKUP($AH27,Programma!$F$3:$S$1101,14,0),"")</f>
        <v>1m</v>
      </c>
      <c r="AV27" s="411" t="str">
        <f>_xlfn.IFNA(VLOOKUP($AH27,Programma!$F$3:$T$1101,15,0),"")</f>
        <v>2j</v>
      </c>
      <c r="AW27" s="411" t="str">
        <f>_xlfn.IFNA(VLOOKUP($AH27,Programma!$F$3:$U$1101,16,0),"")</f>
        <v>1j</v>
      </c>
      <c r="AX27" s="411" t="str">
        <f>_xlfn.IFNA(VLOOKUP($AH27,Programma!$F$3:$V$1101,17,0),"")</f>
        <v>_</v>
      </c>
      <c r="AY27" s="411" t="str">
        <f>_xlfn.IFNA(VLOOKUP($AH27,Programma!$F$3:$W$1101,18,0),"")</f>
        <v>_</v>
      </c>
      <c r="AZ27" s="411" t="str">
        <f>_xlfn.IFNA(VLOOKUP($AH27,Programma!$F$3:$X$1101,19,0),"")</f>
        <v>_</v>
      </c>
      <c r="BA27" s="411" t="str">
        <f>_xlfn.IFNA(VLOOKUP($AH27,Programma!$F$3:$Y$1101,20,0),"")</f>
        <v>_</v>
      </c>
      <c r="BB27" s="412"/>
      <c r="BC27" s="410" t="str">
        <f>IF(Ruimtestaat[[#This Row],[Frequentie weekend]]="","",_xlfn.CONCAT(Ruimtestaat[[#This Row],[Ruimte code]],"-",Ruimtestaat[[#This Row],[Frequentie weekend]]," ",Ruimtestaat[[#This Row],[Vloer code]]))</f>
        <v/>
      </c>
      <c r="BD27" s="411" t="str">
        <f>_xlfn.IFNA(VLOOKUP($BC27,Programma!$F$3:$G$1101,2,0),"")</f>
        <v/>
      </c>
      <c r="BE27" s="411" t="str">
        <f>_xlfn.IFNA(VLOOKUP($BC27,Programma!$F$3:$H$1101,3,0),"")</f>
        <v/>
      </c>
      <c r="BF27" s="411" t="str">
        <f>_xlfn.IFNA(VLOOKUP($BC27,Programma!$F$3:$I$1101,4,0),"")</f>
        <v/>
      </c>
      <c r="BG27" s="411" t="str">
        <f>_xlfn.IFNA(VLOOKUP($BC27,Programma!$F$3:$J$1101,5,0),"")</f>
        <v/>
      </c>
      <c r="BH27" s="411" t="str">
        <f>_xlfn.IFNA(VLOOKUP($BC27,Programma!$F$3:$K$1101,6,0),"")</f>
        <v/>
      </c>
      <c r="BI27" s="411" t="str">
        <f>_xlfn.IFNA(VLOOKUP($BC27,Programma!$F$3:$L$1101,7,0),"")</f>
        <v/>
      </c>
      <c r="BJ27" s="411" t="str">
        <f>_xlfn.IFNA(VLOOKUP($BC27,Programma!$F$3:$M$1101,8,0),"")</f>
        <v/>
      </c>
      <c r="BK27" s="411" t="str">
        <f>_xlfn.IFNA(VLOOKUP($BC27,Programma!$F$3:$N$1101,9,0),"")</f>
        <v/>
      </c>
      <c r="BL27" s="411" t="str">
        <f>_xlfn.IFNA(VLOOKUP($BC27,Programma!$F$3:$O$1101,10,0),"")</f>
        <v/>
      </c>
      <c r="BM27" s="411" t="str">
        <f>_xlfn.IFNA(VLOOKUP($BC27,Programma!$F$3:$P$1101,11,0),"")</f>
        <v/>
      </c>
      <c r="BN27" s="411" t="str">
        <f>_xlfn.IFNA(VLOOKUP($BC27,Programma!$F$3:$Q$1101,12,0),"")</f>
        <v/>
      </c>
      <c r="BO27" s="411" t="str">
        <f>_xlfn.IFNA(VLOOKUP($BC27,Programma!$F$3:$R$1101,13,0),"")</f>
        <v/>
      </c>
      <c r="BP27" s="411" t="str">
        <f>_xlfn.IFNA(VLOOKUP($BC27,Programma!$F$3:$S$1101,14,0),"")</f>
        <v/>
      </c>
      <c r="BQ27" s="411" t="str">
        <f>_xlfn.IFNA(VLOOKUP($BC27,Programma!$F$3:$T$1101,15,0),"")</f>
        <v/>
      </c>
      <c r="BR27" s="411" t="str">
        <f>_xlfn.IFNA(VLOOKUP($BC27,Programma!$F$3:$U$1101,16,0),"")</f>
        <v/>
      </c>
      <c r="BS27" s="411" t="str">
        <f>_xlfn.IFNA(VLOOKUP($BC27,Programma!$F$3:$V$1101,17,0),"")</f>
        <v/>
      </c>
      <c r="BT27" s="411" t="str">
        <f>_xlfn.IFNA(VLOOKUP($BC27,Programma!$F$3:$W$1101,18,0),"")</f>
        <v/>
      </c>
      <c r="BU27" s="411" t="str">
        <f>_xlfn.IFNA(VLOOKUP($BC27,Programma!$F$3:$X$1101,19,0),"")</f>
        <v/>
      </c>
      <c r="BV27" s="411" t="str">
        <f>_xlfn.IFNA(VLOOKUP($BC27,Programma!$F$3:$Y$1101,20,0),"")</f>
        <v/>
      </c>
    </row>
    <row r="28" spans="1:74" s="28" customFormat="1" ht="15" customHeight="1">
      <c r="A28" s="399">
        <v>1</v>
      </c>
      <c r="B28" s="400" t="str">
        <f>VLOOKUP(Ruimtestaat[[#This Row],[Code]],Locaties[[Code]:[Locatie]],2,FALSE)</f>
        <v>Jansstraat en Janskerk</v>
      </c>
      <c r="C28" s="400" t="str">
        <f>VLOOKUP(Ruimtestaat[[#This Row],[Code]],Locaties[[#All],[Code]:[Adres]],4,FALSE)</f>
        <v>Jansstraat 40</v>
      </c>
      <c r="D28" s="400" t="str">
        <f>VLOOKUP(Ruimtestaat[[#This Row],[Code]],Locaties[[#All],[Code]:[Postcode]],5,FALSE)</f>
        <v>2011 RX</v>
      </c>
      <c r="E28" s="400" t="str">
        <f>VLOOKUP(Ruimtestaat[[#This Row],[Code]],Locaties[#All],6,FALSE)</f>
        <v>Haarlem</v>
      </c>
      <c r="F28" s="399" t="s">
        <v>1644</v>
      </c>
      <c r="G28" s="399" t="s">
        <v>1640</v>
      </c>
      <c r="H28" s="401">
        <v>4</v>
      </c>
      <c r="I28" s="402" t="s">
        <v>22</v>
      </c>
      <c r="J28" s="336">
        <v>5</v>
      </c>
      <c r="K28" s="414" t="str">
        <f>VLOOKUP(Ruimtestaat[[#This Row],[Ruimte code]],Ruimtegroepen[[#All],[Code]:[Ruimte omschrijving]],2,FALSE)</f>
        <v>Sanitair</v>
      </c>
      <c r="L28" s="399" t="s">
        <v>101</v>
      </c>
      <c r="M28" s="402" t="s">
        <v>1635</v>
      </c>
      <c r="N28" s="404">
        <v>2.2000000000000002</v>
      </c>
      <c r="O28" s="413"/>
      <c r="P28" s="405" t="str">
        <f>VLOOKUP(Ruimtestaat[[#This Row],[Ruimte code]],Ruimtegroepen[],4,FALSE)</f>
        <v>Sa</v>
      </c>
      <c r="Q28" s="399">
        <v>51</v>
      </c>
      <c r="R28" s="399" t="s">
        <v>2</v>
      </c>
      <c r="S28" s="399">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 s="399">
        <f>IF(S28&gt;0,VLOOKUP($J28,Ruimtegroepen[],3,FALSE)*VLOOKUP($L28,Vloersoorten[],3,FALSE)*VLOOKUP($R28,Frequenties[],3,FALSE)*VLOOKUP($A28,Locaties[],3,FALSE),0)</f>
        <v>0</v>
      </c>
      <c r="U28" s="399">
        <f>Ruimtestaat[[#This Row],[Uitvoeringen werkdagen]]*Ruimtestaat[[#This Row],[Oppervlak (netto)]]</f>
        <v>561</v>
      </c>
      <c r="V28" s="406">
        <f>IF(T28&gt;0,Ruimtestaat[[#This Row],[Prest. (m2 /jaar) werkdagen]]/Ruimtestaat[[#This Row],[Norm (m2/uur) werkdagen]],0)</f>
        <v>0</v>
      </c>
      <c r="W28" s="407">
        <f>Ruimtestaat[[#This Row],[uren / jaar werkdagen]]*Tariefsopbouw!$E$35</f>
        <v>0</v>
      </c>
      <c r="X28" s="399"/>
      <c r="Y28" s="399">
        <f>IF(Ruimtestaat[[#This Row],[Frequentie weekend]]&gt;0,VALUE(LEFT(X28,1))*Q28,0)</f>
        <v>0</v>
      </c>
      <c r="Z28" s="408">
        <f>IF($Y28&gt;0,VLOOKUP($J28,Ruimtegroepen[],3,FALSE)*VLOOKUP($L28,Vloersoorten[],3,FALSE)*VLOOKUP($X28,Frequenties[],3,FALSE)*VLOOKUP(Ruimtestaat[[#This Row],[Code]],Locaties[],3,FALSE),0)</f>
        <v>0</v>
      </c>
      <c r="AA28" s="408">
        <f>Ruimtestaat[[#This Row],[Uitvoeringen weekend]]*Ruimtestaat[[#This Row],[Oppervlak (netto)]]</f>
        <v>0</v>
      </c>
      <c r="AB28" s="408">
        <f>IF(Z28&gt;0,Ruimtestaat[[#This Row],[Prest. (m2 /jaar) weekend]]/Ruimtestaat[[#This Row],[Norm (m2/uur) weekend]],0)</f>
        <v>0</v>
      </c>
      <c r="AC28" s="407">
        <f>Ruimtestaat[[#This Row],[uren / jaar weekend]]*Tariefsopbouw!$D$40</f>
        <v>0</v>
      </c>
      <c r="AD28" s="406">
        <f>Ruimtestaat[[#This Row],[Prest. (m2 /jaar) weekend]]+Ruimtestaat[[#This Row],[Prest. (m2 /jaar) werkdagen]]</f>
        <v>561</v>
      </c>
      <c r="AE28" s="406">
        <f>Ruimtestaat[[#This Row],[uren / jaar weekend]]+Ruimtestaat[[#This Row],[uren / jaar werkdagen]]</f>
        <v>0</v>
      </c>
      <c r="AF28" s="409">
        <f>Ruimtestaat[[#This Row],[kosten / jaar weekend]]+Ruimtestaat[[#This Row],[kosten / jaar werkdagen]]</f>
        <v>0</v>
      </c>
      <c r="AG28" s="409"/>
      <c r="AH28" s="410" t="str">
        <f>IF(Ruimtestaat[[#This Row],[Frequentie werkdagen]]="","",_xlfn.CONCAT(Ruimtestaat[[#This Row],[Ruimte code]],"-",Ruimtestaat[[#This Row],[Frequentie werkdagen]]," ",Ruimtestaat[[#This Row],[Vloer code]]))</f>
        <v>5-5w S</v>
      </c>
      <c r="AI28" s="411" t="str">
        <f>_xlfn.IFNA(VLOOKUP($AH28,Programma!$F$3:$G$1101,2,0),"")</f>
        <v>_</v>
      </c>
      <c r="AJ28" s="411" t="str">
        <f>_xlfn.IFNA(VLOOKUP($AH28,Programma!$F$3:$H$1101,3,0),"")</f>
        <v>_</v>
      </c>
      <c r="AK28" s="411" t="str">
        <f>_xlfn.IFNA(VLOOKUP($AH28,Programma!$F$3:$I$1101,4,0),"")</f>
        <v>_</v>
      </c>
      <c r="AL28" s="411" t="str">
        <f>_xlfn.IFNA(VLOOKUP($AH28,Programma!$F$3:$J$1101,5,0),"")</f>
        <v>4w</v>
      </c>
      <c r="AM28" s="411" t="str">
        <f>_xlfn.IFNA(VLOOKUP($AH28,Programma!$F$3:$K$1101,6,0),"")</f>
        <v>1w</v>
      </c>
      <c r="AN28" s="411" t="str">
        <f>_xlfn.IFNA(VLOOKUP($AH28,Programma!$F$3:$L$1101,7,0),"")</f>
        <v>_</v>
      </c>
      <c r="AO28" s="411" t="str">
        <f>_xlfn.IFNA(VLOOKUP($AH28,Programma!$F$3:$M$1101,8,0),"")</f>
        <v>_</v>
      </c>
      <c r="AP28" s="411" t="str">
        <f>_xlfn.IFNA(VLOOKUP($AH28,Programma!$F$3:$N$1101,9,0),"")</f>
        <v>_</v>
      </c>
      <c r="AQ28" s="411" t="str">
        <f>_xlfn.IFNA(VLOOKUP($AH28,Programma!$F$3:$O$1101,10,0),"")</f>
        <v>_</v>
      </c>
      <c r="AR28" s="411" t="str">
        <f>_xlfn.IFNA(VLOOKUP($AH28,Programma!$F$3:$P$1101,11,0),"")</f>
        <v>_</v>
      </c>
      <c r="AS28" s="411" t="str">
        <f>_xlfn.IFNA(VLOOKUP($AH28,Programma!$F$3:$Q$1101,12,0),"")</f>
        <v>_</v>
      </c>
      <c r="AT28" s="411" t="str">
        <f>_xlfn.IFNA(VLOOKUP($AH28,Programma!$F$3:$R$1101,13,0),"")</f>
        <v>_</v>
      </c>
      <c r="AU28" s="411" t="str">
        <f>_xlfn.IFNA(VLOOKUP($AH28,Programma!$F$3:$S$1101,14,0),"")</f>
        <v>_</v>
      </c>
      <c r="AV28" s="411" t="str">
        <f>_xlfn.IFNA(VLOOKUP($AH28,Programma!$F$3:$T$1101,15,0),"")</f>
        <v>_</v>
      </c>
      <c r="AW28" s="411" t="str">
        <f>_xlfn.IFNA(VLOOKUP($AH28,Programma!$F$3:$U$1101,16,0),"")</f>
        <v>_</v>
      </c>
      <c r="AX28" s="411" t="str">
        <f>_xlfn.IFNA(VLOOKUP($AH28,Programma!$F$3:$V$1101,17,0),"")</f>
        <v>_</v>
      </c>
      <c r="AY28" s="411" t="str">
        <f>_xlfn.IFNA(VLOOKUP($AH28,Programma!$F$3:$W$1101,18,0),"")</f>
        <v>4w</v>
      </c>
      <c r="AZ28" s="411" t="str">
        <f>_xlfn.IFNA(VLOOKUP($AH28,Programma!$F$3:$X$1101,19,0),"")</f>
        <v>1w</v>
      </c>
      <c r="BA28" s="411" t="str">
        <f>_xlfn.IFNA(VLOOKUP($AH28,Programma!$F$3:$Y$1101,20,0),"")</f>
        <v>_</v>
      </c>
      <c r="BB28" s="412"/>
      <c r="BC28" s="410" t="str">
        <f>IF(Ruimtestaat[[#This Row],[Frequentie weekend]]="","",_xlfn.CONCAT(Ruimtestaat[[#This Row],[Ruimte code]],"-",Ruimtestaat[[#This Row],[Frequentie weekend]]," ",Ruimtestaat[[#This Row],[Vloer code]]))</f>
        <v/>
      </c>
      <c r="BD28" s="411" t="str">
        <f>_xlfn.IFNA(VLOOKUP($BC28,Programma!$F$3:$G$1101,2,0),"")</f>
        <v/>
      </c>
      <c r="BE28" s="411" t="str">
        <f>_xlfn.IFNA(VLOOKUP($BC28,Programma!$F$3:$H$1101,3,0),"")</f>
        <v/>
      </c>
      <c r="BF28" s="411" t="str">
        <f>_xlfn.IFNA(VLOOKUP($BC28,Programma!$F$3:$I$1101,4,0),"")</f>
        <v/>
      </c>
      <c r="BG28" s="411" t="str">
        <f>_xlfn.IFNA(VLOOKUP($BC28,Programma!$F$3:$J$1101,5,0),"")</f>
        <v/>
      </c>
      <c r="BH28" s="411" t="str">
        <f>_xlfn.IFNA(VLOOKUP($BC28,Programma!$F$3:$K$1101,6,0),"")</f>
        <v/>
      </c>
      <c r="BI28" s="411" t="str">
        <f>_xlfn.IFNA(VLOOKUP($BC28,Programma!$F$3:$L$1101,7,0),"")</f>
        <v/>
      </c>
      <c r="BJ28" s="411" t="str">
        <f>_xlfn.IFNA(VLOOKUP($BC28,Programma!$F$3:$M$1101,8,0),"")</f>
        <v/>
      </c>
      <c r="BK28" s="411" t="str">
        <f>_xlfn.IFNA(VLOOKUP($BC28,Programma!$F$3:$N$1101,9,0),"")</f>
        <v/>
      </c>
      <c r="BL28" s="411" t="str">
        <f>_xlfn.IFNA(VLOOKUP($BC28,Programma!$F$3:$O$1101,10,0),"")</f>
        <v/>
      </c>
      <c r="BM28" s="411" t="str">
        <f>_xlfn.IFNA(VLOOKUP($BC28,Programma!$F$3:$P$1101,11,0),"")</f>
        <v/>
      </c>
      <c r="BN28" s="411" t="str">
        <f>_xlfn.IFNA(VLOOKUP($BC28,Programma!$F$3:$Q$1101,12,0),"")</f>
        <v/>
      </c>
      <c r="BO28" s="411" t="str">
        <f>_xlfn.IFNA(VLOOKUP($BC28,Programma!$F$3:$R$1101,13,0),"")</f>
        <v/>
      </c>
      <c r="BP28" s="411" t="str">
        <f>_xlfn.IFNA(VLOOKUP($BC28,Programma!$F$3:$S$1101,14,0),"")</f>
        <v/>
      </c>
      <c r="BQ28" s="411" t="str">
        <f>_xlfn.IFNA(VLOOKUP($BC28,Programma!$F$3:$T$1101,15,0),"")</f>
        <v/>
      </c>
      <c r="BR28" s="411" t="str">
        <f>_xlfn.IFNA(VLOOKUP($BC28,Programma!$F$3:$U$1101,16,0),"")</f>
        <v/>
      </c>
      <c r="BS28" s="411" t="str">
        <f>_xlfn.IFNA(VLOOKUP($BC28,Programma!$F$3:$V$1101,17,0),"")</f>
        <v/>
      </c>
      <c r="BT28" s="411" t="str">
        <f>_xlfn.IFNA(VLOOKUP($BC28,Programma!$F$3:$W$1101,18,0),"")</f>
        <v/>
      </c>
      <c r="BU28" s="411" t="str">
        <f>_xlfn.IFNA(VLOOKUP($BC28,Programma!$F$3:$X$1101,19,0),"")</f>
        <v/>
      </c>
      <c r="BV28" s="411" t="str">
        <f>_xlfn.IFNA(VLOOKUP($BC28,Programma!$F$3:$Y$1101,20,0),"")</f>
        <v/>
      </c>
    </row>
    <row r="29" spans="1:74" s="28" customFormat="1" ht="15" customHeight="1">
      <c r="A29" s="399">
        <v>1</v>
      </c>
      <c r="B29" s="400" t="str">
        <f>VLOOKUP(Ruimtestaat[[#This Row],[Code]],Locaties[[Code]:[Locatie]],2,FALSE)</f>
        <v>Jansstraat en Janskerk</v>
      </c>
      <c r="C29" s="400" t="str">
        <f>VLOOKUP(Ruimtestaat[[#This Row],[Code]],Locaties[[#All],[Code]:[Adres]],4,FALSE)</f>
        <v>Jansstraat 40</v>
      </c>
      <c r="D29" s="400" t="str">
        <f>VLOOKUP(Ruimtestaat[[#This Row],[Code]],Locaties[[#All],[Code]:[Postcode]],5,FALSE)</f>
        <v>2011 RX</v>
      </c>
      <c r="E29" s="400" t="str">
        <f>VLOOKUP(Ruimtestaat[[#This Row],[Code]],Locaties[#All],6,FALSE)</f>
        <v>Haarlem</v>
      </c>
      <c r="F29" s="399" t="s">
        <v>1644</v>
      </c>
      <c r="G29" s="399" t="s">
        <v>1640</v>
      </c>
      <c r="H29" s="401">
        <v>5</v>
      </c>
      <c r="I29" s="402" t="s">
        <v>1646</v>
      </c>
      <c r="J29" s="336">
        <v>2</v>
      </c>
      <c r="K29" s="414" t="str">
        <f>VLOOKUP(Ruimtestaat[[#This Row],[Ruimte code]],Ruimtegroepen[[#All],[Code]:[Ruimte omschrijving]],2,FALSE)</f>
        <v>Kantoren</v>
      </c>
      <c r="L29" s="399" t="s">
        <v>99</v>
      </c>
      <c r="M29" s="402" t="s">
        <v>36</v>
      </c>
      <c r="N29" s="404">
        <v>21.5</v>
      </c>
      <c r="O29" s="413"/>
      <c r="P29" s="405" t="str">
        <f>VLOOKUP(Ruimtestaat[[#This Row],[Ruimte code]],Ruimtegroepen[],4,FALSE)</f>
        <v>Bu</v>
      </c>
      <c r="Q29" s="399">
        <v>51</v>
      </c>
      <c r="R29" s="399" t="s">
        <v>18</v>
      </c>
      <c r="S29" s="399">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29" s="399">
        <f>IF(S29&gt;0,VLOOKUP($J29,Ruimtegroepen[],3,FALSE)*VLOOKUP($L29,Vloersoorten[],3,FALSE)*VLOOKUP($R29,Frequenties[],3,FALSE)*VLOOKUP($A29,Locaties[],3,FALSE),0)</f>
        <v>0</v>
      </c>
      <c r="U29" s="399">
        <f>Ruimtestaat[[#This Row],[Uitvoeringen werkdagen]]*Ruimtestaat[[#This Row],[Oppervlak (netto)]]</f>
        <v>3289.5</v>
      </c>
      <c r="V29" s="406">
        <f>IF(T29&gt;0,Ruimtestaat[[#This Row],[Prest. (m2 /jaar) werkdagen]]/Ruimtestaat[[#This Row],[Norm (m2/uur) werkdagen]],0)</f>
        <v>0</v>
      </c>
      <c r="W29" s="407">
        <f>Ruimtestaat[[#This Row],[uren / jaar werkdagen]]*Tariefsopbouw!$E$35</f>
        <v>0</v>
      </c>
      <c r="X29" s="399"/>
      <c r="Y29" s="399">
        <f>IF(Ruimtestaat[[#This Row],[Frequentie weekend]]&gt;0,VALUE(LEFT(X29,1))*Q29,0)</f>
        <v>0</v>
      </c>
      <c r="Z29" s="408">
        <f>IF($Y29&gt;0,VLOOKUP($J29,Ruimtegroepen[],3,FALSE)*VLOOKUP($L29,Vloersoorten[],3,FALSE)*VLOOKUP($X29,Frequenties[],3,FALSE)*VLOOKUP(Ruimtestaat[[#This Row],[Code]],Locaties[],3,FALSE),0)</f>
        <v>0</v>
      </c>
      <c r="AA29" s="408">
        <f>Ruimtestaat[[#This Row],[Uitvoeringen weekend]]*Ruimtestaat[[#This Row],[Oppervlak (netto)]]</f>
        <v>0</v>
      </c>
      <c r="AB29" s="408">
        <f>IF(Z29&gt;0,Ruimtestaat[[#This Row],[Prest. (m2 /jaar) weekend]]/Ruimtestaat[[#This Row],[Norm (m2/uur) weekend]],0)</f>
        <v>0</v>
      </c>
      <c r="AC29" s="407">
        <f>Ruimtestaat[[#This Row],[uren / jaar weekend]]*Tariefsopbouw!$D$40</f>
        <v>0</v>
      </c>
      <c r="AD29" s="406">
        <f>Ruimtestaat[[#This Row],[Prest. (m2 /jaar) weekend]]+Ruimtestaat[[#This Row],[Prest. (m2 /jaar) werkdagen]]</f>
        <v>3289.5</v>
      </c>
      <c r="AE29" s="406">
        <f>Ruimtestaat[[#This Row],[uren / jaar weekend]]+Ruimtestaat[[#This Row],[uren / jaar werkdagen]]</f>
        <v>0</v>
      </c>
      <c r="AF29" s="409">
        <f>Ruimtestaat[[#This Row],[kosten / jaar weekend]]+Ruimtestaat[[#This Row],[kosten / jaar werkdagen]]</f>
        <v>0</v>
      </c>
      <c r="AG29" s="409"/>
      <c r="AH29" s="410" t="str">
        <f>IF(Ruimtestaat[[#This Row],[Frequentie werkdagen]]="","",_xlfn.CONCAT(Ruimtestaat[[#This Row],[Ruimte code]],"-",Ruimtestaat[[#This Row],[Frequentie werkdagen]]," ",Ruimtestaat[[#This Row],[Vloer code]]))</f>
        <v>2-3w T</v>
      </c>
      <c r="AI29" s="411" t="str">
        <f>_xlfn.IFNA(VLOOKUP($AH29,Programma!$F$3:$G$1101,2,0),"")</f>
        <v>2w</v>
      </c>
      <c r="AJ29" s="411" t="str">
        <f>_xlfn.IFNA(VLOOKUP($AH29,Programma!$F$3:$H$1101,3,0),"")</f>
        <v>1w</v>
      </c>
      <c r="AK29" s="411" t="str">
        <f>_xlfn.IFNA(VLOOKUP($AH29,Programma!$F$3:$I$1101,4,0),"")</f>
        <v>_</v>
      </c>
      <c r="AL29" s="411" t="str">
        <f>_xlfn.IFNA(VLOOKUP($AH29,Programma!$F$3:$J$1101,5,0),"")</f>
        <v>_</v>
      </c>
      <c r="AM29" s="411" t="str">
        <f>_xlfn.IFNA(VLOOKUP($AH29,Programma!$F$3:$K$1101,6,0),"")</f>
        <v>_</v>
      </c>
      <c r="AN29" s="411" t="str">
        <f>_xlfn.IFNA(VLOOKUP($AH29,Programma!$F$3:$L$1101,7,0),"")</f>
        <v>_</v>
      </c>
      <c r="AO29" s="411" t="str">
        <f>_xlfn.IFNA(VLOOKUP($AH29,Programma!$F$3:$M$1101,8,0),"")</f>
        <v>_</v>
      </c>
      <c r="AP29" s="411" t="str">
        <f>_xlfn.IFNA(VLOOKUP($AH29,Programma!$F$3:$N$1101,9,0),"")</f>
        <v>_</v>
      </c>
      <c r="AQ29" s="411" t="str">
        <f>_xlfn.IFNA(VLOOKUP($AH29,Programma!$F$3:$O$1101,10,0),"")</f>
        <v>3w</v>
      </c>
      <c r="AR29" s="411" t="str">
        <f>_xlfn.IFNA(VLOOKUP($AH29,Programma!$F$3:$P$1101,11,0),"")</f>
        <v>3w</v>
      </c>
      <c r="AS29" s="411" t="str">
        <f>_xlfn.IFNA(VLOOKUP($AH29,Programma!$F$3:$Q$1101,12,0),"")</f>
        <v>1w</v>
      </c>
      <c r="AT29" s="411" t="str">
        <f>_xlfn.IFNA(VLOOKUP($AH29,Programma!$F$3:$R$1101,13,0),"")</f>
        <v>1w</v>
      </c>
      <c r="AU29" s="411" t="str">
        <f>_xlfn.IFNA(VLOOKUP($AH29,Programma!$F$3:$S$1101,14,0),"")</f>
        <v>1m</v>
      </c>
      <c r="AV29" s="411" t="str">
        <f>_xlfn.IFNA(VLOOKUP($AH29,Programma!$F$3:$T$1101,15,0),"")</f>
        <v>2j</v>
      </c>
      <c r="AW29" s="411" t="str">
        <f>_xlfn.IFNA(VLOOKUP($AH29,Programma!$F$3:$U$1101,16,0),"")</f>
        <v>1j</v>
      </c>
      <c r="AX29" s="411" t="str">
        <f>_xlfn.IFNA(VLOOKUP($AH29,Programma!$F$3:$V$1101,17,0),"")</f>
        <v>_</v>
      </c>
      <c r="AY29" s="411" t="str">
        <f>_xlfn.IFNA(VLOOKUP($AH29,Programma!$F$3:$W$1101,18,0),"")</f>
        <v>_</v>
      </c>
      <c r="AZ29" s="411" t="str">
        <f>_xlfn.IFNA(VLOOKUP($AH29,Programma!$F$3:$X$1101,19,0),"")</f>
        <v>_</v>
      </c>
      <c r="BA29" s="411" t="str">
        <f>_xlfn.IFNA(VLOOKUP($AH29,Programma!$F$3:$Y$1101,20,0),"")</f>
        <v>_</v>
      </c>
      <c r="BB29" s="412"/>
      <c r="BC29" s="410" t="str">
        <f>IF(Ruimtestaat[[#This Row],[Frequentie weekend]]="","",_xlfn.CONCAT(Ruimtestaat[[#This Row],[Ruimte code]],"-",Ruimtestaat[[#This Row],[Frequentie weekend]]," ",Ruimtestaat[[#This Row],[Vloer code]]))</f>
        <v/>
      </c>
      <c r="BD29" s="411" t="str">
        <f>_xlfn.IFNA(VLOOKUP($BC29,Programma!$F$3:$G$1101,2,0),"")</f>
        <v/>
      </c>
      <c r="BE29" s="411" t="str">
        <f>_xlfn.IFNA(VLOOKUP($BC29,Programma!$F$3:$H$1101,3,0),"")</f>
        <v/>
      </c>
      <c r="BF29" s="411" t="str">
        <f>_xlfn.IFNA(VLOOKUP($BC29,Programma!$F$3:$I$1101,4,0),"")</f>
        <v/>
      </c>
      <c r="BG29" s="411" t="str">
        <f>_xlfn.IFNA(VLOOKUP($BC29,Programma!$F$3:$J$1101,5,0),"")</f>
        <v/>
      </c>
      <c r="BH29" s="411" t="str">
        <f>_xlfn.IFNA(VLOOKUP($BC29,Programma!$F$3:$K$1101,6,0),"")</f>
        <v/>
      </c>
      <c r="BI29" s="411" t="str">
        <f>_xlfn.IFNA(VLOOKUP($BC29,Programma!$F$3:$L$1101,7,0),"")</f>
        <v/>
      </c>
      <c r="BJ29" s="411" t="str">
        <f>_xlfn.IFNA(VLOOKUP($BC29,Programma!$F$3:$M$1101,8,0),"")</f>
        <v/>
      </c>
      <c r="BK29" s="411" t="str">
        <f>_xlfn.IFNA(VLOOKUP($BC29,Programma!$F$3:$N$1101,9,0),"")</f>
        <v/>
      </c>
      <c r="BL29" s="411" t="str">
        <f>_xlfn.IFNA(VLOOKUP($BC29,Programma!$F$3:$O$1101,10,0),"")</f>
        <v/>
      </c>
      <c r="BM29" s="411" t="str">
        <f>_xlfn.IFNA(VLOOKUP($BC29,Programma!$F$3:$P$1101,11,0),"")</f>
        <v/>
      </c>
      <c r="BN29" s="411" t="str">
        <f>_xlfn.IFNA(VLOOKUP($BC29,Programma!$F$3:$Q$1101,12,0),"")</f>
        <v/>
      </c>
      <c r="BO29" s="411" t="str">
        <f>_xlfn.IFNA(VLOOKUP($BC29,Programma!$F$3:$R$1101,13,0),"")</f>
        <v/>
      </c>
      <c r="BP29" s="411" t="str">
        <f>_xlfn.IFNA(VLOOKUP($BC29,Programma!$F$3:$S$1101,14,0),"")</f>
        <v/>
      </c>
      <c r="BQ29" s="411" t="str">
        <f>_xlfn.IFNA(VLOOKUP($BC29,Programma!$F$3:$T$1101,15,0),"")</f>
        <v/>
      </c>
      <c r="BR29" s="411" t="str">
        <f>_xlfn.IFNA(VLOOKUP($BC29,Programma!$F$3:$U$1101,16,0),"")</f>
        <v/>
      </c>
      <c r="BS29" s="411" t="str">
        <f>_xlfn.IFNA(VLOOKUP($BC29,Programma!$F$3:$V$1101,17,0),"")</f>
        <v/>
      </c>
      <c r="BT29" s="411" t="str">
        <f>_xlfn.IFNA(VLOOKUP($BC29,Programma!$F$3:$W$1101,18,0),"")</f>
        <v/>
      </c>
      <c r="BU29" s="411" t="str">
        <f>_xlfn.IFNA(VLOOKUP($BC29,Programma!$F$3:$X$1101,19,0),"")</f>
        <v/>
      </c>
      <c r="BV29" s="411" t="str">
        <f>_xlfn.IFNA(VLOOKUP($BC29,Programma!$F$3:$Y$1101,20,0),"")</f>
        <v/>
      </c>
    </row>
    <row r="30" spans="1:74" s="28" customFormat="1" ht="15" customHeight="1">
      <c r="A30" s="399">
        <v>1</v>
      </c>
      <c r="B30" s="400" t="str">
        <f>VLOOKUP(Ruimtestaat[[#This Row],[Code]],Locaties[[Code]:[Locatie]],2,FALSE)</f>
        <v>Jansstraat en Janskerk</v>
      </c>
      <c r="C30" s="400" t="str">
        <f>VLOOKUP(Ruimtestaat[[#This Row],[Code]],Locaties[[#All],[Code]:[Adres]],4,FALSE)</f>
        <v>Jansstraat 40</v>
      </c>
      <c r="D30" s="400" t="str">
        <f>VLOOKUP(Ruimtestaat[[#This Row],[Code]],Locaties[[#All],[Code]:[Postcode]],5,FALSE)</f>
        <v>2011 RX</v>
      </c>
      <c r="E30" s="400" t="str">
        <f>VLOOKUP(Ruimtestaat[[#This Row],[Code]],Locaties[#All],6,FALSE)</f>
        <v>Haarlem</v>
      </c>
      <c r="F30" s="399" t="s">
        <v>1644</v>
      </c>
      <c r="G30" s="399" t="s">
        <v>1640</v>
      </c>
      <c r="H30" s="401">
        <v>6</v>
      </c>
      <c r="I30" s="402" t="s">
        <v>1643</v>
      </c>
      <c r="J30" s="336">
        <v>10</v>
      </c>
      <c r="K30" s="414" t="str">
        <f>VLOOKUP(Ruimtestaat[[#This Row],[Ruimte code]],Ruimtegroepen[[#All],[Code]:[Ruimte omschrijving]],2,FALSE)</f>
        <v>Trappenhuizen/lift</v>
      </c>
      <c r="L30" s="399" t="s">
        <v>100</v>
      </c>
      <c r="M30" s="402" t="s">
        <v>1647</v>
      </c>
      <c r="N30" s="404">
        <v>3.9</v>
      </c>
      <c r="O30" s="399"/>
      <c r="P30" s="405" t="str">
        <f>VLOOKUP(Ruimtestaat[[#This Row],[Ruimte code]],Ruimtegroepen[],4,FALSE)</f>
        <v>Ve</v>
      </c>
      <c r="Q30" s="399">
        <v>51</v>
      </c>
      <c r="R30" s="399" t="s">
        <v>2</v>
      </c>
      <c r="S30" s="399">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0" s="399">
        <f>IF(S30&gt;0,VLOOKUP($J30,Ruimtegroepen[],3,FALSE)*VLOOKUP($L30,Vloersoorten[],3,FALSE)*VLOOKUP($R30,Frequenties[],3,FALSE)*VLOOKUP($A30,Locaties[],3,FALSE),0)</f>
        <v>0</v>
      </c>
      <c r="U30" s="399">
        <f>Ruimtestaat[[#This Row],[Uitvoeringen werkdagen]]*Ruimtestaat[[#This Row],[Oppervlak (netto)]]</f>
        <v>994.5</v>
      </c>
      <c r="V30" s="406">
        <f>IF(T30&gt;0,Ruimtestaat[[#This Row],[Prest. (m2 /jaar) werkdagen]]/Ruimtestaat[[#This Row],[Norm (m2/uur) werkdagen]],0)</f>
        <v>0</v>
      </c>
      <c r="W30" s="407">
        <f>Ruimtestaat[[#This Row],[uren / jaar werkdagen]]*Tariefsopbouw!$E$35</f>
        <v>0</v>
      </c>
      <c r="X30" s="399"/>
      <c r="Y30" s="399">
        <f>IF(Ruimtestaat[[#This Row],[Frequentie weekend]]&gt;0,VALUE(LEFT(X30,1))*Q30,0)</f>
        <v>0</v>
      </c>
      <c r="Z30" s="408">
        <f>IF($Y30&gt;0,VLOOKUP($J30,Ruimtegroepen[],3,FALSE)*VLOOKUP($L30,Vloersoorten[],3,FALSE)*VLOOKUP($X30,Frequenties[],3,FALSE)*VLOOKUP(Ruimtestaat[[#This Row],[Code]],Locaties[],3,FALSE),0)</f>
        <v>0</v>
      </c>
      <c r="AA30" s="408">
        <f>Ruimtestaat[[#This Row],[Uitvoeringen weekend]]*Ruimtestaat[[#This Row],[Oppervlak (netto)]]</f>
        <v>0</v>
      </c>
      <c r="AB30" s="408">
        <f>IF(Z30&gt;0,Ruimtestaat[[#This Row],[Prest. (m2 /jaar) weekend]]/Ruimtestaat[[#This Row],[Norm (m2/uur) weekend]],0)</f>
        <v>0</v>
      </c>
      <c r="AC30" s="407">
        <f>Ruimtestaat[[#This Row],[uren / jaar weekend]]*Tariefsopbouw!$D$40</f>
        <v>0</v>
      </c>
      <c r="AD30" s="406">
        <f>Ruimtestaat[[#This Row],[Prest. (m2 /jaar) weekend]]+Ruimtestaat[[#This Row],[Prest. (m2 /jaar) werkdagen]]</f>
        <v>994.5</v>
      </c>
      <c r="AE30" s="406">
        <f>Ruimtestaat[[#This Row],[uren / jaar weekend]]+Ruimtestaat[[#This Row],[uren / jaar werkdagen]]</f>
        <v>0</v>
      </c>
      <c r="AF30" s="409">
        <f>Ruimtestaat[[#This Row],[kosten / jaar weekend]]+Ruimtestaat[[#This Row],[kosten / jaar werkdagen]]</f>
        <v>0</v>
      </c>
      <c r="AG30" s="409"/>
      <c r="AH30" s="410" t="str">
        <f>IF(Ruimtestaat[[#This Row],[Frequentie werkdagen]]="","",_xlfn.CONCAT(Ruimtestaat[[#This Row],[Ruimte code]],"-",Ruimtestaat[[#This Row],[Frequentie werkdagen]]," ",Ruimtestaat[[#This Row],[Vloer code]]))</f>
        <v>10-5w L</v>
      </c>
      <c r="AI30" s="411" t="str">
        <f>_xlfn.IFNA(VLOOKUP($AH30,Programma!$F$3:$G$1101,2,0),"")</f>
        <v>_</v>
      </c>
      <c r="AJ30" s="411" t="str">
        <f>_xlfn.IFNA(VLOOKUP($AH30,Programma!$F$3:$H$1101,3,0),"")</f>
        <v>_</v>
      </c>
      <c r="AK30" s="411" t="str">
        <f>_xlfn.IFNA(VLOOKUP($AH30,Programma!$F$3:$I$1101,4,0),"")</f>
        <v>4w</v>
      </c>
      <c r="AL30" s="411" t="str">
        <f>_xlfn.IFNA(VLOOKUP($AH30,Programma!$F$3:$J$1101,5,0),"")</f>
        <v>1w</v>
      </c>
      <c r="AM30" s="411" t="str">
        <f>_xlfn.IFNA(VLOOKUP($AH30,Programma!$F$3:$K$1101,6,0),"")</f>
        <v>_</v>
      </c>
      <c r="AN30" s="411" t="str">
        <f>_xlfn.IFNA(VLOOKUP($AH30,Programma!$F$3:$L$1101,7,0),"")</f>
        <v>_</v>
      </c>
      <c r="AO30" s="411" t="str">
        <f>_xlfn.IFNA(VLOOKUP($AH30,Programma!$F$3:$M$1101,8,0),"")</f>
        <v>_</v>
      </c>
      <c r="AP30" s="411" t="str">
        <f>_xlfn.IFNA(VLOOKUP($AH30,Programma!$F$3:$N$1101,9,0),"")</f>
        <v>_</v>
      </c>
      <c r="AQ30" s="411" t="str">
        <f>_xlfn.IFNA(VLOOKUP($AH30,Programma!$F$3:$O$1101,10,0),"")</f>
        <v>5w</v>
      </c>
      <c r="AR30" s="411" t="str">
        <f>_xlfn.IFNA(VLOOKUP($AH30,Programma!$F$3:$P$1101,11,0),"")</f>
        <v>5w</v>
      </c>
      <c r="AS30" s="411" t="str">
        <f>_xlfn.IFNA(VLOOKUP($AH30,Programma!$F$3:$Q$1101,12,0),"")</f>
        <v>1w</v>
      </c>
      <c r="AT30" s="411" t="str">
        <f>_xlfn.IFNA(VLOOKUP($AH30,Programma!$F$3:$R$1101,13,0),"")</f>
        <v>1w</v>
      </c>
      <c r="AU30" s="411" t="str">
        <f>_xlfn.IFNA(VLOOKUP($AH30,Programma!$F$3:$S$1101,14,0),"")</f>
        <v>1m</v>
      </c>
      <c r="AV30" s="411" t="str">
        <f>_xlfn.IFNA(VLOOKUP($AH30,Programma!$F$3:$T$1101,15,0),"")</f>
        <v>2j</v>
      </c>
      <c r="AW30" s="411" t="str">
        <f>_xlfn.IFNA(VLOOKUP($AH30,Programma!$F$3:$U$1101,16,0),"")</f>
        <v>1j</v>
      </c>
      <c r="AX30" s="411" t="str">
        <f>_xlfn.IFNA(VLOOKUP($AH30,Programma!$F$3:$V$1101,17,0),"")</f>
        <v>_</v>
      </c>
      <c r="AY30" s="411" t="str">
        <f>_xlfn.IFNA(VLOOKUP($AH30,Programma!$F$3:$W$1101,18,0),"")</f>
        <v>_</v>
      </c>
      <c r="AZ30" s="411" t="str">
        <f>_xlfn.IFNA(VLOOKUP($AH30,Programma!$F$3:$X$1101,19,0),"")</f>
        <v>_</v>
      </c>
      <c r="BA30" s="411" t="str">
        <f>_xlfn.IFNA(VLOOKUP($AH30,Programma!$F$3:$Y$1101,20,0),"")</f>
        <v>_</v>
      </c>
      <c r="BB30" s="412"/>
      <c r="BC30" s="410" t="str">
        <f>IF(Ruimtestaat[[#This Row],[Frequentie weekend]]="","",_xlfn.CONCAT(Ruimtestaat[[#This Row],[Ruimte code]],"-",Ruimtestaat[[#This Row],[Frequentie weekend]]," ",Ruimtestaat[[#This Row],[Vloer code]]))</f>
        <v/>
      </c>
      <c r="BD30" s="411" t="str">
        <f>_xlfn.IFNA(VLOOKUP($BC30,Programma!$F$3:$G$1101,2,0),"")</f>
        <v/>
      </c>
      <c r="BE30" s="411" t="str">
        <f>_xlfn.IFNA(VLOOKUP($BC30,Programma!$F$3:$H$1101,3,0),"")</f>
        <v/>
      </c>
      <c r="BF30" s="411" t="str">
        <f>_xlfn.IFNA(VLOOKUP($BC30,Programma!$F$3:$I$1101,4,0),"")</f>
        <v/>
      </c>
      <c r="BG30" s="411" t="str">
        <f>_xlfn.IFNA(VLOOKUP($BC30,Programma!$F$3:$J$1101,5,0),"")</f>
        <v/>
      </c>
      <c r="BH30" s="411" t="str">
        <f>_xlfn.IFNA(VLOOKUP($BC30,Programma!$F$3:$K$1101,6,0),"")</f>
        <v/>
      </c>
      <c r="BI30" s="411" t="str">
        <f>_xlfn.IFNA(VLOOKUP($BC30,Programma!$F$3:$L$1101,7,0),"")</f>
        <v/>
      </c>
      <c r="BJ30" s="411" t="str">
        <f>_xlfn.IFNA(VLOOKUP($BC30,Programma!$F$3:$M$1101,8,0),"")</f>
        <v/>
      </c>
      <c r="BK30" s="411" t="str">
        <f>_xlfn.IFNA(VLOOKUP($BC30,Programma!$F$3:$N$1101,9,0),"")</f>
        <v/>
      </c>
      <c r="BL30" s="411" t="str">
        <f>_xlfn.IFNA(VLOOKUP($BC30,Programma!$F$3:$O$1101,10,0),"")</f>
        <v/>
      </c>
      <c r="BM30" s="411" t="str">
        <f>_xlfn.IFNA(VLOOKUP($BC30,Programma!$F$3:$P$1101,11,0),"")</f>
        <v/>
      </c>
      <c r="BN30" s="411" t="str">
        <f>_xlfn.IFNA(VLOOKUP($BC30,Programma!$F$3:$Q$1101,12,0),"")</f>
        <v/>
      </c>
      <c r="BO30" s="411" t="str">
        <f>_xlfn.IFNA(VLOOKUP($BC30,Programma!$F$3:$R$1101,13,0),"")</f>
        <v/>
      </c>
      <c r="BP30" s="411" t="str">
        <f>_xlfn.IFNA(VLOOKUP($BC30,Programma!$F$3:$S$1101,14,0),"")</f>
        <v/>
      </c>
      <c r="BQ30" s="411" t="str">
        <f>_xlfn.IFNA(VLOOKUP($BC30,Programma!$F$3:$T$1101,15,0),"")</f>
        <v/>
      </c>
      <c r="BR30" s="411" t="str">
        <f>_xlfn.IFNA(VLOOKUP($BC30,Programma!$F$3:$U$1101,16,0),"")</f>
        <v/>
      </c>
      <c r="BS30" s="411" t="str">
        <f>_xlfn.IFNA(VLOOKUP($BC30,Programma!$F$3:$V$1101,17,0),"")</f>
        <v/>
      </c>
      <c r="BT30" s="411" t="str">
        <f>_xlfn.IFNA(VLOOKUP($BC30,Programma!$F$3:$W$1101,18,0),"")</f>
        <v/>
      </c>
      <c r="BU30" s="411" t="str">
        <f>_xlfn.IFNA(VLOOKUP($BC30,Programma!$F$3:$X$1101,19,0),"")</f>
        <v/>
      </c>
      <c r="BV30" s="411" t="str">
        <f>_xlfn.IFNA(VLOOKUP($BC30,Programma!$F$3:$Y$1101,20,0),"")</f>
        <v/>
      </c>
    </row>
    <row r="31" spans="1:74" s="28" customFormat="1" ht="15" customHeight="1">
      <c r="A31" s="399">
        <v>1</v>
      </c>
      <c r="B31" s="400" t="str">
        <f>VLOOKUP(Ruimtestaat[[#This Row],[Code]],Locaties[[Code]:[Locatie]],2,FALSE)</f>
        <v>Jansstraat en Janskerk</v>
      </c>
      <c r="C31" s="400" t="str">
        <f>VLOOKUP(Ruimtestaat[[#This Row],[Code]],Locaties[[#All],[Code]:[Adres]],4,FALSE)</f>
        <v>Jansstraat 40</v>
      </c>
      <c r="D31" s="400" t="str">
        <f>VLOOKUP(Ruimtestaat[[#This Row],[Code]],Locaties[[#All],[Code]:[Postcode]],5,FALSE)</f>
        <v>2011 RX</v>
      </c>
      <c r="E31" s="400" t="str">
        <f>VLOOKUP(Ruimtestaat[[#This Row],[Code]],Locaties[#All],6,FALSE)</f>
        <v>Haarlem</v>
      </c>
      <c r="F31" s="399" t="s">
        <v>1644</v>
      </c>
      <c r="G31" s="399" t="s">
        <v>1645</v>
      </c>
      <c r="H31" s="415"/>
      <c r="I31" s="402" t="s">
        <v>1646</v>
      </c>
      <c r="J31" s="336">
        <v>2</v>
      </c>
      <c r="K31" s="414" t="str">
        <f>VLOOKUP(Ruimtestaat[[#This Row],[Ruimte code]],Ruimtegroepen[[#All],[Code]:[Ruimte omschrijving]],2,FALSE)</f>
        <v>Kantoren</v>
      </c>
      <c r="L31" s="399" t="s">
        <v>99</v>
      </c>
      <c r="M31" s="402" t="s">
        <v>36</v>
      </c>
      <c r="N31" s="404">
        <v>21.5</v>
      </c>
      <c r="O31" s="413"/>
      <c r="P31" s="405" t="str">
        <f>VLOOKUP(Ruimtestaat[[#This Row],[Ruimte code]],Ruimtegroepen[],4,FALSE)</f>
        <v>Bu</v>
      </c>
      <c r="Q31" s="399">
        <v>51</v>
      </c>
      <c r="R31" s="399" t="s">
        <v>18</v>
      </c>
      <c r="S31" s="399">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31" s="399">
        <f>IF(S31&gt;0,VLOOKUP($J31,Ruimtegroepen[],3,FALSE)*VLOOKUP($L31,Vloersoorten[],3,FALSE)*VLOOKUP($R31,Frequenties[],3,FALSE)*VLOOKUP($A31,Locaties[],3,FALSE),0)</f>
        <v>0</v>
      </c>
      <c r="U31" s="399">
        <f>Ruimtestaat[[#This Row],[Uitvoeringen werkdagen]]*Ruimtestaat[[#This Row],[Oppervlak (netto)]]</f>
        <v>3289.5</v>
      </c>
      <c r="V31" s="406">
        <f>IF(T31&gt;0,Ruimtestaat[[#This Row],[Prest. (m2 /jaar) werkdagen]]/Ruimtestaat[[#This Row],[Norm (m2/uur) werkdagen]],0)</f>
        <v>0</v>
      </c>
      <c r="W31" s="407">
        <f>Ruimtestaat[[#This Row],[uren / jaar werkdagen]]*Tariefsopbouw!$E$35</f>
        <v>0</v>
      </c>
      <c r="X31" s="399"/>
      <c r="Y31" s="399">
        <f>IF(Ruimtestaat[[#This Row],[Frequentie weekend]]&gt;0,VALUE(LEFT(X31,1))*Q31,0)</f>
        <v>0</v>
      </c>
      <c r="Z31" s="408">
        <f>IF($Y31&gt;0,VLOOKUP($J31,Ruimtegroepen[],3,FALSE)*VLOOKUP($L31,Vloersoorten[],3,FALSE)*VLOOKUP($X31,Frequenties[],3,FALSE)*VLOOKUP(Ruimtestaat[[#This Row],[Code]],Locaties[],3,FALSE),0)</f>
        <v>0</v>
      </c>
      <c r="AA31" s="408">
        <f>Ruimtestaat[[#This Row],[Uitvoeringen weekend]]*Ruimtestaat[[#This Row],[Oppervlak (netto)]]</f>
        <v>0</v>
      </c>
      <c r="AB31" s="408">
        <f>IF(Z31&gt;0,Ruimtestaat[[#This Row],[Prest. (m2 /jaar) weekend]]/Ruimtestaat[[#This Row],[Norm (m2/uur) weekend]],0)</f>
        <v>0</v>
      </c>
      <c r="AC31" s="407">
        <f>Ruimtestaat[[#This Row],[uren / jaar weekend]]*Tariefsopbouw!$D$40</f>
        <v>0</v>
      </c>
      <c r="AD31" s="406">
        <f>Ruimtestaat[[#This Row],[Prest. (m2 /jaar) weekend]]+Ruimtestaat[[#This Row],[Prest. (m2 /jaar) werkdagen]]</f>
        <v>3289.5</v>
      </c>
      <c r="AE31" s="406">
        <f>Ruimtestaat[[#This Row],[uren / jaar weekend]]+Ruimtestaat[[#This Row],[uren / jaar werkdagen]]</f>
        <v>0</v>
      </c>
      <c r="AF31" s="409">
        <f>Ruimtestaat[[#This Row],[kosten / jaar weekend]]+Ruimtestaat[[#This Row],[kosten / jaar werkdagen]]</f>
        <v>0</v>
      </c>
      <c r="AG31" s="409"/>
      <c r="AH31" s="410" t="str">
        <f>IF(Ruimtestaat[[#This Row],[Frequentie werkdagen]]="","",_xlfn.CONCAT(Ruimtestaat[[#This Row],[Ruimte code]],"-",Ruimtestaat[[#This Row],[Frequentie werkdagen]]," ",Ruimtestaat[[#This Row],[Vloer code]]))</f>
        <v>2-3w T</v>
      </c>
      <c r="AI31" s="411" t="str">
        <f>_xlfn.IFNA(VLOOKUP($AH31,Programma!$F$3:$G$1101,2,0),"")</f>
        <v>2w</v>
      </c>
      <c r="AJ31" s="411" t="str">
        <f>_xlfn.IFNA(VLOOKUP($AH31,Programma!$F$3:$H$1101,3,0),"")</f>
        <v>1w</v>
      </c>
      <c r="AK31" s="411" t="str">
        <f>_xlfn.IFNA(VLOOKUP($AH31,Programma!$F$3:$I$1101,4,0),"")</f>
        <v>_</v>
      </c>
      <c r="AL31" s="411" t="str">
        <f>_xlfn.IFNA(VLOOKUP($AH31,Programma!$F$3:$J$1101,5,0),"")</f>
        <v>_</v>
      </c>
      <c r="AM31" s="411" t="str">
        <f>_xlfn.IFNA(VLOOKUP($AH31,Programma!$F$3:$K$1101,6,0),"")</f>
        <v>_</v>
      </c>
      <c r="AN31" s="411" t="str">
        <f>_xlfn.IFNA(VLOOKUP($AH31,Programma!$F$3:$L$1101,7,0),"")</f>
        <v>_</v>
      </c>
      <c r="AO31" s="411" t="str">
        <f>_xlfn.IFNA(VLOOKUP($AH31,Programma!$F$3:$M$1101,8,0),"")</f>
        <v>_</v>
      </c>
      <c r="AP31" s="411" t="str">
        <f>_xlfn.IFNA(VLOOKUP($AH31,Programma!$F$3:$N$1101,9,0),"")</f>
        <v>_</v>
      </c>
      <c r="AQ31" s="411" t="str">
        <f>_xlfn.IFNA(VLOOKUP($AH31,Programma!$F$3:$O$1101,10,0),"")</f>
        <v>3w</v>
      </c>
      <c r="AR31" s="411" t="str">
        <f>_xlfn.IFNA(VLOOKUP($AH31,Programma!$F$3:$P$1101,11,0),"")</f>
        <v>3w</v>
      </c>
      <c r="AS31" s="411" t="str">
        <f>_xlfn.IFNA(VLOOKUP($AH31,Programma!$F$3:$Q$1101,12,0),"")</f>
        <v>1w</v>
      </c>
      <c r="AT31" s="411" t="str">
        <f>_xlfn.IFNA(VLOOKUP($AH31,Programma!$F$3:$R$1101,13,0),"")</f>
        <v>1w</v>
      </c>
      <c r="AU31" s="411" t="str">
        <f>_xlfn.IFNA(VLOOKUP($AH31,Programma!$F$3:$S$1101,14,0),"")</f>
        <v>1m</v>
      </c>
      <c r="AV31" s="411" t="str">
        <f>_xlfn.IFNA(VLOOKUP($AH31,Programma!$F$3:$T$1101,15,0),"")</f>
        <v>2j</v>
      </c>
      <c r="AW31" s="411" t="str">
        <f>_xlfn.IFNA(VLOOKUP($AH31,Programma!$F$3:$U$1101,16,0),"")</f>
        <v>1j</v>
      </c>
      <c r="AX31" s="411" t="str">
        <f>_xlfn.IFNA(VLOOKUP($AH31,Programma!$F$3:$V$1101,17,0),"")</f>
        <v>_</v>
      </c>
      <c r="AY31" s="411" t="str">
        <f>_xlfn.IFNA(VLOOKUP($AH31,Programma!$F$3:$W$1101,18,0),"")</f>
        <v>_</v>
      </c>
      <c r="AZ31" s="411" t="str">
        <f>_xlfn.IFNA(VLOOKUP($AH31,Programma!$F$3:$X$1101,19,0),"")</f>
        <v>_</v>
      </c>
      <c r="BA31" s="411" t="str">
        <f>_xlfn.IFNA(VLOOKUP($AH31,Programma!$F$3:$Y$1101,20,0),"")</f>
        <v>_</v>
      </c>
      <c r="BB31" s="412"/>
      <c r="BC31" s="410" t="str">
        <f>IF(Ruimtestaat[[#This Row],[Frequentie weekend]]="","",_xlfn.CONCAT(Ruimtestaat[[#This Row],[Ruimte code]],"-",Ruimtestaat[[#This Row],[Frequentie weekend]]," ",Ruimtestaat[[#This Row],[Vloer code]]))</f>
        <v/>
      </c>
      <c r="BD31" s="411" t="str">
        <f>_xlfn.IFNA(VLOOKUP($BC31,Programma!$F$3:$G$1101,2,0),"")</f>
        <v/>
      </c>
      <c r="BE31" s="411" t="str">
        <f>_xlfn.IFNA(VLOOKUP($BC31,Programma!$F$3:$H$1101,3,0),"")</f>
        <v/>
      </c>
      <c r="BF31" s="411" t="str">
        <f>_xlfn.IFNA(VLOOKUP($BC31,Programma!$F$3:$I$1101,4,0),"")</f>
        <v/>
      </c>
      <c r="BG31" s="411" t="str">
        <f>_xlfn.IFNA(VLOOKUP($BC31,Programma!$F$3:$J$1101,5,0),"")</f>
        <v/>
      </c>
      <c r="BH31" s="411" t="str">
        <f>_xlfn.IFNA(VLOOKUP($BC31,Programma!$F$3:$K$1101,6,0),"")</f>
        <v/>
      </c>
      <c r="BI31" s="411" t="str">
        <f>_xlfn.IFNA(VLOOKUP($BC31,Programma!$F$3:$L$1101,7,0),"")</f>
        <v/>
      </c>
      <c r="BJ31" s="411" t="str">
        <f>_xlfn.IFNA(VLOOKUP($BC31,Programma!$F$3:$M$1101,8,0),"")</f>
        <v/>
      </c>
      <c r="BK31" s="411" t="str">
        <f>_xlfn.IFNA(VLOOKUP($BC31,Programma!$F$3:$N$1101,9,0),"")</f>
        <v/>
      </c>
      <c r="BL31" s="411" t="str">
        <f>_xlfn.IFNA(VLOOKUP($BC31,Programma!$F$3:$O$1101,10,0),"")</f>
        <v/>
      </c>
      <c r="BM31" s="411" t="str">
        <f>_xlfn.IFNA(VLOOKUP($BC31,Programma!$F$3:$P$1101,11,0),"")</f>
        <v/>
      </c>
      <c r="BN31" s="411" t="str">
        <f>_xlfn.IFNA(VLOOKUP($BC31,Programma!$F$3:$Q$1101,12,0),"")</f>
        <v/>
      </c>
      <c r="BO31" s="411" t="str">
        <f>_xlfn.IFNA(VLOOKUP($BC31,Programma!$F$3:$R$1101,13,0),"")</f>
        <v/>
      </c>
      <c r="BP31" s="411" t="str">
        <f>_xlfn.IFNA(VLOOKUP($BC31,Programma!$F$3:$S$1101,14,0),"")</f>
        <v/>
      </c>
      <c r="BQ31" s="411" t="str">
        <f>_xlfn.IFNA(VLOOKUP($BC31,Programma!$F$3:$T$1101,15,0),"")</f>
        <v/>
      </c>
      <c r="BR31" s="411" t="str">
        <f>_xlfn.IFNA(VLOOKUP($BC31,Programma!$F$3:$U$1101,16,0),"")</f>
        <v/>
      </c>
      <c r="BS31" s="411" t="str">
        <f>_xlfn.IFNA(VLOOKUP($BC31,Programma!$F$3:$V$1101,17,0),"")</f>
        <v/>
      </c>
      <c r="BT31" s="411" t="str">
        <f>_xlfn.IFNA(VLOOKUP($BC31,Programma!$F$3:$W$1101,18,0),"")</f>
        <v/>
      </c>
      <c r="BU31" s="411" t="str">
        <f>_xlfn.IFNA(VLOOKUP($BC31,Programma!$F$3:$X$1101,19,0),"")</f>
        <v/>
      </c>
      <c r="BV31" s="411" t="str">
        <f>_xlfn.IFNA(VLOOKUP($BC31,Programma!$F$3:$Y$1101,20,0),"")</f>
        <v/>
      </c>
    </row>
    <row r="32" spans="1:74" s="28" customFormat="1" ht="15" customHeight="1">
      <c r="A32" s="399">
        <v>1</v>
      </c>
      <c r="B32" s="400" t="str">
        <f>VLOOKUP(Ruimtestaat[[#This Row],[Code]],Locaties[[Code]:[Locatie]],2,FALSE)</f>
        <v>Jansstraat en Janskerk</v>
      </c>
      <c r="C32" s="400" t="str">
        <f>VLOOKUP(Ruimtestaat[[#This Row],[Code]],Locaties[[#All],[Code]:[Adres]],4,FALSE)</f>
        <v>Jansstraat 40</v>
      </c>
      <c r="D32" s="400" t="str">
        <f>VLOOKUP(Ruimtestaat[[#This Row],[Code]],Locaties[[#All],[Code]:[Postcode]],5,FALSE)</f>
        <v>2011 RX</v>
      </c>
      <c r="E32" s="400" t="str">
        <f>VLOOKUP(Ruimtestaat[[#This Row],[Code]],Locaties[#All],6,FALSE)</f>
        <v>Haarlem</v>
      </c>
      <c r="F32" s="399"/>
      <c r="G32" s="399" t="s">
        <v>1640</v>
      </c>
      <c r="H32" s="401" t="s">
        <v>1648</v>
      </c>
      <c r="I32" s="402" t="s">
        <v>1631</v>
      </c>
      <c r="J32" s="336">
        <v>6</v>
      </c>
      <c r="K32" s="414" t="str">
        <f>VLOOKUP(Ruimtestaat[[#This Row],[Ruimte code]],Ruimtegroepen[[#All],[Code]:[Ruimte omschrijving]],2,FALSE)</f>
        <v>Gangen/hallen</v>
      </c>
      <c r="L32" s="399" t="s">
        <v>99</v>
      </c>
      <c r="M32" s="402" t="s">
        <v>36</v>
      </c>
      <c r="N32" s="404">
        <v>9.8000000000000007</v>
      </c>
      <c r="O32" s="413"/>
      <c r="P32" s="405" t="str">
        <f>VLOOKUP(Ruimtestaat[[#This Row],[Ruimte code]],Ruimtegroepen[],4,FALSE)</f>
        <v>Ve</v>
      </c>
      <c r="Q32" s="399">
        <v>51</v>
      </c>
      <c r="R32" s="399" t="s">
        <v>2</v>
      </c>
      <c r="S32" s="399">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 s="399">
        <f>IF(S32&gt;0,VLOOKUP($J32,Ruimtegroepen[],3,FALSE)*VLOOKUP($L32,Vloersoorten[],3,FALSE)*VLOOKUP($R32,Frequenties[],3,FALSE)*VLOOKUP($A32,Locaties[],3,FALSE),0)</f>
        <v>0</v>
      </c>
      <c r="U32" s="399">
        <f>Ruimtestaat[[#This Row],[Uitvoeringen werkdagen]]*Ruimtestaat[[#This Row],[Oppervlak (netto)]]</f>
        <v>2499</v>
      </c>
      <c r="V32" s="406">
        <f>IF(T32&gt;0,Ruimtestaat[[#This Row],[Prest. (m2 /jaar) werkdagen]]/Ruimtestaat[[#This Row],[Norm (m2/uur) werkdagen]],0)</f>
        <v>0</v>
      </c>
      <c r="W32" s="407">
        <f>Ruimtestaat[[#This Row],[uren / jaar werkdagen]]*Tariefsopbouw!$E$35</f>
        <v>0</v>
      </c>
      <c r="X32" s="399"/>
      <c r="Y32" s="399">
        <f>IF(Ruimtestaat[[#This Row],[Frequentie weekend]]&gt;0,VALUE(LEFT(X32,1))*Q32,0)</f>
        <v>0</v>
      </c>
      <c r="Z32" s="408">
        <f>IF($Y32&gt;0,VLOOKUP($J32,Ruimtegroepen[],3,FALSE)*VLOOKUP($L32,Vloersoorten[],3,FALSE)*VLOOKUP($X32,Frequenties[],3,FALSE)*VLOOKUP(Ruimtestaat[[#This Row],[Code]],Locaties[],3,FALSE),0)</f>
        <v>0</v>
      </c>
      <c r="AA32" s="408">
        <f>Ruimtestaat[[#This Row],[Uitvoeringen weekend]]*Ruimtestaat[[#This Row],[Oppervlak (netto)]]</f>
        <v>0</v>
      </c>
      <c r="AB32" s="408">
        <f>IF(Z32&gt;0,Ruimtestaat[[#This Row],[Prest. (m2 /jaar) weekend]]/Ruimtestaat[[#This Row],[Norm (m2/uur) weekend]],0)</f>
        <v>0</v>
      </c>
      <c r="AC32" s="407">
        <f>Ruimtestaat[[#This Row],[uren / jaar weekend]]*Tariefsopbouw!$D$40</f>
        <v>0</v>
      </c>
      <c r="AD32" s="406">
        <f>Ruimtestaat[[#This Row],[Prest. (m2 /jaar) weekend]]+Ruimtestaat[[#This Row],[Prest. (m2 /jaar) werkdagen]]</f>
        <v>2499</v>
      </c>
      <c r="AE32" s="406">
        <f>Ruimtestaat[[#This Row],[uren / jaar weekend]]+Ruimtestaat[[#This Row],[uren / jaar werkdagen]]</f>
        <v>0</v>
      </c>
      <c r="AF32" s="409">
        <f>Ruimtestaat[[#This Row],[kosten / jaar weekend]]+Ruimtestaat[[#This Row],[kosten / jaar werkdagen]]</f>
        <v>0</v>
      </c>
      <c r="AG32" s="409"/>
      <c r="AH32" s="410" t="str">
        <f>IF(Ruimtestaat[[#This Row],[Frequentie werkdagen]]="","",_xlfn.CONCAT(Ruimtestaat[[#This Row],[Ruimte code]],"-",Ruimtestaat[[#This Row],[Frequentie werkdagen]]," ",Ruimtestaat[[#This Row],[Vloer code]]))</f>
        <v>6-5w T</v>
      </c>
      <c r="AI32" s="411" t="str">
        <f>_xlfn.IFNA(VLOOKUP($AH32,Programma!$F$3:$G$1101,2,0),"")</f>
        <v>_</v>
      </c>
      <c r="AJ32" s="411" t="str">
        <f>_xlfn.IFNA(VLOOKUP($AH32,Programma!$F$3:$H$1101,3,0),"")</f>
        <v>5w</v>
      </c>
      <c r="AK32" s="411" t="str">
        <f>_xlfn.IFNA(VLOOKUP($AH32,Programma!$F$3:$I$1101,4,0),"")</f>
        <v>_</v>
      </c>
      <c r="AL32" s="411" t="str">
        <f>_xlfn.IFNA(VLOOKUP($AH32,Programma!$F$3:$J$1101,5,0),"")</f>
        <v>_</v>
      </c>
      <c r="AM32" s="411" t="str">
        <f>_xlfn.IFNA(VLOOKUP($AH32,Programma!$F$3:$K$1101,6,0),"")</f>
        <v>_</v>
      </c>
      <c r="AN32" s="411" t="str">
        <f>_xlfn.IFNA(VLOOKUP($AH32,Programma!$F$3:$L$1101,7,0),"")</f>
        <v>_</v>
      </c>
      <c r="AO32" s="411" t="str">
        <f>_xlfn.IFNA(VLOOKUP($AH32,Programma!$F$3:$M$1101,8,0),"")</f>
        <v>_</v>
      </c>
      <c r="AP32" s="411" t="str">
        <f>_xlfn.IFNA(VLOOKUP($AH32,Programma!$F$3:$N$1101,9,0),"")</f>
        <v>_</v>
      </c>
      <c r="AQ32" s="411" t="str">
        <f>_xlfn.IFNA(VLOOKUP($AH32,Programma!$F$3:$O$1101,10,0),"")</f>
        <v>5w</v>
      </c>
      <c r="AR32" s="411" t="str">
        <f>_xlfn.IFNA(VLOOKUP($AH32,Programma!$F$3:$P$1101,11,0),"")</f>
        <v>5w</v>
      </c>
      <c r="AS32" s="411" t="str">
        <f>_xlfn.IFNA(VLOOKUP($AH32,Programma!$F$3:$Q$1101,12,0),"")</f>
        <v>1w</v>
      </c>
      <c r="AT32" s="411" t="str">
        <f>_xlfn.IFNA(VLOOKUP($AH32,Programma!$F$3:$R$1101,13,0),"")</f>
        <v>1w</v>
      </c>
      <c r="AU32" s="411" t="str">
        <f>_xlfn.IFNA(VLOOKUP($AH32,Programma!$F$3:$S$1101,14,0),"")</f>
        <v>1m</v>
      </c>
      <c r="AV32" s="411" t="str">
        <f>_xlfn.IFNA(VLOOKUP($AH32,Programma!$F$3:$T$1101,15,0),"")</f>
        <v>2j</v>
      </c>
      <c r="AW32" s="411" t="str">
        <f>_xlfn.IFNA(VLOOKUP($AH32,Programma!$F$3:$U$1101,16,0),"")</f>
        <v>1j</v>
      </c>
      <c r="AX32" s="411" t="str">
        <f>_xlfn.IFNA(VLOOKUP($AH32,Programma!$F$3:$V$1101,17,0),"")</f>
        <v>_</v>
      </c>
      <c r="AY32" s="411" t="str">
        <f>_xlfn.IFNA(VLOOKUP($AH32,Programma!$F$3:$W$1101,18,0),"")</f>
        <v>_</v>
      </c>
      <c r="AZ32" s="411" t="str">
        <f>_xlfn.IFNA(VLOOKUP($AH32,Programma!$F$3:$X$1101,19,0),"")</f>
        <v>_</v>
      </c>
      <c r="BA32" s="411" t="str">
        <f>_xlfn.IFNA(VLOOKUP($AH32,Programma!$F$3:$Y$1101,20,0),"")</f>
        <v>_</v>
      </c>
      <c r="BB32" s="412"/>
      <c r="BC32" s="410" t="str">
        <f>IF(Ruimtestaat[[#This Row],[Frequentie weekend]]="","",_xlfn.CONCAT(Ruimtestaat[[#This Row],[Ruimte code]],"-",Ruimtestaat[[#This Row],[Frequentie weekend]]," ",Ruimtestaat[[#This Row],[Vloer code]]))</f>
        <v/>
      </c>
      <c r="BD32" s="411" t="str">
        <f>_xlfn.IFNA(VLOOKUP($BC32,Programma!$F$3:$G$1101,2,0),"")</f>
        <v/>
      </c>
      <c r="BE32" s="411" t="str">
        <f>_xlfn.IFNA(VLOOKUP($BC32,Programma!$F$3:$H$1101,3,0),"")</f>
        <v/>
      </c>
      <c r="BF32" s="411" t="str">
        <f>_xlfn.IFNA(VLOOKUP($BC32,Programma!$F$3:$I$1101,4,0),"")</f>
        <v/>
      </c>
      <c r="BG32" s="411" t="str">
        <f>_xlfn.IFNA(VLOOKUP($BC32,Programma!$F$3:$J$1101,5,0),"")</f>
        <v/>
      </c>
      <c r="BH32" s="411" t="str">
        <f>_xlfn.IFNA(VLOOKUP($BC32,Programma!$F$3:$K$1101,6,0),"")</f>
        <v/>
      </c>
      <c r="BI32" s="411" t="str">
        <f>_xlfn.IFNA(VLOOKUP($BC32,Programma!$F$3:$L$1101,7,0),"")</f>
        <v/>
      </c>
      <c r="BJ32" s="411" t="str">
        <f>_xlfn.IFNA(VLOOKUP($BC32,Programma!$F$3:$M$1101,8,0),"")</f>
        <v/>
      </c>
      <c r="BK32" s="411" t="str">
        <f>_xlfn.IFNA(VLOOKUP($BC32,Programma!$F$3:$N$1101,9,0),"")</f>
        <v/>
      </c>
      <c r="BL32" s="411" t="str">
        <f>_xlfn.IFNA(VLOOKUP($BC32,Programma!$F$3:$O$1101,10,0),"")</f>
        <v/>
      </c>
      <c r="BM32" s="411" t="str">
        <f>_xlfn.IFNA(VLOOKUP($BC32,Programma!$F$3:$P$1101,11,0),"")</f>
        <v/>
      </c>
      <c r="BN32" s="411" t="str">
        <f>_xlfn.IFNA(VLOOKUP($BC32,Programma!$F$3:$Q$1101,12,0),"")</f>
        <v/>
      </c>
      <c r="BO32" s="411" t="str">
        <f>_xlfn.IFNA(VLOOKUP($BC32,Programma!$F$3:$R$1101,13,0),"")</f>
        <v/>
      </c>
      <c r="BP32" s="411" t="str">
        <f>_xlfn.IFNA(VLOOKUP($BC32,Programma!$F$3:$S$1101,14,0),"")</f>
        <v/>
      </c>
      <c r="BQ32" s="411" t="str">
        <f>_xlfn.IFNA(VLOOKUP($BC32,Programma!$F$3:$T$1101,15,0),"")</f>
        <v/>
      </c>
      <c r="BR32" s="411" t="str">
        <f>_xlfn.IFNA(VLOOKUP($BC32,Programma!$F$3:$U$1101,16,0),"")</f>
        <v/>
      </c>
      <c r="BS32" s="411" t="str">
        <f>_xlfn.IFNA(VLOOKUP($BC32,Programma!$F$3:$V$1101,17,0),"")</f>
        <v/>
      </c>
      <c r="BT32" s="411" t="str">
        <f>_xlfn.IFNA(VLOOKUP($BC32,Programma!$F$3:$W$1101,18,0),"")</f>
        <v/>
      </c>
      <c r="BU32" s="411" t="str">
        <f>_xlfn.IFNA(VLOOKUP($BC32,Programma!$F$3:$X$1101,19,0),"")</f>
        <v/>
      </c>
      <c r="BV32" s="411" t="str">
        <f>_xlfn.IFNA(VLOOKUP($BC32,Programma!$F$3:$Y$1101,20,0),"")</f>
        <v/>
      </c>
    </row>
    <row r="33" spans="1:74" s="28" customFormat="1" ht="15" customHeight="1">
      <c r="A33" s="399">
        <v>1</v>
      </c>
      <c r="B33" s="400" t="str">
        <f>VLOOKUP(Ruimtestaat[[#This Row],[Code]],Locaties[[Code]:[Locatie]],2,FALSE)</f>
        <v>Jansstraat en Janskerk</v>
      </c>
      <c r="C33" s="400" t="str">
        <f>VLOOKUP(Ruimtestaat[[#This Row],[Code]],Locaties[[#All],[Code]:[Adres]],4,FALSE)</f>
        <v>Jansstraat 40</v>
      </c>
      <c r="D33" s="400" t="str">
        <f>VLOOKUP(Ruimtestaat[[#This Row],[Code]],Locaties[[#All],[Code]:[Postcode]],5,FALSE)</f>
        <v>2011 RX</v>
      </c>
      <c r="E33" s="400" t="str">
        <f>VLOOKUP(Ruimtestaat[[#This Row],[Code]],Locaties[#All],6,FALSE)</f>
        <v>Haarlem</v>
      </c>
      <c r="F33" s="399"/>
      <c r="G33" s="399" t="s">
        <v>1640</v>
      </c>
      <c r="H33" s="401">
        <v>1</v>
      </c>
      <c r="I33" s="402" t="s">
        <v>1641</v>
      </c>
      <c r="J33" s="336">
        <v>10</v>
      </c>
      <c r="K33" s="414" t="str">
        <f>VLOOKUP(Ruimtestaat[[#This Row],[Ruimte code]],Ruimtegroepen[[#All],[Code]:[Ruimte omschrijving]],2,FALSE)</f>
        <v>Trappenhuizen/lift</v>
      </c>
      <c r="L33" s="399" t="s">
        <v>1313</v>
      </c>
      <c r="M33" s="402" t="s">
        <v>249</v>
      </c>
      <c r="N33" s="404">
        <v>5.8</v>
      </c>
      <c r="O33" s="399"/>
      <c r="P33" s="405" t="str">
        <f>VLOOKUP(Ruimtestaat[[#This Row],[Ruimte code]],Ruimtegroepen[],4,FALSE)</f>
        <v>Ve</v>
      </c>
      <c r="Q33" s="399">
        <v>51</v>
      </c>
      <c r="R33" s="399" t="s">
        <v>2</v>
      </c>
      <c r="S33" s="399">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3" s="399">
        <f>IF(S33&gt;0,VLOOKUP($J33,Ruimtegroepen[],3,FALSE)*VLOOKUP($L33,Vloersoorten[],3,FALSE)*VLOOKUP($R33,Frequenties[],3,FALSE)*VLOOKUP($A33,Locaties[],3,FALSE),0)</f>
        <v>0</v>
      </c>
      <c r="U33" s="399">
        <f>Ruimtestaat[[#This Row],[Uitvoeringen werkdagen]]*Ruimtestaat[[#This Row],[Oppervlak (netto)]]</f>
        <v>1479</v>
      </c>
      <c r="V33" s="406">
        <f>IF(T33&gt;0,Ruimtestaat[[#This Row],[Prest. (m2 /jaar) werkdagen]]/Ruimtestaat[[#This Row],[Norm (m2/uur) werkdagen]],0)</f>
        <v>0</v>
      </c>
      <c r="W33" s="407">
        <f>Ruimtestaat[[#This Row],[uren / jaar werkdagen]]*Tariefsopbouw!$E$35</f>
        <v>0</v>
      </c>
      <c r="X33" s="399"/>
      <c r="Y33" s="399">
        <f>IF(Ruimtestaat[[#This Row],[Frequentie weekend]]&gt;0,VALUE(LEFT(X33,1))*Q33,0)</f>
        <v>0</v>
      </c>
      <c r="Z33" s="408">
        <f>IF($Y33&gt;0,VLOOKUP($J33,Ruimtegroepen[],3,FALSE)*VLOOKUP($L33,Vloersoorten[],3,FALSE)*VLOOKUP($X33,Frequenties[],3,FALSE)*VLOOKUP(Ruimtestaat[[#This Row],[Code]],Locaties[],3,FALSE),0)</f>
        <v>0</v>
      </c>
      <c r="AA33" s="408">
        <f>Ruimtestaat[[#This Row],[Uitvoeringen weekend]]*Ruimtestaat[[#This Row],[Oppervlak (netto)]]</f>
        <v>0</v>
      </c>
      <c r="AB33" s="408">
        <f>IF(Z33&gt;0,Ruimtestaat[[#This Row],[Prest. (m2 /jaar) weekend]]/Ruimtestaat[[#This Row],[Norm (m2/uur) weekend]],0)</f>
        <v>0</v>
      </c>
      <c r="AC33" s="407">
        <f>Ruimtestaat[[#This Row],[uren / jaar weekend]]*Tariefsopbouw!$D$40</f>
        <v>0</v>
      </c>
      <c r="AD33" s="406">
        <f>Ruimtestaat[[#This Row],[Prest. (m2 /jaar) weekend]]+Ruimtestaat[[#This Row],[Prest. (m2 /jaar) werkdagen]]</f>
        <v>1479</v>
      </c>
      <c r="AE33" s="406">
        <f>Ruimtestaat[[#This Row],[uren / jaar weekend]]+Ruimtestaat[[#This Row],[uren / jaar werkdagen]]</f>
        <v>0</v>
      </c>
      <c r="AF33" s="409">
        <f>Ruimtestaat[[#This Row],[kosten / jaar weekend]]+Ruimtestaat[[#This Row],[kosten / jaar werkdagen]]</f>
        <v>0</v>
      </c>
      <c r="AG33" s="409"/>
      <c r="AH33" s="410" t="str">
        <f>IF(Ruimtestaat[[#This Row],[Frequentie werkdagen]]="","",_xlfn.CONCAT(Ruimtestaat[[#This Row],[Ruimte code]],"-",Ruimtestaat[[#This Row],[Frequentie werkdagen]]," ",Ruimtestaat[[#This Row],[Vloer code]]))</f>
        <v>10-5w H</v>
      </c>
      <c r="AI33" s="411" t="str">
        <f>_xlfn.IFNA(VLOOKUP($AH33,Programma!$F$3:$G$1101,2,0),"")</f>
        <v>_</v>
      </c>
      <c r="AJ33" s="411" t="str">
        <f>_xlfn.IFNA(VLOOKUP($AH33,Programma!$F$3:$H$1101,3,0),"")</f>
        <v>_</v>
      </c>
      <c r="AK33" s="411" t="str">
        <f>_xlfn.IFNA(VLOOKUP($AH33,Programma!$F$3:$I$1101,4,0),"")</f>
        <v>5w</v>
      </c>
      <c r="AL33" s="411" t="str">
        <f>_xlfn.IFNA(VLOOKUP($AH33,Programma!$F$3:$J$1101,5,0),"")</f>
        <v>_</v>
      </c>
      <c r="AM33" s="411" t="str">
        <f>_xlfn.IFNA(VLOOKUP($AH33,Programma!$F$3:$K$1101,6,0),"")</f>
        <v>4j</v>
      </c>
      <c r="AN33" s="411" t="str">
        <f>_xlfn.IFNA(VLOOKUP($AH33,Programma!$F$3:$L$1101,7,0),"")</f>
        <v>_</v>
      </c>
      <c r="AO33" s="411" t="str">
        <f>_xlfn.IFNA(VLOOKUP($AH33,Programma!$F$3:$M$1101,8,0),"")</f>
        <v>_</v>
      </c>
      <c r="AP33" s="411" t="str">
        <f>_xlfn.IFNA(VLOOKUP($AH33,Programma!$F$3:$N$1101,9,0),"")</f>
        <v>_</v>
      </c>
      <c r="AQ33" s="411" t="str">
        <f>_xlfn.IFNA(VLOOKUP($AH33,Programma!$F$3:$O$1101,10,0),"")</f>
        <v>5w</v>
      </c>
      <c r="AR33" s="411" t="str">
        <f>_xlfn.IFNA(VLOOKUP($AH33,Programma!$F$3:$P$1101,11,0),"")</f>
        <v>5w</v>
      </c>
      <c r="AS33" s="411" t="str">
        <f>_xlfn.IFNA(VLOOKUP($AH33,Programma!$F$3:$Q$1101,12,0),"")</f>
        <v>1w</v>
      </c>
      <c r="AT33" s="411" t="str">
        <f>_xlfn.IFNA(VLOOKUP($AH33,Programma!$F$3:$R$1101,13,0),"")</f>
        <v>1w</v>
      </c>
      <c r="AU33" s="411" t="str">
        <f>_xlfn.IFNA(VLOOKUP($AH33,Programma!$F$3:$S$1101,14,0),"")</f>
        <v>1m</v>
      </c>
      <c r="AV33" s="411" t="str">
        <f>_xlfn.IFNA(VLOOKUP($AH33,Programma!$F$3:$T$1101,15,0),"")</f>
        <v>2j</v>
      </c>
      <c r="AW33" s="411" t="str">
        <f>_xlfn.IFNA(VLOOKUP($AH33,Programma!$F$3:$U$1101,16,0),"")</f>
        <v>1j</v>
      </c>
      <c r="AX33" s="411" t="str">
        <f>_xlfn.IFNA(VLOOKUP($AH33,Programma!$F$3:$V$1101,17,0),"")</f>
        <v>_</v>
      </c>
      <c r="AY33" s="411" t="str">
        <f>_xlfn.IFNA(VLOOKUP($AH33,Programma!$F$3:$W$1101,18,0),"")</f>
        <v>_</v>
      </c>
      <c r="AZ33" s="411" t="str">
        <f>_xlfn.IFNA(VLOOKUP($AH33,Programma!$F$3:$X$1101,19,0),"")</f>
        <v>_</v>
      </c>
      <c r="BA33" s="411" t="str">
        <f>_xlfn.IFNA(VLOOKUP($AH33,Programma!$F$3:$Y$1101,20,0),"")</f>
        <v>_</v>
      </c>
      <c r="BB33" s="412"/>
      <c r="BC33" s="410" t="str">
        <f>IF(Ruimtestaat[[#This Row],[Frequentie weekend]]="","",_xlfn.CONCAT(Ruimtestaat[[#This Row],[Ruimte code]],"-",Ruimtestaat[[#This Row],[Frequentie weekend]]," ",Ruimtestaat[[#This Row],[Vloer code]]))</f>
        <v/>
      </c>
      <c r="BD33" s="411" t="str">
        <f>_xlfn.IFNA(VLOOKUP($BC33,Programma!$F$3:$G$1101,2,0),"")</f>
        <v/>
      </c>
      <c r="BE33" s="411" t="str">
        <f>_xlfn.IFNA(VLOOKUP($BC33,Programma!$F$3:$H$1101,3,0),"")</f>
        <v/>
      </c>
      <c r="BF33" s="411" t="str">
        <f>_xlfn.IFNA(VLOOKUP($BC33,Programma!$F$3:$I$1101,4,0),"")</f>
        <v/>
      </c>
      <c r="BG33" s="411" t="str">
        <f>_xlfn.IFNA(VLOOKUP($BC33,Programma!$F$3:$J$1101,5,0),"")</f>
        <v/>
      </c>
      <c r="BH33" s="411" t="str">
        <f>_xlfn.IFNA(VLOOKUP($BC33,Programma!$F$3:$K$1101,6,0),"")</f>
        <v/>
      </c>
      <c r="BI33" s="411" t="str">
        <f>_xlfn.IFNA(VLOOKUP($BC33,Programma!$F$3:$L$1101,7,0),"")</f>
        <v/>
      </c>
      <c r="BJ33" s="411" t="str">
        <f>_xlfn.IFNA(VLOOKUP($BC33,Programma!$F$3:$M$1101,8,0),"")</f>
        <v/>
      </c>
      <c r="BK33" s="411" t="str">
        <f>_xlfn.IFNA(VLOOKUP($BC33,Programma!$F$3:$N$1101,9,0),"")</f>
        <v/>
      </c>
      <c r="BL33" s="411" t="str">
        <f>_xlfn.IFNA(VLOOKUP($BC33,Programma!$F$3:$O$1101,10,0),"")</f>
        <v/>
      </c>
      <c r="BM33" s="411" t="str">
        <f>_xlfn.IFNA(VLOOKUP($BC33,Programma!$F$3:$P$1101,11,0),"")</f>
        <v/>
      </c>
      <c r="BN33" s="411" t="str">
        <f>_xlfn.IFNA(VLOOKUP($BC33,Programma!$F$3:$Q$1101,12,0),"")</f>
        <v/>
      </c>
      <c r="BO33" s="411" t="str">
        <f>_xlfn.IFNA(VLOOKUP($BC33,Programma!$F$3:$R$1101,13,0),"")</f>
        <v/>
      </c>
      <c r="BP33" s="411" t="str">
        <f>_xlfn.IFNA(VLOOKUP($BC33,Programma!$F$3:$S$1101,14,0),"")</f>
        <v/>
      </c>
      <c r="BQ33" s="411" t="str">
        <f>_xlfn.IFNA(VLOOKUP($BC33,Programma!$F$3:$T$1101,15,0),"")</f>
        <v/>
      </c>
      <c r="BR33" s="411" t="str">
        <f>_xlfn.IFNA(VLOOKUP($BC33,Programma!$F$3:$U$1101,16,0),"")</f>
        <v/>
      </c>
      <c r="BS33" s="411" t="str">
        <f>_xlfn.IFNA(VLOOKUP($BC33,Programma!$F$3:$V$1101,17,0),"")</f>
        <v/>
      </c>
      <c r="BT33" s="411" t="str">
        <f>_xlfn.IFNA(VLOOKUP($BC33,Programma!$F$3:$W$1101,18,0),"")</f>
        <v/>
      </c>
      <c r="BU33" s="411" t="str">
        <f>_xlfn.IFNA(VLOOKUP($BC33,Programma!$F$3:$X$1101,19,0),"")</f>
        <v/>
      </c>
      <c r="BV33" s="411" t="str">
        <f>_xlfn.IFNA(VLOOKUP($BC33,Programma!$F$3:$Y$1101,20,0),"")</f>
        <v/>
      </c>
    </row>
    <row r="34" spans="1:74" s="28" customFormat="1" ht="15" customHeight="1">
      <c r="A34" s="399">
        <v>1</v>
      </c>
      <c r="B34" s="400" t="str">
        <f>VLOOKUP(Ruimtestaat[[#This Row],[Code]],Locaties[[Code]:[Locatie]],2,FALSE)</f>
        <v>Jansstraat en Janskerk</v>
      </c>
      <c r="C34" s="400" t="str">
        <f>VLOOKUP(Ruimtestaat[[#This Row],[Code]],Locaties[[#All],[Code]:[Adres]],4,FALSE)</f>
        <v>Jansstraat 40</v>
      </c>
      <c r="D34" s="400" t="str">
        <f>VLOOKUP(Ruimtestaat[[#This Row],[Code]],Locaties[[#All],[Code]:[Postcode]],5,FALSE)</f>
        <v>2011 RX</v>
      </c>
      <c r="E34" s="400" t="str">
        <f>VLOOKUP(Ruimtestaat[[#This Row],[Code]],Locaties[#All],6,FALSE)</f>
        <v>Haarlem</v>
      </c>
      <c r="F34" s="399"/>
      <c r="G34" s="399" t="s">
        <v>1640</v>
      </c>
      <c r="H34" s="401">
        <v>2</v>
      </c>
      <c r="I34" s="402" t="s">
        <v>1649</v>
      </c>
      <c r="J34" s="336">
        <v>6</v>
      </c>
      <c r="K34" s="414" t="str">
        <f>VLOOKUP(Ruimtestaat[[#This Row],[Ruimte code]],Ruimtegroepen[[#All],[Code]:[Ruimte omschrijving]],2,FALSE)</f>
        <v>Gangen/hallen</v>
      </c>
      <c r="L34" s="399" t="s">
        <v>99</v>
      </c>
      <c r="M34" s="402" t="s">
        <v>36</v>
      </c>
      <c r="N34" s="404">
        <v>80.8</v>
      </c>
      <c r="O34" s="413"/>
      <c r="P34" s="405" t="str">
        <f>VLOOKUP(Ruimtestaat[[#This Row],[Ruimte code]],Ruimtegroepen[],4,FALSE)</f>
        <v>Ve</v>
      </c>
      <c r="Q34" s="399">
        <v>51</v>
      </c>
      <c r="R34" s="399" t="s">
        <v>2</v>
      </c>
      <c r="S34" s="399">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4" s="399">
        <f>IF(S34&gt;0,VLOOKUP($J34,Ruimtegroepen[],3,FALSE)*VLOOKUP($L34,Vloersoorten[],3,FALSE)*VLOOKUP($R34,Frequenties[],3,FALSE)*VLOOKUP($A34,Locaties[],3,FALSE),0)</f>
        <v>0</v>
      </c>
      <c r="U34" s="399">
        <f>Ruimtestaat[[#This Row],[Uitvoeringen werkdagen]]*Ruimtestaat[[#This Row],[Oppervlak (netto)]]</f>
        <v>20604</v>
      </c>
      <c r="V34" s="406">
        <f>IF(T34&gt;0,Ruimtestaat[[#This Row],[Prest. (m2 /jaar) werkdagen]]/Ruimtestaat[[#This Row],[Norm (m2/uur) werkdagen]],0)</f>
        <v>0</v>
      </c>
      <c r="W34" s="407">
        <f>Ruimtestaat[[#This Row],[uren / jaar werkdagen]]*Tariefsopbouw!$E$35</f>
        <v>0</v>
      </c>
      <c r="X34" s="399"/>
      <c r="Y34" s="399">
        <f>IF(Ruimtestaat[[#This Row],[Frequentie weekend]]&gt;0,VALUE(LEFT(X34,1))*Q34,0)</f>
        <v>0</v>
      </c>
      <c r="Z34" s="408">
        <f>IF($Y34&gt;0,VLOOKUP($J34,Ruimtegroepen[],3,FALSE)*VLOOKUP($L34,Vloersoorten[],3,FALSE)*VLOOKUP($X34,Frequenties[],3,FALSE)*VLOOKUP(Ruimtestaat[[#This Row],[Code]],Locaties[],3,FALSE),0)</f>
        <v>0</v>
      </c>
      <c r="AA34" s="408">
        <f>Ruimtestaat[[#This Row],[Uitvoeringen weekend]]*Ruimtestaat[[#This Row],[Oppervlak (netto)]]</f>
        <v>0</v>
      </c>
      <c r="AB34" s="408">
        <f>IF(Z34&gt;0,Ruimtestaat[[#This Row],[Prest. (m2 /jaar) weekend]]/Ruimtestaat[[#This Row],[Norm (m2/uur) weekend]],0)</f>
        <v>0</v>
      </c>
      <c r="AC34" s="407">
        <f>Ruimtestaat[[#This Row],[uren / jaar weekend]]*Tariefsopbouw!$D$40</f>
        <v>0</v>
      </c>
      <c r="AD34" s="406">
        <f>Ruimtestaat[[#This Row],[Prest. (m2 /jaar) weekend]]+Ruimtestaat[[#This Row],[Prest. (m2 /jaar) werkdagen]]</f>
        <v>20604</v>
      </c>
      <c r="AE34" s="406">
        <f>Ruimtestaat[[#This Row],[uren / jaar weekend]]+Ruimtestaat[[#This Row],[uren / jaar werkdagen]]</f>
        <v>0</v>
      </c>
      <c r="AF34" s="409">
        <f>Ruimtestaat[[#This Row],[kosten / jaar weekend]]+Ruimtestaat[[#This Row],[kosten / jaar werkdagen]]</f>
        <v>0</v>
      </c>
      <c r="AG34" s="409"/>
      <c r="AH34" s="410" t="str">
        <f>IF(Ruimtestaat[[#This Row],[Frequentie werkdagen]]="","",_xlfn.CONCAT(Ruimtestaat[[#This Row],[Ruimte code]],"-",Ruimtestaat[[#This Row],[Frequentie werkdagen]]," ",Ruimtestaat[[#This Row],[Vloer code]]))</f>
        <v>6-5w T</v>
      </c>
      <c r="AI34" s="411" t="str">
        <f>_xlfn.IFNA(VLOOKUP($AH34,Programma!$F$3:$G$1101,2,0),"")</f>
        <v>_</v>
      </c>
      <c r="AJ34" s="411" t="str">
        <f>_xlfn.IFNA(VLOOKUP($AH34,Programma!$F$3:$H$1101,3,0),"")</f>
        <v>5w</v>
      </c>
      <c r="AK34" s="411" t="str">
        <f>_xlfn.IFNA(VLOOKUP($AH34,Programma!$F$3:$I$1101,4,0),"")</f>
        <v>_</v>
      </c>
      <c r="AL34" s="411" t="str">
        <f>_xlfn.IFNA(VLOOKUP($AH34,Programma!$F$3:$J$1101,5,0),"")</f>
        <v>_</v>
      </c>
      <c r="AM34" s="411" t="str">
        <f>_xlfn.IFNA(VLOOKUP($AH34,Programma!$F$3:$K$1101,6,0),"")</f>
        <v>_</v>
      </c>
      <c r="AN34" s="411" t="str">
        <f>_xlfn.IFNA(VLOOKUP($AH34,Programma!$F$3:$L$1101,7,0),"")</f>
        <v>_</v>
      </c>
      <c r="AO34" s="411" t="str">
        <f>_xlfn.IFNA(VLOOKUP($AH34,Programma!$F$3:$M$1101,8,0),"")</f>
        <v>_</v>
      </c>
      <c r="AP34" s="411" t="str">
        <f>_xlfn.IFNA(VLOOKUP($AH34,Programma!$F$3:$N$1101,9,0),"")</f>
        <v>_</v>
      </c>
      <c r="AQ34" s="411" t="str">
        <f>_xlfn.IFNA(VLOOKUP($AH34,Programma!$F$3:$O$1101,10,0),"")</f>
        <v>5w</v>
      </c>
      <c r="AR34" s="411" t="str">
        <f>_xlfn.IFNA(VLOOKUP($AH34,Programma!$F$3:$P$1101,11,0),"")</f>
        <v>5w</v>
      </c>
      <c r="AS34" s="411" t="str">
        <f>_xlfn.IFNA(VLOOKUP($AH34,Programma!$F$3:$Q$1101,12,0),"")</f>
        <v>1w</v>
      </c>
      <c r="AT34" s="411" t="str">
        <f>_xlfn.IFNA(VLOOKUP($AH34,Programma!$F$3:$R$1101,13,0),"")</f>
        <v>1w</v>
      </c>
      <c r="AU34" s="411" t="str">
        <f>_xlfn.IFNA(VLOOKUP($AH34,Programma!$F$3:$S$1101,14,0),"")</f>
        <v>1m</v>
      </c>
      <c r="AV34" s="411" t="str">
        <f>_xlfn.IFNA(VLOOKUP($AH34,Programma!$F$3:$T$1101,15,0),"")</f>
        <v>2j</v>
      </c>
      <c r="AW34" s="411" t="str">
        <f>_xlfn.IFNA(VLOOKUP($AH34,Programma!$F$3:$U$1101,16,0),"")</f>
        <v>1j</v>
      </c>
      <c r="AX34" s="411" t="str">
        <f>_xlfn.IFNA(VLOOKUP($AH34,Programma!$F$3:$V$1101,17,0),"")</f>
        <v>_</v>
      </c>
      <c r="AY34" s="411" t="str">
        <f>_xlfn.IFNA(VLOOKUP($AH34,Programma!$F$3:$W$1101,18,0),"")</f>
        <v>_</v>
      </c>
      <c r="AZ34" s="411" t="str">
        <f>_xlfn.IFNA(VLOOKUP($AH34,Programma!$F$3:$X$1101,19,0),"")</f>
        <v>_</v>
      </c>
      <c r="BA34" s="411" t="str">
        <f>_xlfn.IFNA(VLOOKUP($AH34,Programma!$F$3:$Y$1101,20,0),"")</f>
        <v>_</v>
      </c>
      <c r="BB34" s="412"/>
      <c r="BC34" s="410" t="str">
        <f>IF(Ruimtestaat[[#This Row],[Frequentie weekend]]="","",_xlfn.CONCAT(Ruimtestaat[[#This Row],[Ruimte code]],"-",Ruimtestaat[[#This Row],[Frequentie weekend]]," ",Ruimtestaat[[#This Row],[Vloer code]]))</f>
        <v/>
      </c>
      <c r="BD34" s="411" t="str">
        <f>_xlfn.IFNA(VLOOKUP($BC34,Programma!$F$3:$G$1101,2,0),"")</f>
        <v/>
      </c>
      <c r="BE34" s="411" t="str">
        <f>_xlfn.IFNA(VLOOKUP($BC34,Programma!$F$3:$H$1101,3,0),"")</f>
        <v/>
      </c>
      <c r="BF34" s="411" t="str">
        <f>_xlfn.IFNA(VLOOKUP($BC34,Programma!$F$3:$I$1101,4,0),"")</f>
        <v/>
      </c>
      <c r="BG34" s="411" t="str">
        <f>_xlfn.IFNA(VLOOKUP($BC34,Programma!$F$3:$J$1101,5,0),"")</f>
        <v/>
      </c>
      <c r="BH34" s="411" t="str">
        <f>_xlfn.IFNA(VLOOKUP($BC34,Programma!$F$3:$K$1101,6,0),"")</f>
        <v/>
      </c>
      <c r="BI34" s="411" t="str">
        <f>_xlfn.IFNA(VLOOKUP($BC34,Programma!$F$3:$L$1101,7,0),"")</f>
        <v/>
      </c>
      <c r="BJ34" s="411" t="str">
        <f>_xlfn.IFNA(VLOOKUP($BC34,Programma!$F$3:$M$1101,8,0),"")</f>
        <v/>
      </c>
      <c r="BK34" s="411" t="str">
        <f>_xlfn.IFNA(VLOOKUP($BC34,Programma!$F$3:$N$1101,9,0),"")</f>
        <v/>
      </c>
      <c r="BL34" s="411" t="str">
        <f>_xlfn.IFNA(VLOOKUP($BC34,Programma!$F$3:$O$1101,10,0),"")</f>
        <v/>
      </c>
      <c r="BM34" s="411" t="str">
        <f>_xlfn.IFNA(VLOOKUP($BC34,Programma!$F$3:$P$1101,11,0),"")</f>
        <v/>
      </c>
      <c r="BN34" s="411" t="str">
        <f>_xlfn.IFNA(VLOOKUP($BC34,Programma!$F$3:$Q$1101,12,0),"")</f>
        <v/>
      </c>
      <c r="BO34" s="411" t="str">
        <f>_xlfn.IFNA(VLOOKUP($BC34,Programma!$F$3:$R$1101,13,0),"")</f>
        <v/>
      </c>
      <c r="BP34" s="411" t="str">
        <f>_xlfn.IFNA(VLOOKUP($BC34,Programma!$F$3:$S$1101,14,0),"")</f>
        <v/>
      </c>
      <c r="BQ34" s="411" t="str">
        <f>_xlfn.IFNA(VLOOKUP($BC34,Programma!$F$3:$T$1101,15,0),"")</f>
        <v/>
      </c>
      <c r="BR34" s="411" t="str">
        <f>_xlfn.IFNA(VLOOKUP($BC34,Programma!$F$3:$U$1101,16,0),"")</f>
        <v/>
      </c>
      <c r="BS34" s="411" t="str">
        <f>_xlfn.IFNA(VLOOKUP($BC34,Programma!$F$3:$V$1101,17,0),"")</f>
        <v/>
      </c>
      <c r="BT34" s="411" t="str">
        <f>_xlfn.IFNA(VLOOKUP($BC34,Programma!$F$3:$W$1101,18,0),"")</f>
        <v/>
      </c>
      <c r="BU34" s="411" t="str">
        <f>_xlfn.IFNA(VLOOKUP($BC34,Programma!$F$3:$X$1101,19,0),"")</f>
        <v/>
      </c>
      <c r="BV34" s="411" t="str">
        <f>_xlfn.IFNA(VLOOKUP($BC34,Programma!$F$3:$Y$1101,20,0),"")</f>
        <v/>
      </c>
    </row>
    <row r="35" spans="1:74" s="28" customFormat="1" ht="15" customHeight="1">
      <c r="A35" s="399">
        <v>1</v>
      </c>
      <c r="B35" s="400" t="str">
        <f>VLOOKUP(Ruimtestaat[[#This Row],[Code]],Locaties[[Code]:[Locatie]],2,FALSE)</f>
        <v>Jansstraat en Janskerk</v>
      </c>
      <c r="C35" s="400" t="str">
        <f>VLOOKUP(Ruimtestaat[[#This Row],[Code]],Locaties[[#All],[Code]:[Adres]],4,FALSE)</f>
        <v>Jansstraat 40</v>
      </c>
      <c r="D35" s="400" t="str">
        <f>VLOOKUP(Ruimtestaat[[#This Row],[Code]],Locaties[[#All],[Code]:[Postcode]],5,FALSE)</f>
        <v>2011 RX</v>
      </c>
      <c r="E35" s="400" t="str">
        <f>VLOOKUP(Ruimtestaat[[#This Row],[Code]],Locaties[#All],6,FALSE)</f>
        <v>Haarlem</v>
      </c>
      <c r="F35" s="399"/>
      <c r="G35" s="399" t="s">
        <v>1640</v>
      </c>
      <c r="H35" s="401">
        <v>3</v>
      </c>
      <c r="I35" s="402" t="s">
        <v>1649</v>
      </c>
      <c r="J35" s="336">
        <v>6</v>
      </c>
      <c r="K35" s="403" t="str">
        <f>VLOOKUP(Ruimtestaat[[#This Row],[Ruimte code]],Ruimtegroepen[[#All],[Code]:[Ruimte omschrijving]],2,FALSE)</f>
        <v>Gangen/hallen</v>
      </c>
      <c r="L35" s="399" t="s">
        <v>99</v>
      </c>
      <c r="M35" s="402" t="s">
        <v>36</v>
      </c>
      <c r="N35" s="404">
        <v>45</v>
      </c>
      <c r="O35" s="413"/>
      <c r="P35" s="405" t="str">
        <f>VLOOKUP(Ruimtestaat[[#This Row],[Ruimte code]],Ruimtegroepen[],4,FALSE)</f>
        <v>Ve</v>
      </c>
      <c r="Q35" s="399">
        <v>51</v>
      </c>
      <c r="R35" s="399" t="s">
        <v>2</v>
      </c>
      <c r="S35" s="399">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5" s="399">
        <f>IF(S35&gt;0,VLOOKUP($J35,Ruimtegroepen[],3,FALSE)*VLOOKUP($L35,Vloersoorten[],3,FALSE)*VLOOKUP($R35,Frequenties[],3,FALSE)*VLOOKUP($A35,Locaties[],3,FALSE),0)</f>
        <v>0</v>
      </c>
      <c r="U35" s="399">
        <f>Ruimtestaat[[#This Row],[Uitvoeringen werkdagen]]*Ruimtestaat[[#This Row],[Oppervlak (netto)]]</f>
        <v>11475</v>
      </c>
      <c r="V35" s="406">
        <f>IF(T35&gt;0,Ruimtestaat[[#This Row],[Prest. (m2 /jaar) werkdagen]]/Ruimtestaat[[#This Row],[Norm (m2/uur) werkdagen]],0)</f>
        <v>0</v>
      </c>
      <c r="W35" s="407">
        <f>Ruimtestaat[[#This Row],[uren / jaar werkdagen]]*Tariefsopbouw!$E$35</f>
        <v>0</v>
      </c>
      <c r="X35" s="399"/>
      <c r="Y35" s="399">
        <f>IF(Ruimtestaat[[#This Row],[Frequentie weekend]]&gt;0,VALUE(LEFT(X35,1))*Q35,0)</f>
        <v>0</v>
      </c>
      <c r="Z35" s="408">
        <f>IF($Y35&gt;0,VLOOKUP($J35,Ruimtegroepen[],3,FALSE)*VLOOKUP($L35,Vloersoorten[],3,FALSE)*VLOOKUP($X35,Frequenties[],3,FALSE)*VLOOKUP(Ruimtestaat[[#This Row],[Code]],Locaties[],3,FALSE),0)</f>
        <v>0</v>
      </c>
      <c r="AA35" s="408">
        <f>Ruimtestaat[[#This Row],[Uitvoeringen weekend]]*Ruimtestaat[[#This Row],[Oppervlak (netto)]]</f>
        <v>0</v>
      </c>
      <c r="AB35" s="408">
        <f>IF(Z35&gt;0,Ruimtestaat[[#This Row],[Prest. (m2 /jaar) weekend]]/Ruimtestaat[[#This Row],[Norm (m2/uur) weekend]],0)</f>
        <v>0</v>
      </c>
      <c r="AC35" s="407">
        <f>Ruimtestaat[[#This Row],[uren / jaar weekend]]*Tariefsopbouw!$D$40</f>
        <v>0</v>
      </c>
      <c r="AD35" s="406">
        <f>Ruimtestaat[[#This Row],[Prest. (m2 /jaar) weekend]]+Ruimtestaat[[#This Row],[Prest. (m2 /jaar) werkdagen]]</f>
        <v>11475</v>
      </c>
      <c r="AE35" s="406">
        <f>Ruimtestaat[[#This Row],[uren / jaar weekend]]+Ruimtestaat[[#This Row],[uren / jaar werkdagen]]</f>
        <v>0</v>
      </c>
      <c r="AF35" s="409">
        <f>Ruimtestaat[[#This Row],[kosten / jaar weekend]]+Ruimtestaat[[#This Row],[kosten / jaar werkdagen]]</f>
        <v>0</v>
      </c>
      <c r="AG35" s="409"/>
      <c r="AH35" s="410" t="str">
        <f>IF(Ruimtestaat[[#This Row],[Frequentie werkdagen]]="","",_xlfn.CONCAT(Ruimtestaat[[#This Row],[Ruimte code]],"-",Ruimtestaat[[#This Row],[Frequentie werkdagen]]," ",Ruimtestaat[[#This Row],[Vloer code]]))</f>
        <v>6-5w T</v>
      </c>
      <c r="AI35" s="411" t="str">
        <f>_xlfn.IFNA(VLOOKUP($AH35,Programma!$F$3:$G$1101,2,0),"")</f>
        <v>_</v>
      </c>
      <c r="AJ35" s="411" t="str">
        <f>_xlfn.IFNA(VLOOKUP($AH35,Programma!$F$3:$H$1101,3,0),"")</f>
        <v>5w</v>
      </c>
      <c r="AK35" s="411" t="str">
        <f>_xlfn.IFNA(VLOOKUP($AH35,Programma!$F$3:$I$1101,4,0),"")</f>
        <v>_</v>
      </c>
      <c r="AL35" s="411" t="str">
        <f>_xlfn.IFNA(VLOOKUP($AH35,Programma!$F$3:$J$1101,5,0),"")</f>
        <v>_</v>
      </c>
      <c r="AM35" s="411" t="str">
        <f>_xlfn.IFNA(VLOOKUP($AH35,Programma!$F$3:$K$1101,6,0),"")</f>
        <v>_</v>
      </c>
      <c r="AN35" s="411" t="str">
        <f>_xlfn.IFNA(VLOOKUP($AH35,Programma!$F$3:$L$1101,7,0),"")</f>
        <v>_</v>
      </c>
      <c r="AO35" s="411" t="str">
        <f>_xlfn.IFNA(VLOOKUP($AH35,Programma!$F$3:$M$1101,8,0),"")</f>
        <v>_</v>
      </c>
      <c r="AP35" s="411" t="str">
        <f>_xlfn.IFNA(VLOOKUP($AH35,Programma!$F$3:$N$1101,9,0),"")</f>
        <v>_</v>
      </c>
      <c r="AQ35" s="411" t="str">
        <f>_xlfn.IFNA(VLOOKUP($AH35,Programma!$F$3:$O$1101,10,0),"")</f>
        <v>5w</v>
      </c>
      <c r="AR35" s="411" t="str">
        <f>_xlfn.IFNA(VLOOKUP($AH35,Programma!$F$3:$P$1101,11,0),"")</f>
        <v>5w</v>
      </c>
      <c r="AS35" s="411" t="str">
        <f>_xlfn.IFNA(VLOOKUP($AH35,Programma!$F$3:$Q$1101,12,0),"")</f>
        <v>1w</v>
      </c>
      <c r="AT35" s="411" t="str">
        <f>_xlfn.IFNA(VLOOKUP($AH35,Programma!$F$3:$R$1101,13,0),"")</f>
        <v>1w</v>
      </c>
      <c r="AU35" s="411" t="str">
        <f>_xlfn.IFNA(VLOOKUP($AH35,Programma!$F$3:$S$1101,14,0),"")</f>
        <v>1m</v>
      </c>
      <c r="AV35" s="411" t="str">
        <f>_xlfn.IFNA(VLOOKUP($AH35,Programma!$F$3:$T$1101,15,0),"")</f>
        <v>2j</v>
      </c>
      <c r="AW35" s="411" t="str">
        <f>_xlfn.IFNA(VLOOKUP($AH35,Programma!$F$3:$U$1101,16,0),"")</f>
        <v>1j</v>
      </c>
      <c r="AX35" s="411" t="str">
        <f>_xlfn.IFNA(VLOOKUP($AH35,Programma!$F$3:$V$1101,17,0),"")</f>
        <v>_</v>
      </c>
      <c r="AY35" s="411" t="str">
        <f>_xlfn.IFNA(VLOOKUP($AH35,Programma!$F$3:$W$1101,18,0),"")</f>
        <v>_</v>
      </c>
      <c r="AZ35" s="411" t="str">
        <f>_xlfn.IFNA(VLOOKUP($AH35,Programma!$F$3:$X$1101,19,0),"")</f>
        <v>_</v>
      </c>
      <c r="BA35" s="411" t="str">
        <f>_xlfn.IFNA(VLOOKUP($AH35,Programma!$F$3:$Y$1101,20,0),"")</f>
        <v>_</v>
      </c>
      <c r="BB35" s="412"/>
      <c r="BC35" s="410" t="str">
        <f>IF(Ruimtestaat[[#This Row],[Frequentie weekend]]="","",_xlfn.CONCAT(Ruimtestaat[[#This Row],[Ruimte code]],"-",Ruimtestaat[[#This Row],[Frequentie weekend]]," ",Ruimtestaat[[#This Row],[Vloer code]]))</f>
        <v/>
      </c>
      <c r="BD35" s="411" t="str">
        <f>_xlfn.IFNA(VLOOKUP($BC35,Programma!$F$3:$G$1101,2,0),"")</f>
        <v/>
      </c>
      <c r="BE35" s="411" t="str">
        <f>_xlfn.IFNA(VLOOKUP($BC35,Programma!$F$3:$H$1101,3,0),"")</f>
        <v/>
      </c>
      <c r="BF35" s="411" t="str">
        <f>_xlfn.IFNA(VLOOKUP($BC35,Programma!$F$3:$I$1101,4,0),"")</f>
        <v/>
      </c>
      <c r="BG35" s="411" t="str">
        <f>_xlfn.IFNA(VLOOKUP($BC35,Programma!$F$3:$J$1101,5,0),"")</f>
        <v/>
      </c>
      <c r="BH35" s="411" t="str">
        <f>_xlfn.IFNA(VLOOKUP($BC35,Programma!$F$3:$K$1101,6,0),"")</f>
        <v/>
      </c>
      <c r="BI35" s="411" t="str">
        <f>_xlfn.IFNA(VLOOKUP($BC35,Programma!$F$3:$L$1101,7,0),"")</f>
        <v/>
      </c>
      <c r="BJ35" s="411" t="str">
        <f>_xlfn.IFNA(VLOOKUP($BC35,Programma!$F$3:$M$1101,8,0),"")</f>
        <v/>
      </c>
      <c r="BK35" s="411" t="str">
        <f>_xlfn.IFNA(VLOOKUP($BC35,Programma!$F$3:$N$1101,9,0),"")</f>
        <v/>
      </c>
      <c r="BL35" s="411" t="str">
        <f>_xlfn.IFNA(VLOOKUP($BC35,Programma!$F$3:$O$1101,10,0),"")</f>
        <v/>
      </c>
      <c r="BM35" s="411" t="str">
        <f>_xlfn.IFNA(VLOOKUP($BC35,Programma!$F$3:$P$1101,11,0),"")</f>
        <v/>
      </c>
      <c r="BN35" s="411" t="str">
        <f>_xlfn.IFNA(VLOOKUP($BC35,Programma!$F$3:$Q$1101,12,0),"")</f>
        <v/>
      </c>
      <c r="BO35" s="411" t="str">
        <f>_xlfn.IFNA(VLOOKUP($BC35,Programma!$F$3:$R$1101,13,0),"")</f>
        <v/>
      </c>
      <c r="BP35" s="411" t="str">
        <f>_xlfn.IFNA(VLOOKUP($BC35,Programma!$F$3:$S$1101,14,0),"")</f>
        <v/>
      </c>
      <c r="BQ35" s="411" t="str">
        <f>_xlfn.IFNA(VLOOKUP($BC35,Programma!$F$3:$T$1101,15,0),"")</f>
        <v/>
      </c>
      <c r="BR35" s="411" t="str">
        <f>_xlfn.IFNA(VLOOKUP($BC35,Programma!$F$3:$U$1101,16,0),"")</f>
        <v/>
      </c>
      <c r="BS35" s="411" t="str">
        <f>_xlfn.IFNA(VLOOKUP($BC35,Programma!$F$3:$V$1101,17,0),"")</f>
        <v/>
      </c>
      <c r="BT35" s="411" t="str">
        <f>_xlfn.IFNA(VLOOKUP($BC35,Programma!$F$3:$W$1101,18,0),"")</f>
        <v/>
      </c>
      <c r="BU35" s="411" t="str">
        <f>_xlfn.IFNA(VLOOKUP($BC35,Programma!$F$3:$X$1101,19,0),"")</f>
        <v/>
      </c>
      <c r="BV35" s="411" t="str">
        <f>_xlfn.IFNA(VLOOKUP($BC35,Programma!$F$3:$Y$1101,20,0),"")</f>
        <v/>
      </c>
    </row>
    <row r="36" spans="1:74" s="28" customFormat="1" ht="15" customHeight="1">
      <c r="A36" s="399">
        <v>1</v>
      </c>
      <c r="B36" s="400" t="str">
        <f>VLOOKUP(Ruimtestaat[[#This Row],[Code]],Locaties[[Code]:[Locatie]],2,FALSE)</f>
        <v>Jansstraat en Janskerk</v>
      </c>
      <c r="C36" s="400" t="str">
        <f>VLOOKUP(Ruimtestaat[[#This Row],[Code]],Locaties[[#All],[Code]:[Adres]],4,FALSE)</f>
        <v>Jansstraat 40</v>
      </c>
      <c r="D36" s="400" t="str">
        <f>VLOOKUP(Ruimtestaat[[#This Row],[Code]],Locaties[[#All],[Code]:[Postcode]],5,FALSE)</f>
        <v>2011 RX</v>
      </c>
      <c r="E36" s="400" t="str">
        <f>VLOOKUP(Ruimtestaat[[#This Row],[Code]],Locaties[#All],6,FALSE)</f>
        <v>Haarlem</v>
      </c>
      <c r="F36" s="399" t="s">
        <v>1650</v>
      </c>
      <c r="G36" s="399" t="s">
        <v>1645</v>
      </c>
      <c r="H36" s="415"/>
      <c r="I36" s="402" t="s">
        <v>1651</v>
      </c>
      <c r="J36" s="336">
        <v>4</v>
      </c>
      <c r="K36" s="403" t="str">
        <f>VLOOKUP(Ruimtestaat[[#This Row],[Ruimte code]],Ruimtegroepen[[#All],[Code]:[Ruimte omschrijving]],2,FALSE)</f>
        <v>Vergader/spreekkamers</v>
      </c>
      <c r="L36" s="399" t="s">
        <v>99</v>
      </c>
      <c r="M36" s="402" t="s">
        <v>36</v>
      </c>
      <c r="N36" s="404">
        <v>33.1</v>
      </c>
      <c r="O36" s="399"/>
      <c r="P36" s="405" t="str">
        <f>VLOOKUP(Ruimtestaat[[#This Row],[Ruimte code]],Ruimtegroepen[],4,FALSE)</f>
        <v>Bu</v>
      </c>
      <c r="Q36" s="399">
        <v>51</v>
      </c>
      <c r="R36" s="399" t="s">
        <v>18</v>
      </c>
      <c r="S36" s="399">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36" s="399">
        <f>IF(S36&gt;0,VLOOKUP($J36,Ruimtegroepen[],3,FALSE)*VLOOKUP($L36,Vloersoorten[],3,FALSE)*VLOOKUP($R36,Frequenties[],3,FALSE)*VLOOKUP($A36,Locaties[],3,FALSE),0)</f>
        <v>0</v>
      </c>
      <c r="U36" s="399">
        <f>Ruimtestaat[[#This Row],[Uitvoeringen werkdagen]]*Ruimtestaat[[#This Row],[Oppervlak (netto)]]</f>
        <v>5064.3</v>
      </c>
      <c r="V36" s="406">
        <f>IF(T36&gt;0,Ruimtestaat[[#This Row],[Prest. (m2 /jaar) werkdagen]]/Ruimtestaat[[#This Row],[Norm (m2/uur) werkdagen]],0)</f>
        <v>0</v>
      </c>
      <c r="W36" s="407">
        <f>Ruimtestaat[[#This Row],[uren / jaar werkdagen]]*Tariefsopbouw!$E$35</f>
        <v>0</v>
      </c>
      <c r="X36" s="399"/>
      <c r="Y36" s="399">
        <f>IF(Ruimtestaat[[#This Row],[Frequentie weekend]]&gt;0,VALUE(LEFT(X36,1))*Q36,0)</f>
        <v>0</v>
      </c>
      <c r="Z36" s="408">
        <f>IF($Y36&gt;0,VLOOKUP($J36,Ruimtegroepen[],3,FALSE)*VLOOKUP($L36,Vloersoorten[],3,FALSE)*VLOOKUP($X36,Frequenties[],3,FALSE)*VLOOKUP(Ruimtestaat[[#This Row],[Code]],Locaties[],3,FALSE),0)</f>
        <v>0</v>
      </c>
      <c r="AA36" s="408">
        <f>Ruimtestaat[[#This Row],[Uitvoeringen weekend]]*Ruimtestaat[[#This Row],[Oppervlak (netto)]]</f>
        <v>0</v>
      </c>
      <c r="AB36" s="408">
        <f>IF(Z36&gt;0,Ruimtestaat[[#This Row],[Prest. (m2 /jaar) weekend]]/Ruimtestaat[[#This Row],[Norm (m2/uur) weekend]],0)</f>
        <v>0</v>
      </c>
      <c r="AC36" s="407">
        <f>Ruimtestaat[[#This Row],[uren / jaar weekend]]*Tariefsopbouw!$D$40</f>
        <v>0</v>
      </c>
      <c r="AD36" s="406">
        <f>Ruimtestaat[[#This Row],[Prest. (m2 /jaar) weekend]]+Ruimtestaat[[#This Row],[Prest. (m2 /jaar) werkdagen]]</f>
        <v>5064.3</v>
      </c>
      <c r="AE36" s="406">
        <f>Ruimtestaat[[#This Row],[uren / jaar weekend]]+Ruimtestaat[[#This Row],[uren / jaar werkdagen]]</f>
        <v>0</v>
      </c>
      <c r="AF36" s="409">
        <f>Ruimtestaat[[#This Row],[kosten / jaar weekend]]+Ruimtestaat[[#This Row],[kosten / jaar werkdagen]]</f>
        <v>0</v>
      </c>
      <c r="AG36" s="409"/>
      <c r="AH36" s="410" t="str">
        <f>IF(Ruimtestaat[[#This Row],[Frequentie werkdagen]]="","",_xlfn.CONCAT(Ruimtestaat[[#This Row],[Ruimte code]],"-",Ruimtestaat[[#This Row],[Frequentie werkdagen]]," ",Ruimtestaat[[#This Row],[Vloer code]]))</f>
        <v>4-3w T</v>
      </c>
      <c r="AI36" s="411" t="str">
        <f>_xlfn.IFNA(VLOOKUP($AH36,Programma!$F$3:$G$1101,2,0),"")</f>
        <v>2w</v>
      </c>
      <c r="AJ36" s="411" t="str">
        <f>_xlfn.IFNA(VLOOKUP($AH36,Programma!$F$3:$H$1101,3,0),"")</f>
        <v>1w</v>
      </c>
      <c r="AK36" s="411" t="str">
        <f>_xlfn.IFNA(VLOOKUP($AH36,Programma!$F$3:$I$1101,4,0),"")</f>
        <v>_</v>
      </c>
      <c r="AL36" s="411" t="str">
        <f>_xlfn.IFNA(VLOOKUP($AH36,Programma!$F$3:$J$1101,5,0),"")</f>
        <v>_</v>
      </c>
      <c r="AM36" s="411" t="str">
        <f>_xlfn.IFNA(VLOOKUP($AH36,Programma!$F$3:$K$1101,6,0),"")</f>
        <v>_</v>
      </c>
      <c r="AN36" s="411" t="str">
        <f>_xlfn.IFNA(VLOOKUP($AH36,Programma!$F$3:$L$1101,7,0),"")</f>
        <v>_</v>
      </c>
      <c r="AO36" s="411" t="str">
        <f>_xlfn.IFNA(VLOOKUP($AH36,Programma!$F$3:$M$1101,8,0),"")</f>
        <v>_</v>
      </c>
      <c r="AP36" s="411" t="str">
        <f>_xlfn.IFNA(VLOOKUP($AH36,Programma!$F$3:$N$1101,9,0),"")</f>
        <v>_</v>
      </c>
      <c r="AQ36" s="411" t="str">
        <f>_xlfn.IFNA(VLOOKUP($AH36,Programma!$F$3:$O$1101,10,0),"")</f>
        <v>3w</v>
      </c>
      <c r="AR36" s="411" t="str">
        <f>_xlfn.IFNA(VLOOKUP($AH36,Programma!$F$3:$P$1101,11,0),"")</f>
        <v>3w</v>
      </c>
      <c r="AS36" s="411" t="str">
        <f>_xlfn.IFNA(VLOOKUP($AH36,Programma!$F$3:$Q$1101,12,0),"")</f>
        <v>1w</v>
      </c>
      <c r="AT36" s="411" t="str">
        <f>_xlfn.IFNA(VLOOKUP($AH36,Programma!$F$3:$R$1101,13,0),"")</f>
        <v>1w</v>
      </c>
      <c r="AU36" s="411" t="str">
        <f>_xlfn.IFNA(VLOOKUP($AH36,Programma!$F$3:$S$1101,14,0),"")</f>
        <v>1m</v>
      </c>
      <c r="AV36" s="411" t="str">
        <f>_xlfn.IFNA(VLOOKUP($AH36,Programma!$F$3:$T$1101,15,0),"")</f>
        <v>2j</v>
      </c>
      <c r="AW36" s="411" t="str">
        <f>_xlfn.IFNA(VLOOKUP($AH36,Programma!$F$3:$U$1101,16,0),"")</f>
        <v>1j</v>
      </c>
      <c r="AX36" s="411" t="str">
        <f>_xlfn.IFNA(VLOOKUP($AH36,Programma!$F$3:$V$1101,17,0),"")</f>
        <v>_</v>
      </c>
      <c r="AY36" s="411" t="str">
        <f>_xlfn.IFNA(VLOOKUP($AH36,Programma!$F$3:$W$1101,18,0),"")</f>
        <v>_</v>
      </c>
      <c r="AZ36" s="411" t="str">
        <f>_xlfn.IFNA(VLOOKUP($AH36,Programma!$F$3:$X$1101,19,0),"")</f>
        <v>_</v>
      </c>
      <c r="BA36" s="411" t="str">
        <f>_xlfn.IFNA(VLOOKUP($AH36,Programma!$F$3:$Y$1101,20,0),"")</f>
        <v>_</v>
      </c>
      <c r="BB36" s="412"/>
      <c r="BC36" s="410" t="str">
        <f>IF(Ruimtestaat[[#This Row],[Frequentie weekend]]="","",_xlfn.CONCAT(Ruimtestaat[[#This Row],[Ruimte code]],"-",Ruimtestaat[[#This Row],[Frequentie weekend]]," ",Ruimtestaat[[#This Row],[Vloer code]]))</f>
        <v/>
      </c>
      <c r="BD36" s="411" t="str">
        <f>_xlfn.IFNA(VLOOKUP($BC36,Programma!$F$3:$G$1101,2,0),"")</f>
        <v/>
      </c>
      <c r="BE36" s="411" t="str">
        <f>_xlfn.IFNA(VLOOKUP($BC36,Programma!$F$3:$H$1101,3,0),"")</f>
        <v/>
      </c>
      <c r="BF36" s="411" t="str">
        <f>_xlfn.IFNA(VLOOKUP($BC36,Programma!$F$3:$I$1101,4,0),"")</f>
        <v/>
      </c>
      <c r="BG36" s="411" t="str">
        <f>_xlfn.IFNA(VLOOKUP($BC36,Programma!$F$3:$J$1101,5,0),"")</f>
        <v/>
      </c>
      <c r="BH36" s="411" t="str">
        <f>_xlfn.IFNA(VLOOKUP($BC36,Programma!$F$3:$K$1101,6,0),"")</f>
        <v/>
      </c>
      <c r="BI36" s="411" t="str">
        <f>_xlfn.IFNA(VLOOKUP($BC36,Programma!$F$3:$L$1101,7,0),"")</f>
        <v/>
      </c>
      <c r="BJ36" s="411" t="str">
        <f>_xlfn.IFNA(VLOOKUP($BC36,Programma!$F$3:$M$1101,8,0),"")</f>
        <v/>
      </c>
      <c r="BK36" s="411" t="str">
        <f>_xlfn.IFNA(VLOOKUP($BC36,Programma!$F$3:$N$1101,9,0),"")</f>
        <v/>
      </c>
      <c r="BL36" s="411" t="str">
        <f>_xlfn.IFNA(VLOOKUP($BC36,Programma!$F$3:$O$1101,10,0),"")</f>
        <v/>
      </c>
      <c r="BM36" s="411" t="str">
        <f>_xlfn.IFNA(VLOOKUP($BC36,Programma!$F$3:$P$1101,11,0),"")</f>
        <v/>
      </c>
      <c r="BN36" s="411" t="str">
        <f>_xlfn.IFNA(VLOOKUP($BC36,Programma!$F$3:$Q$1101,12,0),"")</f>
        <v/>
      </c>
      <c r="BO36" s="411" t="str">
        <f>_xlfn.IFNA(VLOOKUP($BC36,Programma!$F$3:$R$1101,13,0),"")</f>
        <v/>
      </c>
      <c r="BP36" s="411" t="str">
        <f>_xlfn.IFNA(VLOOKUP($BC36,Programma!$F$3:$S$1101,14,0),"")</f>
        <v/>
      </c>
      <c r="BQ36" s="411" t="str">
        <f>_xlfn.IFNA(VLOOKUP($BC36,Programma!$F$3:$T$1101,15,0),"")</f>
        <v/>
      </c>
      <c r="BR36" s="411" t="str">
        <f>_xlfn.IFNA(VLOOKUP($BC36,Programma!$F$3:$U$1101,16,0),"")</f>
        <v/>
      </c>
      <c r="BS36" s="411" t="str">
        <f>_xlfn.IFNA(VLOOKUP($BC36,Programma!$F$3:$V$1101,17,0),"")</f>
        <v/>
      </c>
      <c r="BT36" s="411" t="str">
        <f>_xlfn.IFNA(VLOOKUP($BC36,Programma!$F$3:$W$1101,18,0),"")</f>
        <v/>
      </c>
      <c r="BU36" s="411" t="str">
        <f>_xlfn.IFNA(VLOOKUP($BC36,Programma!$F$3:$X$1101,19,0),"")</f>
        <v/>
      </c>
      <c r="BV36" s="411" t="str">
        <f>_xlfn.IFNA(VLOOKUP($BC36,Programma!$F$3:$Y$1101,20,0),"")</f>
        <v/>
      </c>
    </row>
    <row r="37" spans="1:74" s="28" customFormat="1" ht="15" customHeight="1">
      <c r="A37" s="399">
        <v>1</v>
      </c>
      <c r="B37" s="400" t="str">
        <f>VLOOKUP(Ruimtestaat[[#This Row],[Code]],Locaties[[Code]:[Locatie]],2,FALSE)</f>
        <v>Jansstraat en Janskerk</v>
      </c>
      <c r="C37" s="400" t="str">
        <f>VLOOKUP(Ruimtestaat[[#This Row],[Code]],Locaties[[#All],[Code]:[Adres]],4,FALSE)</f>
        <v>Jansstraat 40</v>
      </c>
      <c r="D37" s="400" t="str">
        <f>VLOOKUP(Ruimtestaat[[#This Row],[Code]],Locaties[[#All],[Code]:[Postcode]],5,FALSE)</f>
        <v>2011 RX</v>
      </c>
      <c r="E37" s="400" t="str">
        <f>VLOOKUP(Ruimtestaat[[#This Row],[Code]],Locaties[#All],6,FALSE)</f>
        <v>Haarlem</v>
      </c>
      <c r="F37" s="399" t="s">
        <v>1650</v>
      </c>
      <c r="G37" s="399" t="s">
        <v>1645</v>
      </c>
      <c r="H37" s="401"/>
      <c r="I37" s="402" t="s">
        <v>1642</v>
      </c>
      <c r="J37" s="336">
        <v>6</v>
      </c>
      <c r="K37" s="414" t="str">
        <f>VLOOKUP(Ruimtestaat[[#This Row],[Ruimte code]],Ruimtegroepen[[#All],[Code]:[Ruimte omschrijving]],2,FALSE)</f>
        <v>Gangen/hallen</v>
      </c>
      <c r="L37" s="399" t="s">
        <v>99</v>
      </c>
      <c r="M37" s="402" t="s">
        <v>36</v>
      </c>
      <c r="N37" s="404">
        <v>18.100000000000001</v>
      </c>
      <c r="O37" s="413"/>
      <c r="P37" s="405" t="str">
        <f>VLOOKUP(Ruimtestaat[[#This Row],[Ruimte code]],Ruimtegroepen[],4,FALSE)</f>
        <v>Ve</v>
      </c>
      <c r="Q37" s="399">
        <v>51</v>
      </c>
      <c r="R37" s="399" t="s">
        <v>2</v>
      </c>
      <c r="S37" s="399">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 s="399">
        <f>IF(S37&gt;0,VLOOKUP($J37,Ruimtegroepen[],3,FALSE)*VLOOKUP($L37,Vloersoorten[],3,FALSE)*VLOOKUP($R37,Frequenties[],3,FALSE)*VLOOKUP($A37,Locaties[],3,FALSE),0)</f>
        <v>0</v>
      </c>
      <c r="U37" s="399">
        <f>Ruimtestaat[[#This Row],[Uitvoeringen werkdagen]]*Ruimtestaat[[#This Row],[Oppervlak (netto)]]</f>
        <v>4615.5</v>
      </c>
      <c r="V37" s="406">
        <f>IF(T37&gt;0,Ruimtestaat[[#This Row],[Prest. (m2 /jaar) werkdagen]]/Ruimtestaat[[#This Row],[Norm (m2/uur) werkdagen]],0)</f>
        <v>0</v>
      </c>
      <c r="W37" s="407">
        <f>Ruimtestaat[[#This Row],[uren / jaar werkdagen]]*Tariefsopbouw!$E$35</f>
        <v>0</v>
      </c>
      <c r="X37" s="399"/>
      <c r="Y37" s="399">
        <f>IF(Ruimtestaat[[#This Row],[Frequentie weekend]]&gt;0,VALUE(LEFT(X37,1))*Q37,0)</f>
        <v>0</v>
      </c>
      <c r="Z37" s="408">
        <f>IF($Y37&gt;0,VLOOKUP($J37,Ruimtegroepen[],3,FALSE)*VLOOKUP($L37,Vloersoorten[],3,FALSE)*VLOOKUP($X37,Frequenties[],3,FALSE)*VLOOKUP(Ruimtestaat[[#This Row],[Code]],Locaties[],3,FALSE),0)</f>
        <v>0</v>
      </c>
      <c r="AA37" s="408">
        <f>Ruimtestaat[[#This Row],[Uitvoeringen weekend]]*Ruimtestaat[[#This Row],[Oppervlak (netto)]]</f>
        <v>0</v>
      </c>
      <c r="AB37" s="408">
        <f>IF(Z37&gt;0,Ruimtestaat[[#This Row],[Prest. (m2 /jaar) weekend]]/Ruimtestaat[[#This Row],[Norm (m2/uur) weekend]],0)</f>
        <v>0</v>
      </c>
      <c r="AC37" s="407">
        <f>Ruimtestaat[[#This Row],[uren / jaar weekend]]*Tariefsopbouw!$D$40</f>
        <v>0</v>
      </c>
      <c r="AD37" s="406">
        <f>Ruimtestaat[[#This Row],[Prest. (m2 /jaar) weekend]]+Ruimtestaat[[#This Row],[Prest. (m2 /jaar) werkdagen]]</f>
        <v>4615.5</v>
      </c>
      <c r="AE37" s="406">
        <f>Ruimtestaat[[#This Row],[uren / jaar weekend]]+Ruimtestaat[[#This Row],[uren / jaar werkdagen]]</f>
        <v>0</v>
      </c>
      <c r="AF37" s="409">
        <f>Ruimtestaat[[#This Row],[kosten / jaar weekend]]+Ruimtestaat[[#This Row],[kosten / jaar werkdagen]]</f>
        <v>0</v>
      </c>
      <c r="AG37" s="409"/>
      <c r="AH37" s="410" t="str">
        <f>IF(Ruimtestaat[[#This Row],[Frequentie werkdagen]]="","",_xlfn.CONCAT(Ruimtestaat[[#This Row],[Ruimte code]],"-",Ruimtestaat[[#This Row],[Frequentie werkdagen]]," ",Ruimtestaat[[#This Row],[Vloer code]]))</f>
        <v>6-5w T</v>
      </c>
      <c r="AI37" s="411" t="str">
        <f>_xlfn.IFNA(VLOOKUP($AH37,Programma!$F$3:$G$1101,2,0),"")</f>
        <v>_</v>
      </c>
      <c r="AJ37" s="411" t="str">
        <f>_xlfn.IFNA(VLOOKUP($AH37,Programma!$F$3:$H$1101,3,0),"")</f>
        <v>5w</v>
      </c>
      <c r="AK37" s="411" t="str">
        <f>_xlfn.IFNA(VLOOKUP($AH37,Programma!$F$3:$I$1101,4,0),"")</f>
        <v>_</v>
      </c>
      <c r="AL37" s="411" t="str">
        <f>_xlfn.IFNA(VLOOKUP($AH37,Programma!$F$3:$J$1101,5,0),"")</f>
        <v>_</v>
      </c>
      <c r="AM37" s="411" t="str">
        <f>_xlfn.IFNA(VLOOKUP($AH37,Programma!$F$3:$K$1101,6,0),"")</f>
        <v>_</v>
      </c>
      <c r="AN37" s="411" t="str">
        <f>_xlfn.IFNA(VLOOKUP($AH37,Programma!$F$3:$L$1101,7,0),"")</f>
        <v>_</v>
      </c>
      <c r="AO37" s="411" t="str">
        <f>_xlfn.IFNA(VLOOKUP($AH37,Programma!$F$3:$M$1101,8,0),"")</f>
        <v>_</v>
      </c>
      <c r="AP37" s="411" t="str">
        <f>_xlfn.IFNA(VLOOKUP($AH37,Programma!$F$3:$N$1101,9,0),"")</f>
        <v>_</v>
      </c>
      <c r="AQ37" s="411" t="str">
        <f>_xlfn.IFNA(VLOOKUP($AH37,Programma!$F$3:$O$1101,10,0),"")</f>
        <v>5w</v>
      </c>
      <c r="AR37" s="411" t="str">
        <f>_xlfn.IFNA(VLOOKUP($AH37,Programma!$F$3:$P$1101,11,0),"")</f>
        <v>5w</v>
      </c>
      <c r="AS37" s="411" t="str">
        <f>_xlfn.IFNA(VLOOKUP($AH37,Programma!$F$3:$Q$1101,12,0),"")</f>
        <v>1w</v>
      </c>
      <c r="AT37" s="411" t="str">
        <f>_xlfn.IFNA(VLOOKUP($AH37,Programma!$F$3:$R$1101,13,0),"")</f>
        <v>1w</v>
      </c>
      <c r="AU37" s="411" t="str">
        <f>_xlfn.IFNA(VLOOKUP($AH37,Programma!$F$3:$S$1101,14,0),"")</f>
        <v>1m</v>
      </c>
      <c r="AV37" s="411" t="str">
        <f>_xlfn.IFNA(VLOOKUP($AH37,Programma!$F$3:$T$1101,15,0),"")</f>
        <v>2j</v>
      </c>
      <c r="AW37" s="411" t="str">
        <f>_xlfn.IFNA(VLOOKUP($AH37,Programma!$F$3:$U$1101,16,0),"")</f>
        <v>1j</v>
      </c>
      <c r="AX37" s="411" t="str">
        <f>_xlfn.IFNA(VLOOKUP($AH37,Programma!$F$3:$V$1101,17,0),"")</f>
        <v>_</v>
      </c>
      <c r="AY37" s="411" t="str">
        <f>_xlfn.IFNA(VLOOKUP($AH37,Programma!$F$3:$W$1101,18,0),"")</f>
        <v>_</v>
      </c>
      <c r="AZ37" s="411" t="str">
        <f>_xlfn.IFNA(VLOOKUP($AH37,Programma!$F$3:$X$1101,19,0),"")</f>
        <v>_</v>
      </c>
      <c r="BA37" s="411" t="str">
        <f>_xlfn.IFNA(VLOOKUP($AH37,Programma!$F$3:$Y$1101,20,0),"")</f>
        <v>_</v>
      </c>
      <c r="BB37" s="412"/>
      <c r="BC37" s="410" t="str">
        <f>IF(Ruimtestaat[[#This Row],[Frequentie weekend]]="","",_xlfn.CONCAT(Ruimtestaat[[#This Row],[Ruimte code]],"-",Ruimtestaat[[#This Row],[Frequentie weekend]]," ",Ruimtestaat[[#This Row],[Vloer code]]))</f>
        <v/>
      </c>
      <c r="BD37" s="411" t="str">
        <f>_xlfn.IFNA(VLOOKUP($BC37,Programma!$F$3:$G$1101,2,0),"")</f>
        <v/>
      </c>
      <c r="BE37" s="411" t="str">
        <f>_xlfn.IFNA(VLOOKUP($BC37,Programma!$F$3:$H$1101,3,0),"")</f>
        <v/>
      </c>
      <c r="BF37" s="411" t="str">
        <f>_xlfn.IFNA(VLOOKUP($BC37,Programma!$F$3:$I$1101,4,0),"")</f>
        <v/>
      </c>
      <c r="BG37" s="411" t="str">
        <f>_xlfn.IFNA(VLOOKUP($BC37,Programma!$F$3:$J$1101,5,0),"")</f>
        <v/>
      </c>
      <c r="BH37" s="411" t="str">
        <f>_xlfn.IFNA(VLOOKUP($BC37,Programma!$F$3:$K$1101,6,0),"")</f>
        <v/>
      </c>
      <c r="BI37" s="411" t="str">
        <f>_xlfn.IFNA(VLOOKUP($BC37,Programma!$F$3:$L$1101,7,0),"")</f>
        <v/>
      </c>
      <c r="BJ37" s="411" t="str">
        <f>_xlfn.IFNA(VLOOKUP($BC37,Programma!$F$3:$M$1101,8,0),"")</f>
        <v/>
      </c>
      <c r="BK37" s="411" t="str">
        <f>_xlfn.IFNA(VLOOKUP($BC37,Programma!$F$3:$N$1101,9,0),"")</f>
        <v/>
      </c>
      <c r="BL37" s="411" t="str">
        <f>_xlfn.IFNA(VLOOKUP($BC37,Programma!$F$3:$O$1101,10,0),"")</f>
        <v/>
      </c>
      <c r="BM37" s="411" t="str">
        <f>_xlfn.IFNA(VLOOKUP($BC37,Programma!$F$3:$P$1101,11,0),"")</f>
        <v/>
      </c>
      <c r="BN37" s="411" t="str">
        <f>_xlfn.IFNA(VLOOKUP($BC37,Programma!$F$3:$Q$1101,12,0),"")</f>
        <v/>
      </c>
      <c r="BO37" s="411" t="str">
        <f>_xlfn.IFNA(VLOOKUP($BC37,Programma!$F$3:$R$1101,13,0),"")</f>
        <v/>
      </c>
      <c r="BP37" s="411" t="str">
        <f>_xlfn.IFNA(VLOOKUP($BC37,Programma!$F$3:$S$1101,14,0),"")</f>
        <v/>
      </c>
      <c r="BQ37" s="411" t="str">
        <f>_xlfn.IFNA(VLOOKUP($BC37,Programma!$F$3:$T$1101,15,0),"")</f>
        <v/>
      </c>
      <c r="BR37" s="411" t="str">
        <f>_xlfn.IFNA(VLOOKUP($BC37,Programma!$F$3:$U$1101,16,0),"")</f>
        <v/>
      </c>
      <c r="BS37" s="411" t="str">
        <f>_xlfn.IFNA(VLOOKUP($BC37,Programma!$F$3:$V$1101,17,0),"")</f>
        <v/>
      </c>
      <c r="BT37" s="411" t="str">
        <f>_xlfn.IFNA(VLOOKUP($BC37,Programma!$F$3:$W$1101,18,0),"")</f>
        <v/>
      </c>
      <c r="BU37" s="411" t="str">
        <f>_xlfn.IFNA(VLOOKUP($BC37,Programma!$F$3:$X$1101,19,0),"")</f>
        <v/>
      </c>
      <c r="BV37" s="411" t="str">
        <f>_xlfn.IFNA(VLOOKUP($BC37,Programma!$F$3:$Y$1101,20,0),"")</f>
        <v/>
      </c>
    </row>
    <row r="38" spans="1:74" s="28" customFormat="1" ht="15" customHeight="1">
      <c r="A38" s="399">
        <v>1</v>
      </c>
      <c r="B38" s="400" t="str">
        <f>VLOOKUP(Ruimtestaat[[#This Row],[Code]],Locaties[[Code]:[Locatie]],2,FALSE)</f>
        <v>Jansstraat en Janskerk</v>
      </c>
      <c r="C38" s="400" t="str">
        <f>VLOOKUP(Ruimtestaat[[#This Row],[Code]],Locaties[[#All],[Code]:[Adres]],4,FALSE)</f>
        <v>Jansstraat 40</v>
      </c>
      <c r="D38" s="400" t="str">
        <f>VLOOKUP(Ruimtestaat[[#This Row],[Code]],Locaties[[#All],[Code]:[Postcode]],5,FALSE)</f>
        <v>2011 RX</v>
      </c>
      <c r="E38" s="400" t="str">
        <f>VLOOKUP(Ruimtestaat[[#This Row],[Code]],Locaties[#All],6,FALSE)</f>
        <v>Haarlem</v>
      </c>
      <c r="F38" s="399" t="s">
        <v>1650</v>
      </c>
      <c r="G38" s="399" t="s">
        <v>1645</v>
      </c>
      <c r="H38" s="401"/>
      <c r="I38" s="402" t="s">
        <v>1652</v>
      </c>
      <c r="J38" s="336">
        <v>10</v>
      </c>
      <c r="K38" s="414" t="str">
        <f>VLOOKUP(Ruimtestaat[[#This Row],[Ruimte code]],Ruimtegroepen[[#All],[Code]:[Ruimte omschrijving]],2,FALSE)</f>
        <v>Trappenhuizen/lift</v>
      </c>
      <c r="L38" s="399" t="s">
        <v>100</v>
      </c>
      <c r="M38" s="402" t="s">
        <v>1647</v>
      </c>
      <c r="N38" s="404">
        <v>1.4</v>
      </c>
      <c r="O38" s="413"/>
      <c r="P38" s="405" t="str">
        <f>VLOOKUP(Ruimtestaat[[#This Row],[Ruimte code]],Ruimtegroepen[],4,FALSE)</f>
        <v>Ve</v>
      </c>
      <c r="Q38" s="399">
        <v>51</v>
      </c>
      <c r="R38" s="399" t="s">
        <v>2</v>
      </c>
      <c r="S38" s="399">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 s="399">
        <f>IF(S38&gt;0,VLOOKUP($J38,Ruimtegroepen[],3,FALSE)*VLOOKUP($L38,Vloersoorten[],3,FALSE)*VLOOKUP($R38,Frequenties[],3,FALSE)*VLOOKUP($A38,Locaties[],3,FALSE),0)</f>
        <v>0</v>
      </c>
      <c r="U38" s="399">
        <f>Ruimtestaat[[#This Row],[Uitvoeringen werkdagen]]*Ruimtestaat[[#This Row],[Oppervlak (netto)]]</f>
        <v>357</v>
      </c>
      <c r="V38" s="406">
        <f>IF(T38&gt;0,Ruimtestaat[[#This Row],[Prest. (m2 /jaar) werkdagen]]/Ruimtestaat[[#This Row],[Norm (m2/uur) werkdagen]],0)</f>
        <v>0</v>
      </c>
      <c r="W38" s="407">
        <f>Ruimtestaat[[#This Row],[uren / jaar werkdagen]]*Tariefsopbouw!$E$35</f>
        <v>0</v>
      </c>
      <c r="X38" s="399"/>
      <c r="Y38" s="399">
        <f>IF(Ruimtestaat[[#This Row],[Frequentie weekend]]&gt;0,VALUE(LEFT(X38,1))*Q38,0)</f>
        <v>0</v>
      </c>
      <c r="Z38" s="408">
        <f>IF($Y38&gt;0,VLOOKUP($J38,Ruimtegroepen[],3,FALSE)*VLOOKUP($L38,Vloersoorten[],3,FALSE)*VLOOKUP($X38,Frequenties[],3,FALSE)*VLOOKUP(Ruimtestaat[[#This Row],[Code]],Locaties[],3,FALSE),0)</f>
        <v>0</v>
      </c>
      <c r="AA38" s="408">
        <f>Ruimtestaat[[#This Row],[Uitvoeringen weekend]]*Ruimtestaat[[#This Row],[Oppervlak (netto)]]</f>
        <v>0</v>
      </c>
      <c r="AB38" s="408">
        <f>IF(Z38&gt;0,Ruimtestaat[[#This Row],[Prest. (m2 /jaar) weekend]]/Ruimtestaat[[#This Row],[Norm (m2/uur) weekend]],0)</f>
        <v>0</v>
      </c>
      <c r="AC38" s="407">
        <f>Ruimtestaat[[#This Row],[uren / jaar weekend]]*Tariefsopbouw!$D$40</f>
        <v>0</v>
      </c>
      <c r="AD38" s="406">
        <f>Ruimtestaat[[#This Row],[Prest. (m2 /jaar) weekend]]+Ruimtestaat[[#This Row],[Prest. (m2 /jaar) werkdagen]]</f>
        <v>357</v>
      </c>
      <c r="AE38" s="406">
        <f>Ruimtestaat[[#This Row],[uren / jaar weekend]]+Ruimtestaat[[#This Row],[uren / jaar werkdagen]]</f>
        <v>0</v>
      </c>
      <c r="AF38" s="409">
        <f>Ruimtestaat[[#This Row],[kosten / jaar weekend]]+Ruimtestaat[[#This Row],[kosten / jaar werkdagen]]</f>
        <v>0</v>
      </c>
      <c r="AG38" s="409"/>
      <c r="AH38" s="410" t="str">
        <f>IF(Ruimtestaat[[#This Row],[Frequentie werkdagen]]="","",_xlfn.CONCAT(Ruimtestaat[[#This Row],[Ruimte code]],"-",Ruimtestaat[[#This Row],[Frequentie werkdagen]]," ",Ruimtestaat[[#This Row],[Vloer code]]))</f>
        <v>10-5w L</v>
      </c>
      <c r="AI38" s="411" t="str">
        <f>_xlfn.IFNA(VLOOKUP($AH38,Programma!$F$3:$G$1101,2,0),"")</f>
        <v>_</v>
      </c>
      <c r="AJ38" s="411" t="str">
        <f>_xlfn.IFNA(VLOOKUP($AH38,Programma!$F$3:$H$1101,3,0),"")</f>
        <v>_</v>
      </c>
      <c r="AK38" s="411" t="str">
        <f>_xlfn.IFNA(VLOOKUP($AH38,Programma!$F$3:$I$1101,4,0),"")</f>
        <v>4w</v>
      </c>
      <c r="AL38" s="411" t="str">
        <f>_xlfn.IFNA(VLOOKUP($AH38,Programma!$F$3:$J$1101,5,0),"")</f>
        <v>1w</v>
      </c>
      <c r="AM38" s="411" t="str">
        <f>_xlfn.IFNA(VLOOKUP($AH38,Programma!$F$3:$K$1101,6,0),"")</f>
        <v>_</v>
      </c>
      <c r="AN38" s="411" t="str">
        <f>_xlfn.IFNA(VLOOKUP($AH38,Programma!$F$3:$L$1101,7,0),"")</f>
        <v>_</v>
      </c>
      <c r="AO38" s="411" t="str">
        <f>_xlfn.IFNA(VLOOKUP($AH38,Programma!$F$3:$M$1101,8,0),"")</f>
        <v>_</v>
      </c>
      <c r="AP38" s="411" t="str">
        <f>_xlfn.IFNA(VLOOKUP($AH38,Programma!$F$3:$N$1101,9,0),"")</f>
        <v>_</v>
      </c>
      <c r="AQ38" s="411" t="str">
        <f>_xlfn.IFNA(VLOOKUP($AH38,Programma!$F$3:$O$1101,10,0),"")</f>
        <v>5w</v>
      </c>
      <c r="AR38" s="411" t="str">
        <f>_xlfn.IFNA(VLOOKUP($AH38,Programma!$F$3:$P$1101,11,0),"")</f>
        <v>5w</v>
      </c>
      <c r="AS38" s="411" t="str">
        <f>_xlfn.IFNA(VLOOKUP($AH38,Programma!$F$3:$Q$1101,12,0),"")</f>
        <v>1w</v>
      </c>
      <c r="AT38" s="411" t="str">
        <f>_xlfn.IFNA(VLOOKUP($AH38,Programma!$F$3:$R$1101,13,0),"")</f>
        <v>1w</v>
      </c>
      <c r="AU38" s="411" t="str">
        <f>_xlfn.IFNA(VLOOKUP($AH38,Programma!$F$3:$S$1101,14,0),"")</f>
        <v>1m</v>
      </c>
      <c r="AV38" s="411" t="str">
        <f>_xlfn.IFNA(VLOOKUP($AH38,Programma!$F$3:$T$1101,15,0),"")</f>
        <v>2j</v>
      </c>
      <c r="AW38" s="411" t="str">
        <f>_xlfn.IFNA(VLOOKUP($AH38,Programma!$F$3:$U$1101,16,0),"")</f>
        <v>1j</v>
      </c>
      <c r="AX38" s="411" t="str">
        <f>_xlfn.IFNA(VLOOKUP($AH38,Programma!$F$3:$V$1101,17,0),"")</f>
        <v>_</v>
      </c>
      <c r="AY38" s="411" t="str">
        <f>_xlfn.IFNA(VLOOKUP($AH38,Programma!$F$3:$W$1101,18,0),"")</f>
        <v>_</v>
      </c>
      <c r="AZ38" s="411" t="str">
        <f>_xlfn.IFNA(VLOOKUP($AH38,Programma!$F$3:$X$1101,19,0),"")</f>
        <v>_</v>
      </c>
      <c r="BA38" s="411" t="str">
        <f>_xlfn.IFNA(VLOOKUP($AH38,Programma!$F$3:$Y$1101,20,0),"")</f>
        <v>_</v>
      </c>
      <c r="BB38" s="412"/>
      <c r="BC38" s="410" t="str">
        <f>IF(Ruimtestaat[[#This Row],[Frequentie weekend]]="","",_xlfn.CONCAT(Ruimtestaat[[#This Row],[Ruimte code]],"-",Ruimtestaat[[#This Row],[Frequentie weekend]]," ",Ruimtestaat[[#This Row],[Vloer code]]))</f>
        <v/>
      </c>
      <c r="BD38" s="411" t="str">
        <f>_xlfn.IFNA(VLOOKUP($BC38,Programma!$F$3:$G$1101,2,0),"")</f>
        <v/>
      </c>
      <c r="BE38" s="411" t="str">
        <f>_xlfn.IFNA(VLOOKUP($BC38,Programma!$F$3:$H$1101,3,0),"")</f>
        <v/>
      </c>
      <c r="BF38" s="411" t="str">
        <f>_xlfn.IFNA(VLOOKUP($BC38,Programma!$F$3:$I$1101,4,0),"")</f>
        <v/>
      </c>
      <c r="BG38" s="411" t="str">
        <f>_xlfn.IFNA(VLOOKUP($BC38,Programma!$F$3:$J$1101,5,0),"")</f>
        <v/>
      </c>
      <c r="BH38" s="411" t="str">
        <f>_xlfn.IFNA(VLOOKUP($BC38,Programma!$F$3:$K$1101,6,0),"")</f>
        <v/>
      </c>
      <c r="BI38" s="411" t="str">
        <f>_xlfn.IFNA(VLOOKUP($BC38,Programma!$F$3:$L$1101,7,0),"")</f>
        <v/>
      </c>
      <c r="BJ38" s="411" t="str">
        <f>_xlfn.IFNA(VLOOKUP($BC38,Programma!$F$3:$M$1101,8,0),"")</f>
        <v/>
      </c>
      <c r="BK38" s="411" t="str">
        <f>_xlfn.IFNA(VLOOKUP($BC38,Programma!$F$3:$N$1101,9,0),"")</f>
        <v/>
      </c>
      <c r="BL38" s="411" t="str">
        <f>_xlfn.IFNA(VLOOKUP($BC38,Programma!$F$3:$O$1101,10,0),"")</f>
        <v/>
      </c>
      <c r="BM38" s="411" t="str">
        <f>_xlfn.IFNA(VLOOKUP($BC38,Programma!$F$3:$P$1101,11,0),"")</f>
        <v/>
      </c>
      <c r="BN38" s="411" t="str">
        <f>_xlfn.IFNA(VLOOKUP($BC38,Programma!$F$3:$Q$1101,12,0),"")</f>
        <v/>
      </c>
      <c r="BO38" s="411" t="str">
        <f>_xlfn.IFNA(VLOOKUP($BC38,Programma!$F$3:$R$1101,13,0),"")</f>
        <v/>
      </c>
      <c r="BP38" s="411" t="str">
        <f>_xlfn.IFNA(VLOOKUP($BC38,Programma!$F$3:$S$1101,14,0),"")</f>
        <v/>
      </c>
      <c r="BQ38" s="411" t="str">
        <f>_xlfn.IFNA(VLOOKUP($BC38,Programma!$F$3:$T$1101,15,0),"")</f>
        <v/>
      </c>
      <c r="BR38" s="411" t="str">
        <f>_xlfn.IFNA(VLOOKUP($BC38,Programma!$F$3:$U$1101,16,0),"")</f>
        <v/>
      </c>
      <c r="BS38" s="411" t="str">
        <f>_xlfn.IFNA(VLOOKUP($BC38,Programma!$F$3:$V$1101,17,0),"")</f>
        <v/>
      </c>
      <c r="BT38" s="411" t="str">
        <f>_xlfn.IFNA(VLOOKUP($BC38,Programma!$F$3:$W$1101,18,0),"")</f>
        <v/>
      </c>
      <c r="BU38" s="411" t="str">
        <f>_xlfn.IFNA(VLOOKUP($BC38,Programma!$F$3:$X$1101,19,0),"")</f>
        <v/>
      </c>
      <c r="BV38" s="411" t="str">
        <f>_xlfn.IFNA(VLOOKUP($BC38,Programma!$F$3:$Y$1101,20,0),"")</f>
        <v/>
      </c>
    </row>
    <row r="39" spans="1:74" s="28" customFormat="1" ht="15" customHeight="1">
      <c r="A39" s="399">
        <v>1</v>
      </c>
      <c r="B39" s="400" t="str">
        <f>VLOOKUP(Ruimtestaat[[#This Row],[Code]],Locaties[[Code]:[Locatie]],2,FALSE)</f>
        <v>Jansstraat en Janskerk</v>
      </c>
      <c r="C39" s="400" t="str">
        <f>VLOOKUP(Ruimtestaat[[#This Row],[Code]],Locaties[[#All],[Code]:[Adres]],4,FALSE)</f>
        <v>Jansstraat 40</v>
      </c>
      <c r="D39" s="400" t="str">
        <f>VLOOKUP(Ruimtestaat[[#This Row],[Code]],Locaties[[#All],[Code]:[Postcode]],5,FALSE)</f>
        <v>2011 RX</v>
      </c>
      <c r="E39" s="400" t="str">
        <f>VLOOKUP(Ruimtestaat[[#This Row],[Code]],Locaties[#All],6,FALSE)</f>
        <v>Haarlem</v>
      </c>
      <c r="F39" s="399" t="s">
        <v>1650</v>
      </c>
      <c r="G39" s="399" t="s">
        <v>1645</v>
      </c>
      <c r="H39" s="401"/>
      <c r="I39" s="402" t="s">
        <v>1641</v>
      </c>
      <c r="J39" s="336">
        <v>10</v>
      </c>
      <c r="K39" s="414" t="str">
        <f>VLOOKUP(Ruimtestaat[[#This Row],[Ruimte code]],Ruimtegroepen[[#All],[Code]:[Ruimte omschrijving]],2,FALSE)</f>
        <v>Trappenhuizen/lift</v>
      </c>
      <c r="L39" s="399" t="s">
        <v>1313</v>
      </c>
      <c r="M39" s="402" t="s">
        <v>249</v>
      </c>
      <c r="N39" s="404">
        <v>10.8</v>
      </c>
      <c r="O39" s="399"/>
      <c r="P39" s="405" t="str">
        <f>VLOOKUP(Ruimtestaat[[#This Row],[Ruimte code]],Ruimtegroepen[],4,FALSE)</f>
        <v>Ve</v>
      </c>
      <c r="Q39" s="399">
        <v>51</v>
      </c>
      <c r="R39" s="399" t="s">
        <v>2</v>
      </c>
      <c r="S39" s="399">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 s="399">
        <f>IF(S39&gt;0,VLOOKUP($J39,Ruimtegroepen[],3,FALSE)*VLOOKUP($L39,Vloersoorten[],3,FALSE)*VLOOKUP($R39,Frequenties[],3,FALSE)*VLOOKUP($A39,Locaties[],3,FALSE),0)</f>
        <v>0</v>
      </c>
      <c r="U39" s="399">
        <f>Ruimtestaat[[#This Row],[Uitvoeringen werkdagen]]*Ruimtestaat[[#This Row],[Oppervlak (netto)]]</f>
        <v>2754</v>
      </c>
      <c r="V39" s="406">
        <f>IF(T39&gt;0,Ruimtestaat[[#This Row],[Prest. (m2 /jaar) werkdagen]]/Ruimtestaat[[#This Row],[Norm (m2/uur) werkdagen]],0)</f>
        <v>0</v>
      </c>
      <c r="W39" s="407">
        <f>Ruimtestaat[[#This Row],[uren / jaar werkdagen]]*Tariefsopbouw!$E$35</f>
        <v>0</v>
      </c>
      <c r="X39" s="399"/>
      <c r="Y39" s="399">
        <f>IF(Ruimtestaat[[#This Row],[Frequentie weekend]]&gt;0,VALUE(LEFT(X39,1))*Q39,0)</f>
        <v>0</v>
      </c>
      <c r="Z39" s="408">
        <f>IF($Y39&gt;0,VLOOKUP($J39,Ruimtegroepen[],3,FALSE)*VLOOKUP($L39,Vloersoorten[],3,FALSE)*VLOOKUP($X39,Frequenties[],3,FALSE)*VLOOKUP(Ruimtestaat[[#This Row],[Code]],Locaties[],3,FALSE),0)</f>
        <v>0</v>
      </c>
      <c r="AA39" s="408">
        <f>Ruimtestaat[[#This Row],[Uitvoeringen weekend]]*Ruimtestaat[[#This Row],[Oppervlak (netto)]]</f>
        <v>0</v>
      </c>
      <c r="AB39" s="408">
        <f>IF(Z39&gt;0,Ruimtestaat[[#This Row],[Prest. (m2 /jaar) weekend]]/Ruimtestaat[[#This Row],[Norm (m2/uur) weekend]],0)</f>
        <v>0</v>
      </c>
      <c r="AC39" s="407">
        <f>Ruimtestaat[[#This Row],[uren / jaar weekend]]*Tariefsopbouw!$D$40</f>
        <v>0</v>
      </c>
      <c r="AD39" s="406">
        <f>Ruimtestaat[[#This Row],[Prest. (m2 /jaar) weekend]]+Ruimtestaat[[#This Row],[Prest. (m2 /jaar) werkdagen]]</f>
        <v>2754</v>
      </c>
      <c r="AE39" s="406">
        <f>Ruimtestaat[[#This Row],[uren / jaar weekend]]+Ruimtestaat[[#This Row],[uren / jaar werkdagen]]</f>
        <v>0</v>
      </c>
      <c r="AF39" s="409">
        <f>Ruimtestaat[[#This Row],[kosten / jaar weekend]]+Ruimtestaat[[#This Row],[kosten / jaar werkdagen]]</f>
        <v>0</v>
      </c>
      <c r="AG39" s="409"/>
      <c r="AH39" s="410" t="str">
        <f>IF(Ruimtestaat[[#This Row],[Frequentie werkdagen]]="","",_xlfn.CONCAT(Ruimtestaat[[#This Row],[Ruimte code]],"-",Ruimtestaat[[#This Row],[Frequentie werkdagen]]," ",Ruimtestaat[[#This Row],[Vloer code]]))</f>
        <v>10-5w H</v>
      </c>
      <c r="AI39" s="411" t="str">
        <f>_xlfn.IFNA(VLOOKUP($AH39,Programma!$F$3:$G$1101,2,0),"")</f>
        <v>_</v>
      </c>
      <c r="AJ39" s="411" t="str">
        <f>_xlfn.IFNA(VLOOKUP($AH39,Programma!$F$3:$H$1101,3,0),"")</f>
        <v>_</v>
      </c>
      <c r="AK39" s="411" t="str">
        <f>_xlfn.IFNA(VLOOKUP($AH39,Programma!$F$3:$I$1101,4,0),"")</f>
        <v>5w</v>
      </c>
      <c r="AL39" s="411" t="str">
        <f>_xlfn.IFNA(VLOOKUP($AH39,Programma!$F$3:$J$1101,5,0),"")</f>
        <v>_</v>
      </c>
      <c r="AM39" s="411" t="str">
        <f>_xlfn.IFNA(VLOOKUP($AH39,Programma!$F$3:$K$1101,6,0),"")</f>
        <v>4j</v>
      </c>
      <c r="AN39" s="411" t="str">
        <f>_xlfn.IFNA(VLOOKUP($AH39,Programma!$F$3:$L$1101,7,0),"")</f>
        <v>_</v>
      </c>
      <c r="AO39" s="411" t="str">
        <f>_xlfn.IFNA(VLOOKUP($AH39,Programma!$F$3:$M$1101,8,0),"")</f>
        <v>_</v>
      </c>
      <c r="AP39" s="411" t="str">
        <f>_xlfn.IFNA(VLOOKUP($AH39,Programma!$F$3:$N$1101,9,0),"")</f>
        <v>_</v>
      </c>
      <c r="AQ39" s="411" t="str">
        <f>_xlfn.IFNA(VLOOKUP($AH39,Programma!$F$3:$O$1101,10,0),"")</f>
        <v>5w</v>
      </c>
      <c r="AR39" s="411" t="str">
        <f>_xlfn.IFNA(VLOOKUP($AH39,Programma!$F$3:$P$1101,11,0),"")</f>
        <v>5w</v>
      </c>
      <c r="AS39" s="411" t="str">
        <f>_xlfn.IFNA(VLOOKUP($AH39,Programma!$F$3:$Q$1101,12,0),"")</f>
        <v>1w</v>
      </c>
      <c r="AT39" s="411" t="str">
        <f>_xlfn.IFNA(VLOOKUP($AH39,Programma!$F$3:$R$1101,13,0),"")</f>
        <v>1w</v>
      </c>
      <c r="AU39" s="411" t="str">
        <f>_xlfn.IFNA(VLOOKUP($AH39,Programma!$F$3:$S$1101,14,0),"")</f>
        <v>1m</v>
      </c>
      <c r="AV39" s="411" t="str">
        <f>_xlfn.IFNA(VLOOKUP($AH39,Programma!$F$3:$T$1101,15,0),"")</f>
        <v>2j</v>
      </c>
      <c r="AW39" s="411" t="str">
        <f>_xlfn.IFNA(VLOOKUP($AH39,Programma!$F$3:$U$1101,16,0),"")</f>
        <v>1j</v>
      </c>
      <c r="AX39" s="411" t="str">
        <f>_xlfn.IFNA(VLOOKUP($AH39,Programma!$F$3:$V$1101,17,0),"")</f>
        <v>_</v>
      </c>
      <c r="AY39" s="411" t="str">
        <f>_xlfn.IFNA(VLOOKUP($AH39,Programma!$F$3:$W$1101,18,0),"")</f>
        <v>_</v>
      </c>
      <c r="AZ39" s="411" t="str">
        <f>_xlfn.IFNA(VLOOKUP($AH39,Programma!$F$3:$X$1101,19,0),"")</f>
        <v>_</v>
      </c>
      <c r="BA39" s="411" t="str">
        <f>_xlfn.IFNA(VLOOKUP($AH39,Programma!$F$3:$Y$1101,20,0),"")</f>
        <v>_</v>
      </c>
      <c r="BB39" s="412"/>
      <c r="BC39" s="410" t="str">
        <f>IF(Ruimtestaat[[#This Row],[Frequentie weekend]]="","",_xlfn.CONCAT(Ruimtestaat[[#This Row],[Ruimte code]],"-",Ruimtestaat[[#This Row],[Frequentie weekend]]," ",Ruimtestaat[[#This Row],[Vloer code]]))</f>
        <v/>
      </c>
      <c r="BD39" s="411" t="str">
        <f>_xlfn.IFNA(VLOOKUP($BC39,Programma!$F$3:$G$1101,2,0),"")</f>
        <v/>
      </c>
      <c r="BE39" s="411" t="str">
        <f>_xlfn.IFNA(VLOOKUP($BC39,Programma!$F$3:$H$1101,3,0),"")</f>
        <v/>
      </c>
      <c r="BF39" s="411" t="str">
        <f>_xlfn.IFNA(VLOOKUP($BC39,Programma!$F$3:$I$1101,4,0),"")</f>
        <v/>
      </c>
      <c r="BG39" s="411" t="str">
        <f>_xlfn.IFNA(VLOOKUP($BC39,Programma!$F$3:$J$1101,5,0),"")</f>
        <v/>
      </c>
      <c r="BH39" s="411" t="str">
        <f>_xlfn.IFNA(VLOOKUP($BC39,Programma!$F$3:$K$1101,6,0),"")</f>
        <v/>
      </c>
      <c r="BI39" s="411" t="str">
        <f>_xlfn.IFNA(VLOOKUP($BC39,Programma!$F$3:$L$1101,7,0),"")</f>
        <v/>
      </c>
      <c r="BJ39" s="411" t="str">
        <f>_xlfn.IFNA(VLOOKUP($BC39,Programma!$F$3:$M$1101,8,0),"")</f>
        <v/>
      </c>
      <c r="BK39" s="411" t="str">
        <f>_xlfn.IFNA(VLOOKUP($BC39,Programma!$F$3:$N$1101,9,0),"")</f>
        <v/>
      </c>
      <c r="BL39" s="411" t="str">
        <f>_xlfn.IFNA(VLOOKUP($BC39,Programma!$F$3:$O$1101,10,0),"")</f>
        <v/>
      </c>
      <c r="BM39" s="411" t="str">
        <f>_xlfn.IFNA(VLOOKUP($BC39,Programma!$F$3:$P$1101,11,0),"")</f>
        <v/>
      </c>
      <c r="BN39" s="411" t="str">
        <f>_xlfn.IFNA(VLOOKUP($BC39,Programma!$F$3:$Q$1101,12,0),"")</f>
        <v/>
      </c>
      <c r="BO39" s="411" t="str">
        <f>_xlfn.IFNA(VLOOKUP($BC39,Programma!$F$3:$R$1101,13,0),"")</f>
        <v/>
      </c>
      <c r="BP39" s="411" t="str">
        <f>_xlfn.IFNA(VLOOKUP($BC39,Programma!$F$3:$S$1101,14,0),"")</f>
        <v/>
      </c>
      <c r="BQ39" s="411" t="str">
        <f>_xlfn.IFNA(VLOOKUP($BC39,Programma!$F$3:$T$1101,15,0),"")</f>
        <v/>
      </c>
      <c r="BR39" s="411" t="str">
        <f>_xlfn.IFNA(VLOOKUP($BC39,Programma!$F$3:$U$1101,16,0),"")</f>
        <v/>
      </c>
      <c r="BS39" s="411" t="str">
        <f>_xlfn.IFNA(VLOOKUP($BC39,Programma!$F$3:$V$1101,17,0),"")</f>
        <v/>
      </c>
      <c r="BT39" s="411" t="str">
        <f>_xlfn.IFNA(VLOOKUP($BC39,Programma!$F$3:$W$1101,18,0),"")</f>
        <v/>
      </c>
      <c r="BU39" s="411" t="str">
        <f>_xlfn.IFNA(VLOOKUP($BC39,Programma!$F$3:$X$1101,19,0),"")</f>
        <v/>
      </c>
      <c r="BV39" s="411" t="str">
        <f>_xlfn.IFNA(VLOOKUP($BC39,Programma!$F$3:$Y$1101,20,0),"")</f>
        <v/>
      </c>
    </row>
    <row r="40" spans="1:74" s="28" customFormat="1" ht="15" customHeight="1">
      <c r="A40" s="399">
        <v>1</v>
      </c>
      <c r="B40" s="400" t="str">
        <f>VLOOKUP(Ruimtestaat[[#This Row],[Code]],Locaties[[Code]:[Locatie]],2,FALSE)</f>
        <v>Jansstraat en Janskerk</v>
      </c>
      <c r="C40" s="400" t="str">
        <f>VLOOKUP(Ruimtestaat[[#This Row],[Code]],Locaties[[#All],[Code]:[Adres]],4,FALSE)</f>
        <v>Jansstraat 40</v>
      </c>
      <c r="D40" s="400" t="str">
        <f>VLOOKUP(Ruimtestaat[[#This Row],[Code]],Locaties[[#All],[Code]:[Postcode]],5,FALSE)</f>
        <v>2011 RX</v>
      </c>
      <c r="E40" s="400" t="str">
        <f>VLOOKUP(Ruimtestaat[[#This Row],[Code]],Locaties[#All],6,FALSE)</f>
        <v>Haarlem</v>
      </c>
      <c r="F40" s="399" t="s">
        <v>1653</v>
      </c>
      <c r="G40" s="399" t="s">
        <v>1645</v>
      </c>
      <c r="H40" s="401"/>
      <c r="I40" s="402" t="s">
        <v>1641</v>
      </c>
      <c r="J40" s="336">
        <v>10</v>
      </c>
      <c r="K40" s="414" t="str">
        <f>VLOOKUP(Ruimtestaat[[#This Row],[Ruimte code]],Ruimtegroepen[[#All],[Code]:[Ruimte omschrijving]],2,FALSE)</f>
        <v>Trappenhuizen/lift</v>
      </c>
      <c r="L40" s="399" t="s">
        <v>1313</v>
      </c>
      <c r="M40" s="402" t="s">
        <v>249</v>
      </c>
      <c r="N40" s="404">
        <v>5.8</v>
      </c>
      <c r="O40" s="413"/>
      <c r="P40" s="405" t="str">
        <f>VLOOKUP(Ruimtestaat[[#This Row],[Ruimte code]],Ruimtegroepen[],4,FALSE)</f>
        <v>Ve</v>
      </c>
      <c r="Q40" s="399">
        <v>51</v>
      </c>
      <c r="R40" s="399" t="s">
        <v>2</v>
      </c>
      <c r="S40" s="399">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 s="399">
        <f>IF(S40&gt;0,VLOOKUP($J40,Ruimtegroepen[],3,FALSE)*VLOOKUP($L40,Vloersoorten[],3,FALSE)*VLOOKUP($R40,Frequenties[],3,FALSE)*VLOOKUP($A40,Locaties[],3,FALSE),0)</f>
        <v>0</v>
      </c>
      <c r="U40" s="399">
        <f>Ruimtestaat[[#This Row],[Uitvoeringen werkdagen]]*Ruimtestaat[[#This Row],[Oppervlak (netto)]]</f>
        <v>1479</v>
      </c>
      <c r="V40" s="406">
        <f>IF(T40&gt;0,Ruimtestaat[[#This Row],[Prest. (m2 /jaar) werkdagen]]/Ruimtestaat[[#This Row],[Norm (m2/uur) werkdagen]],0)</f>
        <v>0</v>
      </c>
      <c r="W40" s="407">
        <f>Ruimtestaat[[#This Row],[uren / jaar werkdagen]]*Tariefsopbouw!$E$35</f>
        <v>0</v>
      </c>
      <c r="X40" s="399"/>
      <c r="Y40" s="399">
        <f>IF(Ruimtestaat[[#This Row],[Frequentie weekend]]&gt;0,VALUE(LEFT(X40,1))*Q40,0)</f>
        <v>0</v>
      </c>
      <c r="Z40" s="408">
        <f>IF($Y40&gt;0,VLOOKUP($J40,Ruimtegroepen[],3,FALSE)*VLOOKUP($L40,Vloersoorten[],3,FALSE)*VLOOKUP($X40,Frequenties[],3,FALSE)*VLOOKUP(Ruimtestaat[[#This Row],[Code]],Locaties[],3,FALSE),0)</f>
        <v>0</v>
      </c>
      <c r="AA40" s="408">
        <f>Ruimtestaat[[#This Row],[Uitvoeringen weekend]]*Ruimtestaat[[#This Row],[Oppervlak (netto)]]</f>
        <v>0</v>
      </c>
      <c r="AB40" s="408">
        <f>IF(Z40&gt;0,Ruimtestaat[[#This Row],[Prest. (m2 /jaar) weekend]]/Ruimtestaat[[#This Row],[Norm (m2/uur) weekend]],0)</f>
        <v>0</v>
      </c>
      <c r="AC40" s="407">
        <f>Ruimtestaat[[#This Row],[uren / jaar weekend]]*Tariefsopbouw!$D$40</f>
        <v>0</v>
      </c>
      <c r="AD40" s="406">
        <f>Ruimtestaat[[#This Row],[Prest. (m2 /jaar) weekend]]+Ruimtestaat[[#This Row],[Prest. (m2 /jaar) werkdagen]]</f>
        <v>1479</v>
      </c>
      <c r="AE40" s="406">
        <f>Ruimtestaat[[#This Row],[uren / jaar weekend]]+Ruimtestaat[[#This Row],[uren / jaar werkdagen]]</f>
        <v>0</v>
      </c>
      <c r="AF40" s="409">
        <f>Ruimtestaat[[#This Row],[kosten / jaar weekend]]+Ruimtestaat[[#This Row],[kosten / jaar werkdagen]]</f>
        <v>0</v>
      </c>
      <c r="AG40" s="409"/>
      <c r="AH40" s="410" t="str">
        <f>IF(Ruimtestaat[[#This Row],[Frequentie werkdagen]]="","",_xlfn.CONCAT(Ruimtestaat[[#This Row],[Ruimte code]],"-",Ruimtestaat[[#This Row],[Frequentie werkdagen]]," ",Ruimtestaat[[#This Row],[Vloer code]]))</f>
        <v>10-5w H</v>
      </c>
      <c r="AI40" s="411" t="str">
        <f>_xlfn.IFNA(VLOOKUP($AH40,Programma!$F$3:$G$1101,2,0),"")</f>
        <v>_</v>
      </c>
      <c r="AJ40" s="411" t="str">
        <f>_xlfn.IFNA(VLOOKUP($AH40,Programma!$F$3:$H$1101,3,0),"")</f>
        <v>_</v>
      </c>
      <c r="AK40" s="411" t="str">
        <f>_xlfn.IFNA(VLOOKUP($AH40,Programma!$F$3:$I$1101,4,0),"")</f>
        <v>5w</v>
      </c>
      <c r="AL40" s="411" t="str">
        <f>_xlfn.IFNA(VLOOKUP($AH40,Programma!$F$3:$J$1101,5,0),"")</f>
        <v>_</v>
      </c>
      <c r="AM40" s="411" t="str">
        <f>_xlfn.IFNA(VLOOKUP($AH40,Programma!$F$3:$K$1101,6,0),"")</f>
        <v>4j</v>
      </c>
      <c r="AN40" s="411" t="str">
        <f>_xlfn.IFNA(VLOOKUP($AH40,Programma!$F$3:$L$1101,7,0),"")</f>
        <v>_</v>
      </c>
      <c r="AO40" s="411" t="str">
        <f>_xlfn.IFNA(VLOOKUP($AH40,Programma!$F$3:$M$1101,8,0),"")</f>
        <v>_</v>
      </c>
      <c r="AP40" s="411" t="str">
        <f>_xlfn.IFNA(VLOOKUP($AH40,Programma!$F$3:$N$1101,9,0),"")</f>
        <v>_</v>
      </c>
      <c r="AQ40" s="411" t="str">
        <f>_xlfn.IFNA(VLOOKUP($AH40,Programma!$F$3:$O$1101,10,0),"")</f>
        <v>5w</v>
      </c>
      <c r="AR40" s="411" t="str">
        <f>_xlfn.IFNA(VLOOKUP($AH40,Programma!$F$3:$P$1101,11,0),"")</f>
        <v>5w</v>
      </c>
      <c r="AS40" s="411" t="str">
        <f>_xlfn.IFNA(VLOOKUP($AH40,Programma!$F$3:$Q$1101,12,0),"")</f>
        <v>1w</v>
      </c>
      <c r="AT40" s="411" t="str">
        <f>_xlfn.IFNA(VLOOKUP($AH40,Programma!$F$3:$R$1101,13,0),"")</f>
        <v>1w</v>
      </c>
      <c r="AU40" s="411" t="str">
        <f>_xlfn.IFNA(VLOOKUP($AH40,Programma!$F$3:$S$1101,14,0),"")</f>
        <v>1m</v>
      </c>
      <c r="AV40" s="411" t="str">
        <f>_xlfn.IFNA(VLOOKUP($AH40,Programma!$F$3:$T$1101,15,0),"")</f>
        <v>2j</v>
      </c>
      <c r="AW40" s="411" t="str">
        <f>_xlfn.IFNA(VLOOKUP($AH40,Programma!$F$3:$U$1101,16,0),"")</f>
        <v>1j</v>
      </c>
      <c r="AX40" s="411" t="str">
        <f>_xlfn.IFNA(VLOOKUP($AH40,Programma!$F$3:$V$1101,17,0),"")</f>
        <v>_</v>
      </c>
      <c r="AY40" s="411" t="str">
        <f>_xlfn.IFNA(VLOOKUP($AH40,Programma!$F$3:$W$1101,18,0),"")</f>
        <v>_</v>
      </c>
      <c r="AZ40" s="411" t="str">
        <f>_xlfn.IFNA(VLOOKUP($AH40,Programma!$F$3:$X$1101,19,0),"")</f>
        <v>_</v>
      </c>
      <c r="BA40" s="411" t="str">
        <f>_xlfn.IFNA(VLOOKUP($AH40,Programma!$F$3:$Y$1101,20,0),"")</f>
        <v>_</v>
      </c>
      <c r="BB40" s="412"/>
      <c r="BC40" s="410" t="str">
        <f>IF(Ruimtestaat[[#This Row],[Frequentie weekend]]="","",_xlfn.CONCAT(Ruimtestaat[[#This Row],[Ruimte code]],"-",Ruimtestaat[[#This Row],[Frequentie weekend]]," ",Ruimtestaat[[#This Row],[Vloer code]]))</f>
        <v/>
      </c>
      <c r="BD40" s="411" t="str">
        <f>_xlfn.IFNA(VLOOKUP($BC40,Programma!$F$3:$G$1101,2,0),"")</f>
        <v/>
      </c>
      <c r="BE40" s="411" t="str">
        <f>_xlfn.IFNA(VLOOKUP($BC40,Programma!$F$3:$H$1101,3,0),"")</f>
        <v/>
      </c>
      <c r="BF40" s="411" t="str">
        <f>_xlfn.IFNA(VLOOKUP($BC40,Programma!$F$3:$I$1101,4,0),"")</f>
        <v/>
      </c>
      <c r="BG40" s="411" t="str">
        <f>_xlfn.IFNA(VLOOKUP($BC40,Programma!$F$3:$J$1101,5,0),"")</f>
        <v/>
      </c>
      <c r="BH40" s="411" t="str">
        <f>_xlfn.IFNA(VLOOKUP($BC40,Programma!$F$3:$K$1101,6,0),"")</f>
        <v/>
      </c>
      <c r="BI40" s="411" t="str">
        <f>_xlfn.IFNA(VLOOKUP($BC40,Programma!$F$3:$L$1101,7,0),"")</f>
        <v/>
      </c>
      <c r="BJ40" s="411" t="str">
        <f>_xlfn.IFNA(VLOOKUP($BC40,Programma!$F$3:$M$1101,8,0),"")</f>
        <v/>
      </c>
      <c r="BK40" s="411" t="str">
        <f>_xlfn.IFNA(VLOOKUP($BC40,Programma!$F$3:$N$1101,9,0),"")</f>
        <v/>
      </c>
      <c r="BL40" s="411" t="str">
        <f>_xlfn.IFNA(VLOOKUP($BC40,Programma!$F$3:$O$1101,10,0),"")</f>
        <v/>
      </c>
      <c r="BM40" s="411" t="str">
        <f>_xlfn.IFNA(VLOOKUP($BC40,Programma!$F$3:$P$1101,11,0),"")</f>
        <v/>
      </c>
      <c r="BN40" s="411" t="str">
        <f>_xlfn.IFNA(VLOOKUP($BC40,Programma!$F$3:$Q$1101,12,0),"")</f>
        <v/>
      </c>
      <c r="BO40" s="411" t="str">
        <f>_xlfn.IFNA(VLOOKUP($BC40,Programma!$F$3:$R$1101,13,0),"")</f>
        <v/>
      </c>
      <c r="BP40" s="411" t="str">
        <f>_xlfn.IFNA(VLOOKUP($BC40,Programma!$F$3:$S$1101,14,0),"")</f>
        <v/>
      </c>
      <c r="BQ40" s="411" t="str">
        <f>_xlfn.IFNA(VLOOKUP($BC40,Programma!$F$3:$T$1101,15,0),"")</f>
        <v/>
      </c>
      <c r="BR40" s="411" t="str">
        <f>_xlfn.IFNA(VLOOKUP($BC40,Programma!$F$3:$U$1101,16,0),"")</f>
        <v/>
      </c>
      <c r="BS40" s="411" t="str">
        <f>_xlfn.IFNA(VLOOKUP($BC40,Programma!$F$3:$V$1101,17,0),"")</f>
        <v/>
      </c>
      <c r="BT40" s="411" t="str">
        <f>_xlfn.IFNA(VLOOKUP($BC40,Programma!$F$3:$W$1101,18,0),"")</f>
        <v/>
      </c>
      <c r="BU40" s="411" t="str">
        <f>_xlfn.IFNA(VLOOKUP($BC40,Programma!$F$3:$X$1101,19,0),"")</f>
        <v/>
      </c>
      <c r="BV40" s="411" t="str">
        <f>_xlfn.IFNA(VLOOKUP($BC40,Programma!$F$3:$Y$1101,20,0),"")</f>
        <v/>
      </c>
    </row>
    <row r="41" spans="1:74" s="28" customFormat="1" ht="15" customHeight="1">
      <c r="A41" s="399">
        <v>1</v>
      </c>
      <c r="B41" s="400" t="str">
        <f>VLOOKUP(Ruimtestaat[[#This Row],[Code]],Locaties[[Code]:[Locatie]],2,FALSE)</f>
        <v>Jansstraat en Janskerk</v>
      </c>
      <c r="C41" s="400" t="str">
        <f>VLOOKUP(Ruimtestaat[[#This Row],[Code]],Locaties[[#All],[Code]:[Adres]],4,FALSE)</f>
        <v>Jansstraat 40</v>
      </c>
      <c r="D41" s="400" t="str">
        <f>VLOOKUP(Ruimtestaat[[#This Row],[Code]],Locaties[[#All],[Code]:[Postcode]],5,FALSE)</f>
        <v>2011 RX</v>
      </c>
      <c r="E41" s="400" t="str">
        <f>VLOOKUP(Ruimtestaat[[#This Row],[Code]],Locaties[#All],6,FALSE)</f>
        <v>Haarlem</v>
      </c>
      <c r="F41" s="399" t="s">
        <v>1653</v>
      </c>
      <c r="G41" s="399" t="s">
        <v>1645</v>
      </c>
      <c r="H41" s="401"/>
      <c r="I41" s="402" t="s">
        <v>1654</v>
      </c>
      <c r="J41" s="336">
        <v>3</v>
      </c>
      <c r="K41" s="414" t="str">
        <f>VLOOKUP(Ruimtestaat[[#This Row],[Ruimte code]],Ruimtegroepen[[#All],[Code]:[Ruimte omschrijving]],2,FALSE)</f>
        <v>Reproruimte</v>
      </c>
      <c r="L41" s="399" t="s">
        <v>100</v>
      </c>
      <c r="M41" s="402" t="s">
        <v>1647</v>
      </c>
      <c r="N41" s="404">
        <v>37.799999999999997</v>
      </c>
      <c r="O41" s="413"/>
      <c r="P41" s="405" t="str">
        <f>VLOOKUP(Ruimtestaat[[#This Row],[Ruimte code]],Ruimtegroepen[],4,FALSE)</f>
        <v>Ve</v>
      </c>
      <c r="Q41" s="399">
        <v>51</v>
      </c>
      <c r="R41" s="399" t="s">
        <v>18</v>
      </c>
      <c r="S41" s="399">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41" s="399">
        <f>IF(S41&gt;0,VLOOKUP($J41,Ruimtegroepen[],3,FALSE)*VLOOKUP($L41,Vloersoorten[],3,FALSE)*VLOOKUP($R41,Frequenties[],3,FALSE)*VLOOKUP($A41,Locaties[],3,FALSE),0)</f>
        <v>0</v>
      </c>
      <c r="U41" s="399">
        <f>Ruimtestaat[[#This Row],[Uitvoeringen werkdagen]]*Ruimtestaat[[#This Row],[Oppervlak (netto)]]</f>
        <v>5783.4</v>
      </c>
      <c r="V41" s="406">
        <f>IF(T41&gt;0,Ruimtestaat[[#This Row],[Prest. (m2 /jaar) werkdagen]]/Ruimtestaat[[#This Row],[Norm (m2/uur) werkdagen]],0)</f>
        <v>0</v>
      </c>
      <c r="W41" s="407">
        <f>Ruimtestaat[[#This Row],[uren / jaar werkdagen]]*Tariefsopbouw!$E$35</f>
        <v>0</v>
      </c>
      <c r="X41" s="399"/>
      <c r="Y41" s="399">
        <f>IF(Ruimtestaat[[#This Row],[Frequentie weekend]]&gt;0,VALUE(LEFT(X41,1))*Q41,0)</f>
        <v>0</v>
      </c>
      <c r="Z41" s="408">
        <f>IF($Y41&gt;0,VLOOKUP($J41,Ruimtegroepen[],3,FALSE)*VLOOKUP($L41,Vloersoorten[],3,FALSE)*VLOOKUP($X41,Frequenties[],3,FALSE)*VLOOKUP(Ruimtestaat[[#This Row],[Code]],Locaties[],3,FALSE),0)</f>
        <v>0</v>
      </c>
      <c r="AA41" s="408">
        <f>Ruimtestaat[[#This Row],[Uitvoeringen weekend]]*Ruimtestaat[[#This Row],[Oppervlak (netto)]]</f>
        <v>0</v>
      </c>
      <c r="AB41" s="408">
        <f>IF(Z41&gt;0,Ruimtestaat[[#This Row],[Prest. (m2 /jaar) weekend]]/Ruimtestaat[[#This Row],[Norm (m2/uur) weekend]],0)</f>
        <v>0</v>
      </c>
      <c r="AC41" s="407">
        <f>Ruimtestaat[[#This Row],[uren / jaar weekend]]*Tariefsopbouw!$D$40</f>
        <v>0</v>
      </c>
      <c r="AD41" s="406">
        <f>Ruimtestaat[[#This Row],[Prest. (m2 /jaar) weekend]]+Ruimtestaat[[#This Row],[Prest. (m2 /jaar) werkdagen]]</f>
        <v>5783.4</v>
      </c>
      <c r="AE41" s="406">
        <f>Ruimtestaat[[#This Row],[uren / jaar weekend]]+Ruimtestaat[[#This Row],[uren / jaar werkdagen]]</f>
        <v>0</v>
      </c>
      <c r="AF41" s="409">
        <f>Ruimtestaat[[#This Row],[kosten / jaar weekend]]+Ruimtestaat[[#This Row],[kosten / jaar werkdagen]]</f>
        <v>0</v>
      </c>
      <c r="AG41" s="409"/>
      <c r="AH41" s="410" t="str">
        <f>IF(Ruimtestaat[[#This Row],[Frequentie werkdagen]]="","",_xlfn.CONCAT(Ruimtestaat[[#This Row],[Ruimte code]],"-",Ruimtestaat[[#This Row],[Frequentie werkdagen]]," ",Ruimtestaat[[#This Row],[Vloer code]]))</f>
        <v>3-3w L</v>
      </c>
      <c r="AI41" s="411" t="str">
        <f>_xlfn.IFNA(VLOOKUP($AH41,Programma!$F$3:$G$1101,2,0),"")</f>
        <v>_</v>
      </c>
      <c r="AJ41" s="411" t="str">
        <f>_xlfn.IFNA(VLOOKUP($AH41,Programma!$F$3:$H$1101,3,0),"")</f>
        <v>_</v>
      </c>
      <c r="AK41" s="411" t="str">
        <f>_xlfn.IFNA(VLOOKUP($AH41,Programma!$F$3:$I$1101,4,0),"")</f>
        <v>2w</v>
      </c>
      <c r="AL41" s="411" t="str">
        <f>_xlfn.IFNA(VLOOKUP($AH41,Programma!$F$3:$J$1101,5,0),"")</f>
        <v>1w</v>
      </c>
      <c r="AM41" s="411" t="str">
        <f>_xlfn.IFNA(VLOOKUP($AH41,Programma!$F$3:$K$1101,6,0),"")</f>
        <v>_</v>
      </c>
      <c r="AN41" s="411" t="str">
        <f>_xlfn.IFNA(VLOOKUP($AH41,Programma!$F$3:$L$1101,7,0),"")</f>
        <v>_</v>
      </c>
      <c r="AO41" s="411" t="str">
        <f>_xlfn.IFNA(VLOOKUP($AH41,Programma!$F$3:$M$1101,8,0),"")</f>
        <v>_</v>
      </c>
      <c r="AP41" s="411" t="str">
        <f>_xlfn.IFNA(VLOOKUP($AH41,Programma!$F$3:$N$1101,9,0),"")</f>
        <v>_</v>
      </c>
      <c r="AQ41" s="411" t="str">
        <f>_xlfn.IFNA(VLOOKUP($AH41,Programma!$F$3:$O$1101,10,0),"")</f>
        <v>3w</v>
      </c>
      <c r="AR41" s="411" t="str">
        <f>_xlfn.IFNA(VLOOKUP($AH41,Programma!$F$3:$P$1101,11,0),"")</f>
        <v>3w</v>
      </c>
      <c r="AS41" s="411" t="str">
        <f>_xlfn.IFNA(VLOOKUP($AH41,Programma!$F$3:$Q$1101,12,0),"")</f>
        <v>1w</v>
      </c>
      <c r="AT41" s="411" t="str">
        <f>_xlfn.IFNA(VLOOKUP($AH41,Programma!$F$3:$R$1101,13,0),"")</f>
        <v>1w</v>
      </c>
      <c r="AU41" s="411" t="str">
        <f>_xlfn.IFNA(VLOOKUP($AH41,Programma!$F$3:$S$1101,14,0),"")</f>
        <v>1m</v>
      </c>
      <c r="AV41" s="411" t="str">
        <f>_xlfn.IFNA(VLOOKUP($AH41,Programma!$F$3:$T$1101,15,0),"")</f>
        <v>4j</v>
      </c>
      <c r="AW41" s="411" t="str">
        <f>_xlfn.IFNA(VLOOKUP($AH41,Programma!$F$3:$U$1101,16,0),"")</f>
        <v>1j</v>
      </c>
      <c r="AX41" s="411" t="str">
        <f>_xlfn.IFNA(VLOOKUP($AH41,Programma!$F$3:$V$1101,17,0),"")</f>
        <v>_</v>
      </c>
      <c r="AY41" s="411" t="str">
        <f>_xlfn.IFNA(VLOOKUP($AH41,Programma!$F$3:$W$1101,18,0),"")</f>
        <v>_</v>
      </c>
      <c r="AZ41" s="411" t="str">
        <f>_xlfn.IFNA(VLOOKUP($AH41,Programma!$F$3:$X$1101,19,0),"")</f>
        <v>_</v>
      </c>
      <c r="BA41" s="411" t="str">
        <f>_xlfn.IFNA(VLOOKUP($AH41,Programma!$F$3:$Y$1101,20,0),"")</f>
        <v>_</v>
      </c>
      <c r="BB41" s="412"/>
      <c r="BC41" s="410" t="str">
        <f>IF(Ruimtestaat[[#This Row],[Frequentie weekend]]="","",_xlfn.CONCAT(Ruimtestaat[[#This Row],[Ruimte code]],"-",Ruimtestaat[[#This Row],[Frequentie weekend]]," ",Ruimtestaat[[#This Row],[Vloer code]]))</f>
        <v/>
      </c>
      <c r="BD41" s="411" t="str">
        <f>_xlfn.IFNA(VLOOKUP($BC41,Programma!$F$3:$G$1101,2,0),"")</f>
        <v/>
      </c>
      <c r="BE41" s="411" t="str">
        <f>_xlfn.IFNA(VLOOKUP($BC41,Programma!$F$3:$H$1101,3,0),"")</f>
        <v/>
      </c>
      <c r="BF41" s="411" t="str">
        <f>_xlfn.IFNA(VLOOKUP($BC41,Programma!$F$3:$I$1101,4,0),"")</f>
        <v/>
      </c>
      <c r="BG41" s="411" t="str">
        <f>_xlfn.IFNA(VLOOKUP($BC41,Programma!$F$3:$J$1101,5,0),"")</f>
        <v/>
      </c>
      <c r="BH41" s="411" t="str">
        <f>_xlfn.IFNA(VLOOKUP($BC41,Programma!$F$3:$K$1101,6,0),"")</f>
        <v/>
      </c>
      <c r="BI41" s="411" t="str">
        <f>_xlfn.IFNA(VLOOKUP($BC41,Programma!$F$3:$L$1101,7,0),"")</f>
        <v/>
      </c>
      <c r="BJ41" s="411" t="str">
        <f>_xlfn.IFNA(VLOOKUP($BC41,Programma!$F$3:$M$1101,8,0),"")</f>
        <v/>
      </c>
      <c r="BK41" s="411" t="str">
        <f>_xlfn.IFNA(VLOOKUP($BC41,Programma!$F$3:$N$1101,9,0),"")</f>
        <v/>
      </c>
      <c r="BL41" s="411" t="str">
        <f>_xlfn.IFNA(VLOOKUP($BC41,Programma!$F$3:$O$1101,10,0),"")</f>
        <v/>
      </c>
      <c r="BM41" s="411" t="str">
        <f>_xlfn.IFNA(VLOOKUP($BC41,Programma!$F$3:$P$1101,11,0),"")</f>
        <v/>
      </c>
      <c r="BN41" s="411" t="str">
        <f>_xlfn.IFNA(VLOOKUP($BC41,Programma!$F$3:$Q$1101,12,0),"")</f>
        <v/>
      </c>
      <c r="BO41" s="411" t="str">
        <f>_xlfn.IFNA(VLOOKUP($BC41,Programma!$F$3:$R$1101,13,0),"")</f>
        <v/>
      </c>
      <c r="BP41" s="411" t="str">
        <f>_xlfn.IFNA(VLOOKUP($BC41,Programma!$F$3:$S$1101,14,0),"")</f>
        <v/>
      </c>
      <c r="BQ41" s="411" t="str">
        <f>_xlfn.IFNA(VLOOKUP($BC41,Programma!$F$3:$T$1101,15,0),"")</f>
        <v/>
      </c>
      <c r="BR41" s="411" t="str">
        <f>_xlfn.IFNA(VLOOKUP($BC41,Programma!$F$3:$U$1101,16,0),"")</f>
        <v/>
      </c>
      <c r="BS41" s="411" t="str">
        <f>_xlfn.IFNA(VLOOKUP($BC41,Programma!$F$3:$V$1101,17,0),"")</f>
        <v/>
      </c>
      <c r="BT41" s="411" t="str">
        <f>_xlfn.IFNA(VLOOKUP($BC41,Programma!$F$3:$W$1101,18,0),"")</f>
        <v/>
      </c>
      <c r="BU41" s="411" t="str">
        <f>_xlfn.IFNA(VLOOKUP($BC41,Programma!$F$3:$X$1101,19,0),"")</f>
        <v/>
      </c>
      <c r="BV41" s="411" t="str">
        <f>_xlfn.IFNA(VLOOKUP($BC41,Programma!$F$3:$Y$1101,20,0),"")</f>
        <v/>
      </c>
    </row>
    <row r="42" spans="1:74" s="28" customFormat="1" ht="15" customHeight="1">
      <c r="A42" s="399">
        <v>1</v>
      </c>
      <c r="B42" s="400" t="str">
        <f>VLOOKUP(Ruimtestaat[[#This Row],[Code]],Locaties[[Code]:[Locatie]],2,FALSE)</f>
        <v>Jansstraat en Janskerk</v>
      </c>
      <c r="C42" s="400" t="str">
        <f>VLOOKUP(Ruimtestaat[[#This Row],[Code]],Locaties[[#All],[Code]:[Adres]],4,FALSE)</f>
        <v>Jansstraat 40</v>
      </c>
      <c r="D42" s="400" t="str">
        <f>VLOOKUP(Ruimtestaat[[#This Row],[Code]],Locaties[[#All],[Code]:[Postcode]],5,FALSE)</f>
        <v>2011 RX</v>
      </c>
      <c r="E42" s="400" t="str">
        <f>VLOOKUP(Ruimtestaat[[#This Row],[Code]],Locaties[#All],6,FALSE)</f>
        <v>Haarlem</v>
      </c>
      <c r="F42" s="399"/>
      <c r="G42" s="399" t="s">
        <v>1655</v>
      </c>
      <c r="H42" s="401">
        <v>1</v>
      </c>
      <c r="I42" s="402" t="s">
        <v>1646</v>
      </c>
      <c r="J42" s="336">
        <v>2</v>
      </c>
      <c r="K42" s="414" t="str">
        <f>VLOOKUP(Ruimtestaat[[#This Row],[Ruimte code]],Ruimtegroepen[[#All],[Code]:[Ruimte omschrijving]],2,FALSE)</f>
        <v>Kantoren</v>
      </c>
      <c r="L42" s="399" t="s">
        <v>100</v>
      </c>
      <c r="M42" s="402" t="s">
        <v>1647</v>
      </c>
      <c r="N42" s="404">
        <v>30</v>
      </c>
      <c r="O42" s="399"/>
      <c r="P42" s="405" t="str">
        <f>VLOOKUP(Ruimtestaat[[#This Row],[Ruimte code]],Ruimtegroepen[],4,FALSE)</f>
        <v>Bu</v>
      </c>
      <c r="Q42" s="399">
        <v>51</v>
      </c>
      <c r="R42" s="399" t="s">
        <v>18</v>
      </c>
      <c r="S42" s="399">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42" s="399">
        <f>IF(S42&gt;0,VLOOKUP($J42,Ruimtegroepen[],3,FALSE)*VLOOKUP($L42,Vloersoorten[],3,FALSE)*VLOOKUP($R42,Frequenties[],3,FALSE)*VLOOKUP($A42,Locaties[],3,FALSE),0)</f>
        <v>0</v>
      </c>
      <c r="U42" s="399">
        <f>Ruimtestaat[[#This Row],[Uitvoeringen werkdagen]]*Ruimtestaat[[#This Row],[Oppervlak (netto)]]</f>
        <v>4590</v>
      </c>
      <c r="V42" s="406">
        <f>IF(T42&gt;0,Ruimtestaat[[#This Row],[Prest. (m2 /jaar) werkdagen]]/Ruimtestaat[[#This Row],[Norm (m2/uur) werkdagen]],0)</f>
        <v>0</v>
      </c>
      <c r="W42" s="407">
        <f>Ruimtestaat[[#This Row],[uren / jaar werkdagen]]*Tariefsopbouw!$E$35</f>
        <v>0</v>
      </c>
      <c r="X42" s="399"/>
      <c r="Y42" s="399">
        <f>IF(Ruimtestaat[[#This Row],[Frequentie weekend]]&gt;0,VALUE(LEFT(X42,1))*Q42,0)</f>
        <v>0</v>
      </c>
      <c r="Z42" s="408">
        <f>IF($Y42&gt;0,VLOOKUP($J42,Ruimtegroepen[],3,FALSE)*VLOOKUP($L42,Vloersoorten[],3,FALSE)*VLOOKUP($X42,Frequenties[],3,FALSE)*VLOOKUP(Ruimtestaat[[#This Row],[Code]],Locaties[],3,FALSE),0)</f>
        <v>0</v>
      </c>
      <c r="AA42" s="408">
        <f>Ruimtestaat[[#This Row],[Uitvoeringen weekend]]*Ruimtestaat[[#This Row],[Oppervlak (netto)]]</f>
        <v>0</v>
      </c>
      <c r="AB42" s="408">
        <f>IF(Z42&gt;0,Ruimtestaat[[#This Row],[Prest. (m2 /jaar) weekend]]/Ruimtestaat[[#This Row],[Norm (m2/uur) weekend]],0)</f>
        <v>0</v>
      </c>
      <c r="AC42" s="407">
        <f>Ruimtestaat[[#This Row],[uren / jaar weekend]]*Tariefsopbouw!$D$40</f>
        <v>0</v>
      </c>
      <c r="AD42" s="406">
        <f>Ruimtestaat[[#This Row],[Prest. (m2 /jaar) weekend]]+Ruimtestaat[[#This Row],[Prest. (m2 /jaar) werkdagen]]</f>
        <v>4590</v>
      </c>
      <c r="AE42" s="406">
        <f>Ruimtestaat[[#This Row],[uren / jaar weekend]]+Ruimtestaat[[#This Row],[uren / jaar werkdagen]]</f>
        <v>0</v>
      </c>
      <c r="AF42" s="409">
        <f>Ruimtestaat[[#This Row],[kosten / jaar weekend]]+Ruimtestaat[[#This Row],[kosten / jaar werkdagen]]</f>
        <v>0</v>
      </c>
      <c r="AG42" s="409"/>
      <c r="AH42" s="410" t="str">
        <f>IF(Ruimtestaat[[#This Row],[Frequentie werkdagen]]="","",_xlfn.CONCAT(Ruimtestaat[[#This Row],[Ruimte code]],"-",Ruimtestaat[[#This Row],[Frequentie werkdagen]]," ",Ruimtestaat[[#This Row],[Vloer code]]))</f>
        <v>2-3w L</v>
      </c>
      <c r="AI42" s="411" t="str">
        <f>_xlfn.IFNA(VLOOKUP($AH42,Programma!$F$3:$G$1101,2,0),"")</f>
        <v>_</v>
      </c>
      <c r="AJ42" s="411" t="str">
        <f>_xlfn.IFNA(VLOOKUP($AH42,Programma!$F$3:$H$1101,3,0),"")</f>
        <v>_</v>
      </c>
      <c r="AK42" s="411" t="str">
        <f>_xlfn.IFNA(VLOOKUP($AH42,Programma!$F$3:$I$1101,4,0),"")</f>
        <v>2w</v>
      </c>
      <c r="AL42" s="411" t="str">
        <f>_xlfn.IFNA(VLOOKUP($AH42,Programma!$F$3:$J$1101,5,0),"")</f>
        <v>1w</v>
      </c>
      <c r="AM42" s="411" t="str">
        <f>_xlfn.IFNA(VLOOKUP($AH42,Programma!$F$3:$K$1101,6,0),"")</f>
        <v>_</v>
      </c>
      <c r="AN42" s="411" t="str">
        <f>_xlfn.IFNA(VLOOKUP($AH42,Programma!$F$3:$L$1101,7,0),"")</f>
        <v>_</v>
      </c>
      <c r="AO42" s="411" t="str">
        <f>_xlfn.IFNA(VLOOKUP($AH42,Programma!$F$3:$M$1101,8,0),"")</f>
        <v>_</v>
      </c>
      <c r="AP42" s="411" t="str">
        <f>_xlfn.IFNA(VLOOKUP($AH42,Programma!$F$3:$N$1101,9,0),"")</f>
        <v>_</v>
      </c>
      <c r="AQ42" s="411" t="str">
        <f>_xlfn.IFNA(VLOOKUP($AH42,Programma!$F$3:$O$1101,10,0),"")</f>
        <v>3w</v>
      </c>
      <c r="AR42" s="411" t="str">
        <f>_xlfn.IFNA(VLOOKUP($AH42,Programma!$F$3:$P$1101,11,0),"")</f>
        <v>3w</v>
      </c>
      <c r="AS42" s="411" t="str">
        <f>_xlfn.IFNA(VLOOKUP($AH42,Programma!$F$3:$Q$1101,12,0),"")</f>
        <v>1w</v>
      </c>
      <c r="AT42" s="411" t="str">
        <f>_xlfn.IFNA(VLOOKUP($AH42,Programma!$F$3:$R$1101,13,0),"")</f>
        <v>1w</v>
      </c>
      <c r="AU42" s="411" t="str">
        <f>_xlfn.IFNA(VLOOKUP($AH42,Programma!$F$3:$S$1101,14,0),"")</f>
        <v>1m</v>
      </c>
      <c r="AV42" s="411" t="str">
        <f>_xlfn.IFNA(VLOOKUP($AH42,Programma!$F$3:$T$1101,15,0),"")</f>
        <v>2j</v>
      </c>
      <c r="AW42" s="411" t="str">
        <f>_xlfn.IFNA(VLOOKUP($AH42,Programma!$F$3:$U$1101,16,0),"")</f>
        <v>1j</v>
      </c>
      <c r="AX42" s="411" t="str">
        <f>_xlfn.IFNA(VLOOKUP($AH42,Programma!$F$3:$V$1101,17,0),"")</f>
        <v>_</v>
      </c>
      <c r="AY42" s="411" t="str">
        <f>_xlfn.IFNA(VLOOKUP($AH42,Programma!$F$3:$W$1101,18,0),"")</f>
        <v>_</v>
      </c>
      <c r="AZ42" s="411" t="str">
        <f>_xlfn.IFNA(VLOOKUP($AH42,Programma!$F$3:$X$1101,19,0),"")</f>
        <v>_</v>
      </c>
      <c r="BA42" s="411" t="str">
        <f>_xlfn.IFNA(VLOOKUP($AH42,Programma!$F$3:$Y$1101,20,0),"")</f>
        <v>_</v>
      </c>
      <c r="BB42" s="412"/>
      <c r="BC42" s="410" t="str">
        <f>IF(Ruimtestaat[[#This Row],[Frequentie weekend]]="","",_xlfn.CONCAT(Ruimtestaat[[#This Row],[Ruimte code]],"-",Ruimtestaat[[#This Row],[Frequentie weekend]]," ",Ruimtestaat[[#This Row],[Vloer code]]))</f>
        <v/>
      </c>
      <c r="BD42" s="411" t="str">
        <f>_xlfn.IFNA(VLOOKUP($BC42,Programma!$F$3:$G$1101,2,0),"")</f>
        <v/>
      </c>
      <c r="BE42" s="411" t="str">
        <f>_xlfn.IFNA(VLOOKUP($BC42,Programma!$F$3:$H$1101,3,0),"")</f>
        <v/>
      </c>
      <c r="BF42" s="411" t="str">
        <f>_xlfn.IFNA(VLOOKUP($BC42,Programma!$F$3:$I$1101,4,0),"")</f>
        <v/>
      </c>
      <c r="BG42" s="411" t="str">
        <f>_xlfn.IFNA(VLOOKUP($BC42,Programma!$F$3:$J$1101,5,0),"")</f>
        <v/>
      </c>
      <c r="BH42" s="411" t="str">
        <f>_xlfn.IFNA(VLOOKUP($BC42,Programma!$F$3:$K$1101,6,0),"")</f>
        <v/>
      </c>
      <c r="BI42" s="411" t="str">
        <f>_xlfn.IFNA(VLOOKUP($BC42,Programma!$F$3:$L$1101,7,0),"")</f>
        <v/>
      </c>
      <c r="BJ42" s="411" t="str">
        <f>_xlfn.IFNA(VLOOKUP($BC42,Programma!$F$3:$M$1101,8,0),"")</f>
        <v/>
      </c>
      <c r="BK42" s="411" t="str">
        <f>_xlfn.IFNA(VLOOKUP($BC42,Programma!$F$3:$N$1101,9,0),"")</f>
        <v/>
      </c>
      <c r="BL42" s="411" t="str">
        <f>_xlfn.IFNA(VLOOKUP($BC42,Programma!$F$3:$O$1101,10,0),"")</f>
        <v/>
      </c>
      <c r="BM42" s="411" t="str">
        <f>_xlfn.IFNA(VLOOKUP($BC42,Programma!$F$3:$P$1101,11,0),"")</f>
        <v/>
      </c>
      <c r="BN42" s="411" t="str">
        <f>_xlfn.IFNA(VLOOKUP($BC42,Programma!$F$3:$Q$1101,12,0),"")</f>
        <v/>
      </c>
      <c r="BO42" s="411" t="str">
        <f>_xlfn.IFNA(VLOOKUP($BC42,Programma!$F$3:$R$1101,13,0),"")</f>
        <v/>
      </c>
      <c r="BP42" s="411" t="str">
        <f>_xlfn.IFNA(VLOOKUP($BC42,Programma!$F$3:$S$1101,14,0),"")</f>
        <v/>
      </c>
      <c r="BQ42" s="411" t="str">
        <f>_xlfn.IFNA(VLOOKUP($BC42,Programma!$F$3:$T$1101,15,0),"")</f>
        <v/>
      </c>
      <c r="BR42" s="411" t="str">
        <f>_xlfn.IFNA(VLOOKUP($BC42,Programma!$F$3:$U$1101,16,0),"")</f>
        <v/>
      </c>
      <c r="BS42" s="411" t="str">
        <f>_xlfn.IFNA(VLOOKUP($BC42,Programma!$F$3:$V$1101,17,0),"")</f>
        <v/>
      </c>
      <c r="BT42" s="411" t="str">
        <f>_xlfn.IFNA(VLOOKUP($BC42,Programma!$F$3:$W$1101,18,0),"")</f>
        <v/>
      </c>
      <c r="BU42" s="411" t="str">
        <f>_xlfn.IFNA(VLOOKUP($BC42,Programma!$F$3:$X$1101,19,0),"")</f>
        <v/>
      </c>
      <c r="BV42" s="411" t="str">
        <f>_xlfn.IFNA(VLOOKUP($BC42,Programma!$F$3:$Y$1101,20,0),"")</f>
        <v/>
      </c>
    </row>
    <row r="43" spans="1:74" s="28" customFormat="1" ht="15" customHeight="1">
      <c r="A43" s="399">
        <v>1</v>
      </c>
      <c r="B43" s="400" t="str">
        <f>VLOOKUP(Ruimtestaat[[#This Row],[Code]],Locaties[[Code]:[Locatie]],2,FALSE)</f>
        <v>Jansstraat en Janskerk</v>
      </c>
      <c r="C43" s="400" t="str">
        <f>VLOOKUP(Ruimtestaat[[#This Row],[Code]],Locaties[[#All],[Code]:[Adres]],4,FALSE)</f>
        <v>Jansstraat 40</v>
      </c>
      <c r="D43" s="400" t="str">
        <f>VLOOKUP(Ruimtestaat[[#This Row],[Code]],Locaties[[#All],[Code]:[Postcode]],5,FALSE)</f>
        <v>2011 RX</v>
      </c>
      <c r="E43" s="400" t="str">
        <f>VLOOKUP(Ruimtestaat[[#This Row],[Code]],Locaties[#All],6,FALSE)</f>
        <v>Haarlem</v>
      </c>
      <c r="F43" s="399"/>
      <c r="G43" s="399" t="s">
        <v>1655</v>
      </c>
      <c r="H43" s="401">
        <v>2</v>
      </c>
      <c r="I43" s="402" t="s">
        <v>1646</v>
      </c>
      <c r="J43" s="336">
        <v>2</v>
      </c>
      <c r="K43" s="414" t="str">
        <f>VLOOKUP(Ruimtestaat[[#This Row],[Ruimte code]],Ruimtegroepen[[#All],[Code]:[Ruimte omschrijving]],2,FALSE)</f>
        <v>Kantoren</v>
      </c>
      <c r="L43" s="399" t="s">
        <v>100</v>
      </c>
      <c r="M43" s="402" t="s">
        <v>1647</v>
      </c>
      <c r="N43" s="404">
        <v>13.4</v>
      </c>
      <c r="O43" s="413"/>
      <c r="P43" s="405" t="str">
        <f>VLOOKUP(Ruimtestaat[[#This Row],[Ruimte code]],Ruimtegroepen[],4,FALSE)</f>
        <v>Bu</v>
      </c>
      <c r="Q43" s="399">
        <v>51</v>
      </c>
      <c r="R43" s="399" t="s">
        <v>18</v>
      </c>
      <c r="S43" s="399">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43" s="399">
        <f>IF(S43&gt;0,VLOOKUP($J43,Ruimtegroepen[],3,FALSE)*VLOOKUP($L43,Vloersoorten[],3,FALSE)*VLOOKUP($R43,Frequenties[],3,FALSE)*VLOOKUP($A43,Locaties[],3,FALSE),0)</f>
        <v>0</v>
      </c>
      <c r="U43" s="399">
        <f>Ruimtestaat[[#This Row],[Uitvoeringen werkdagen]]*Ruimtestaat[[#This Row],[Oppervlak (netto)]]</f>
        <v>2050.2000000000003</v>
      </c>
      <c r="V43" s="406">
        <f>IF(T43&gt;0,Ruimtestaat[[#This Row],[Prest. (m2 /jaar) werkdagen]]/Ruimtestaat[[#This Row],[Norm (m2/uur) werkdagen]],0)</f>
        <v>0</v>
      </c>
      <c r="W43" s="407">
        <f>Ruimtestaat[[#This Row],[uren / jaar werkdagen]]*Tariefsopbouw!$E$35</f>
        <v>0</v>
      </c>
      <c r="X43" s="399"/>
      <c r="Y43" s="399">
        <f>IF(Ruimtestaat[[#This Row],[Frequentie weekend]]&gt;0,VALUE(LEFT(X43,1))*Q43,0)</f>
        <v>0</v>
      </c>
      <c r="Z43" s="408">
        <f>IF($Y43&gt;0,VLOOKUP($J43,Ruimtegroepen[],3,FALSE)*VLOOKUP($L43,Vloersoorten[],3,FALSE)*VLOOKUP($X43,Frequenties[],3,FALSE)*VLOOKUP(Ruimtestaat[[#This Row],[Code]],Locaties[],3,FALSE),0)</f>
        <v>0</v>
      </c>
      <c r="AA43" s="408">
        <f>Ruimtestaat[[#This Row],[Uitvoeringen weekend]]*Ruimtestaat[[#This Row],[Oppervlak (netto)]]</f>
        <v>0</v>
      </c>
      <c r="AB43" s="408">
        <f>IF(Z43&gt;0,Ruimtestaat[[#This Row],[Prest. (m2 /jaar) weekend]]/Ruimtestaat[[#This Row],[Norm (m2/uur) weekend]],0)</f>
        <v>0</v>
      </c>
      <c r="AC43" s="407">
        <f>Ruimtestaat[[#This Row],[uren / jaar weekend]]*Tariefsopbouw!$D$40</f>
        <v>0</v>
      </c>
      <c r="AD43" s="406">
        <f>Ruimtestaat[[#This Row],[Prest. (m2 /jaar) weekend]]+Ruimtestaat[[#This Row],[Prest. (m2 /jaar) werkdagen]]</f>
        <v>2050.2000000000003</v>
      </c>
      <c r="AE43" s="406">
        <f>Ruimtestaat[[#This Row],[uren / jaar weekend]]+Ruimtestaat[[#This Row],[uren / jaar werkdagen]]</f>
        <v>0</v>
      </c>
      <c r="AF43" s="409">
        <f>Ruimtestaat[[#This Row],[kosten / jaar weekend]]+Ruimtestaat[[#This Row],[kosten / jaar werkdagen]]</f>
        <v>0</v>
      </c>
      <c r="AG43" s="409"/>
      <c r="AH43" s="410" t="str">
        <f>IF(Ruimtestaat[[#This Row],[Frequentie werkdagen]]="","",_xlfn.CONCAT(Ruimtestaat[[#This Row],[Ruimte code]],"-",Ruimtestaat[[#This Row],[Frequentie werkdagen]]," ",Ruimtestaat[[#This Row],[Vloer code]]))</f>
        <v>2-3w L</v>
      </c>
      <c r="AI43" s="411" t="str">
        <f>_xlfn.IFNA(VLOOKUP($AH43,Programma!$F$3:$G$1101,2,0),"")</f>
        <v>_</v>
      </c>
      <c r="AJ43" s="411" t="str">
        <f>_xlfn.IFNA(VLOOKUP($AH43,Programma!$F$3:$H$1101,3,0),"")</f>
        <v>_</v>
      </c>
      <c r="AK43" s="411" t="str">
        <f>_xlfn.IFNA(VLOOKUP($AH43,Programma!$F$3:$I$1101,4,0),"")</f>
        <v>2w</v>
      </c>
      <c r="AL43" s="411" t="str">
        <f>_xlfn.IFNA(VLOOKUP($AH43,Programma!$F$3:$J$1101,5,0),"")</f>
        <v>1w</v>
      </c>
      <c r="AM43" s="411" t="str">
        <f>_xlfn.IFNA(VLOOKUP($AH43,Programma!$F$3:$K$1101,6,0),"")</f>
        <v>_</v>
      </c>
      <c r="AN43" s="411" t="str">
        <f>_xlfn.IFNA(VLOOKUP($AH43,Programma!$F$3:$L$1101,7,0),"")</f>
        <v>_</v>
      </c>
      <c r="AO43" s="411" t="str">
        <f>_xlfn.IFNA(VLOOKUP($AH43,Programma!$F$3:$M$1101,8,0),"")</f>
        <v>_</v>
      </c>
      <c r="AP43" s="411" t="str">
        <f>_xlfn.IFNA(VLOOKUP($AH43,Programma!$F$3:$N$1101,9,0),"")</f>
        <v>_</v>
      </c>
      <c r="AQ43" s="411" t="str">
        <f>_xlfn.IFNA(VLOOKUP($AH43,Programma!$F$3:$O$1101,10,0),"")</f>
        <v>3w</v>
      </c>
      <c r="AR43" s="411" t="str">
        <f>_xlfn.IFNA(VLOOKUP($AH43,Programma!$F$3:$P$1101,11,0),"")</f>
        <v>3w</v>
      </c>
      <c r="AS43" s="411" t="str">
        <f>_xlfn.IFNA(VLOOKUP($AH43,Programma!$F$3:$Q$1101,12,0),"")</f>
        <v>1w</v>
      </c>
      <c r="AT43" s="411" t="str">
        <f>_xlfn.IFNA(VLOOKUP($AH43,Programma!$F$3:$R$1101,13,0),"")</f>
        <v>1w</v>
      </c>
      <c r="AU43" s="411" t="str">
        <f>_xlfn.IFNA(VLOOKUP($AH43,Programma!$F$3:$S$1101,14,0),"")</f>
        <v>1m</v>
      </c>
      <c r="AV43" s="411" t="str">
        <f>_xlfn.IFNA(VLOOKUP($AH43,Programma!$F$3:$T$1101,15,0),"")</f>
        <v>2j</v>
      </c>
      <c r="AW43" s="411" t="str">
        <f>_xlfn.IFNA(VLOOKUP($AH43,Programma!$F$3:$U$1101,16,0),"")</f>
        <v>1j</v>
      </c>
      <c r="AX43" s="411" t="str">
        <f>_xlfn.IFNA(VLOOKUP($AH43,Programma!$F$3:$V$1101,17,0),"")</f>
        <v>_</v>
      </c>
      <c r="AY43" s="411" t="str">
        <f>_xlfn.IFNA(VLOOKUP($AH43,Programma!$F$3:$W$1101,18,0),"")</f>
        <v>_</v>
      </c>
      <c r="AZ43" s="411" t="str">
        <f>_xlfn.IFNA(VLOOKUP($AH43,Programma!$F$3:$X$1101,19,0),"")</f>
        <v>_</v>
      </c>
      <c r="BA43" s="411" t="str">
        <f>_xlfn.IFNA(VLOOKUP($AH43,Programma!$F$3:$Y$1101,20,0),"")</f>
        <v>_</v>
      </c>
      <c r="BB43" s="412"/>
      <c r="BC43" s="410" t="str">
        <f>IF(Ruimtestaat[[#This Row],[Frequentie weekend]]="","",_xlfn.CONCAT(Ruimtestaat[[#This Row],[Ruimte code]],"-",Ruimtestaat[[#This Row],[Frequentie weekend]]," ",Ruimtestaat[[#This Row],[Vloer code]]))</f>
        <v/>
      </c>
      <c r="BD43" s="411" t="str">
        <f>_xlfn.IFNA(VLOOKUP($BC43,Programma!$F$3:$G$1101,2,0),"")</f>
        <v/>
      </c>
      <c r="BE43" s="411" t="str">
        <f>_xlfn.IFNA(VLOOKUP($BC43,Programma!$F$3:$H$1101,3,0),"")</f>
        <v/>
      </c>
      <c r="BF43" s="411" t="str">
        <f>_xlfn.IFNA(VLOOKUP($BC43,Programma!$F$3:$I$1101,4,0),"")</f>
        <v/>
      </c>
      <c r="BG43" s="411" t="str">
        <f>_xlfn.IFNA(VLOOKUP($BC43,Programma!$F$3:$J$1101,5,0),"")</f>
        <v/>
      </c>
      <c r="BH43" s="411" t="str">
        <f>_xlfn.IFNA(VLOOKUP($BC43,Programma!$F$3:$K$1101,6,0),"")</f>
        <v/>
      </c>
      <c r="BI43" s="411" t="str">
        <f>_xlfn.IFNA(VLOOKUP($BC43,Programma!$F$3:$L$1101,7,0),"")</f>
        <v/>
      </c>
      <c r="BJ43" s="411" t="str">
        <f>_xlfn.IFNA(VLOOKUP($BC43,Programma!$F$3:$M$1101,8,0),"")</f>
        <v/>
      </c>
      <c r="BK43" s="411" t="str">
        <f>_xlfn.IFNA(VLOOKUP($BC43,Programma!$F$3:$N$1101,9,0),"")</f>
        <v/>
      </c>
      <c r="BL43" s="411" t="str">
        <f>_xlfn.IFNA(VLOOKUP($BC43,Programma!$F$3:$O$1101,10,0),"")</f>
        <v/>
      </c>
      <c r="BM43" s="411" t="str">
        <f>_xlfn.IFNA(VLOOKUP($BC43,Programma!$F$3:$P$1101,11,0),"")</f>
        <v/>
      </c>
      <c r="BN43" s="411" t="str">
        <f>_xlfn.IFNA(VLOOKUP($BC43,Programma!$F$3:$Q$1101,12,0),"")</f>
        <v/>
      </c>
      <c r="BO43" s="411" t="str">
        <f>_xlfn.IFNA(VLOOKUP($BC43,Programma!$F$3:$R$1101,13,0),"")</f>
        <v/>
      </c>
      <c r="BP43" s="411" t="str">
        <f>_xlfn.IFNA(VLOOKUP($BC43,Programma!$F$3:$S$1101,14,0),"")</f>
        <v/>
      </c>
      <c r="BQ43" s="411" t="str">
        <f>_xlfn.IFNA(VLOOKUP($BC43,Programma!$F$3:$T$1101,15,0),"")</f>
        <v/>
      </c>
      <c r="BR43" s="411" t="str">
        <f>_xlfn.IFNA(VLOOKUP($BC43,Programma!$F$3:$U$1101,16,0),"")</f>
        <v/>
      </c>
      <c r="BS43" s="411" t="str">
        <f>_xlfn.IFNA(VLOOKUP($BC43,Programma!$F$3:$V$1101,17,0),"")</f>
        <v/>
      </c>
      <c r="BT43" s="411" t="str">
        <f>_xlfn.IFNA(VLOOKUP($BC43,Programma!$F$3:$W$1101,18,0),"")</f>
        <v/>
      </c>
      <c r="BU43" s="411" t="str">
        <f>_xlfn.IFNA(VLOOKUP($BC43,Programma!$F$3:$X$1101,19,0),"")</f>
        <v/>
      </c>
      <c r="BV43" s="411" t="str">
        <f>_xlfn.IFNA(VLOOKUP($BC43,Programma!$F$3:$Y$1101,20,0),"")</f>
        <v/>
      </c>
    </row>
    <row r="44" spans="1:74" s="28" customFormat="1" ht="15" customHeight="1">
      <c r="A44" s="399">
        <v>1</v>
      </c>
      <c r="B44" s="400" t="str">
        <f>VLOOKUP(Ruimtestaat[[#This Row],[Code]],Locaties[[Code]:[Locatie]],2,FALSE)</f>
        <v>Jansstraat en Janskerk</v>
      </c>
      <c r="C44" s="400" t="str">
        <f>VLOOKUP(Ruimtestaat[[#This Row],[Code]],Locaties[[#All],[Code]:[Adres]],4,FALSE)</f>
        <v>Jansstraat 40</v>
      </c>
      <c r="D44" s="400" t="str">
        <f>VLOOKUP(Ruimtestaat[[#This Row],[Code]],Locaties[[#All],[Code]:[Postcode]],5,FALSE)</f>
        <v>2011 RX</v>
      </c>
      <c r="E44" s="400" t="str">
        <f>VLOOKUP(Ruimtestaat[[#This Row],[Code]],Locaties[#All],6,FALSE)</f>
        <v>Haarlem</v>
      </c>
      <c r="F44" s="399"/>
      <c r="G44" s="399" t="s">
        <v>1655</v>
      </c>
      <c r="H44" s="401">
        <v>3</v>
      </c>
      <c r="I44" s="402" t="s">
        <v>1646</v>
      </c>
      <c r="J44" s="336">
        <v>2</v>
      </c>
      <c r="K44" s="414" t="str">
        <f>VLOOKUP(Ruimtestaat[[#This Row],[Ruimte code]],Ruimtegroepen[[#All],[Code]:[Ruimte omschrijving]],2,FALSE)</f>
        <v>Kantoren</v>
      </c>
      <c r="L44" s="399" t="s">
        <v>100</v>
      </c>
      <c r="M44" s="402" t="s">
        <v>1647</v>
      </c>
      <c r="N44" s="404">
        <v>10.3</v>
      </c>
      <c r="O44" s="413"/>
      <c r="P44" s="405" t="str">
        <f>VLOOKUP(Ruimtestaat[[#This Row],[Ruimte code]],Ruimtegroepen[],4,FALSE)</f>
        <v>Bu</v>
      </c>
      <c r="Q44" s="399">
        <v>51</v>
      </c>
      <c r="R44" s="399" t="s">
        <v>18</v>
      </c>
      <c r="S44" s="399">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44" s="399">
        <f>IF(S44&gt;0,VLOOKUP($J44,Ruimtegroepen[],3,FALSE)*VLOOKUP($L44,Vloersoorten[],3,FALSE)*VLOOKUP($R44,Frequenties[],3,FALSE)*VLOOKUP($A44,Locaties[],3,FALSE),0)</f>
        <v>0</v>
      </c>
      <c r="U44" s="399">
        <f>Ruimtestaat[[#This Row],[Uitvoeringen werkdagen]]*Ruimtestaat[[#This Row],[Oppervlak (netto)]]</f>
        <v>1575.9</v>
      </c>
      <c r="V44" s="406">
        <f>IF(T44&gt;0,Ruimtestaat[[#This Row],[Prest. (m2 /jaar) werkdagen]]/Ruimtestaat[[#This Row],[Norm (m2/uur) werkdagen]],0)</f>
        <v>0</v>
      </c>
      <c r="W44" s="407">
        <f>Ruimtestaat[[#This Row],[uren / jaar werkdagen]]*Tariefsopbouw!$E$35</f>
        <v>0</v>
      </c>
      <c r="X44" s="399"/>
      <c r="Y44" s="399">
        <f>IF(Ruimtestaat[[#This Row],[Frequentie weekend]]&gt;0,VALUE(LEFT(X44,1))*Q44,0)</f>
        <v>0</v>
      </c>
      <c r="Z44" s="408">
        <f>IF($Y44&gt;0,VLOOKUP($J44,Ruimtegroepen[],3,FALSE)*VLOOKUP($L44,Vloersoorten[],3,FALSE)*VLOOKUP($X44,Frequenties[],3,FALSE)*VLOOKUP(Ruimtestaat[[#This Row],[Code]],Locaties[],3,FALSE),0)</f>
        <v>0</v>
      </c>
      <c r="AA44" s="408">
        <f>Ruimtestaat[[#This Row],[Uitvoeringen weekend]]*Ruimtestaat[[#This Row],[Oppervlak (netto)]]</f>
        <v>0</v>
      </c>
      <c r="AB44" s="408">
        <f>IF(Z44&gt;0,Ruimtestaat[[#This Row],[Prest. (m2 /jaar) weekend]]/Ruimtestaat[[#This Row],[Norm (m2/uur) weekend]],0)</f>
        <v>0</v>
      </c>
      <c r="AC44" s="407">
        <f>Ruimtestaat[[#This Row],[uren / jaar weekend]]*Tariefsopbouw!$D$40</f>
        <v>0</v>
      </c>
      <c r="AD44" s="406">
        <f>Ruimtestaat[[#This Row],[Prest. (m2 /jaar) weekend]]+Ruimtestaat[[#This Row],[Prest. (m2 /jaar) werkdagen]]</f>
        <v>1575.9</v>
      </c>
      <c r="AE44" s="406">
        <f>Ruimtestaat[[#This Row],[uren / jaar weekend]]+Ruimtestaat[[#This Row],[uren / jaar werkdagen]]</f>
        <v>0</v>
      </c>
      <c r="AF44" s="409">
        <f>Ruimtestaat[[#This Row],[kosten / jaar weekend]]+Ruimtestaat[[#This Row],[kosten / jaar werkdagen]]</f>
        <v>0</v>
      </c>
      <c r="AG44" s="409"/>
      <c r="AH44" s="410" t="str">
        <f>IF(Ruimtestaat[[#This Row],[Frequentie werkdagen]]="","",_xlfn.CONCAT(Ruimtestaat[[#This Row],[Ruimte code]],"-",Ruimtestaat[[#This Row],[Frequentie werkdagen]]," ",Ruimtestaat[[#This Row],[Vloer code]]))</f>
        <v>2-3w L</v>
      </c>
      <c r="AI44" s="411" t="str">
        <f>_xlfn.IFNA(VLOOKUP($AH44,Programma!$F$3:$G$1101,2,0),"")</f>
        <v>_</v>
      </c>
      <c r="AJ44" s="411" t="str">
        <f>_xlfn.IFNA(VLOOKUP($AH44,Programma!$F$3:$H$1101,3,0),"")</f>
        <v>_</v>
      </c>
      <c r="AK44" s="411" t="str">
        <f>_xlfn.IFNA(VLOOKUP($AH44,Programma!$F$3:$I$1101,4,0),"")</f>
        <v>2w</v>
      </c>
      <c r="AL44" s="411" t="str">
        <f>_xlfn.IFNA(VLOOKUP($AH44,Programma!$F$3:$J$1101,5,0),"")</f>
        <v>1w</v>
      </c>
      <c r="AM44" s="411" t="str">
        <f>_xlfn.IFNA(VLOOKUP($AH44,Programma!$F$3:$K$1101,6,0),"")</f>
        <v>_</v>
      </c>
      <c r="AN44" s="411" t="str">
        <f>_xlfn.IFNA(VLOOKUP($AH44,Programma!$F$3:$L$1101,7,0),"")</f>
        <v>_</v>
      </c>
      <c r="AO44" s="411" t="str">
        <f>_xlfn.IFNA(VLOOKUP($AH44,Programma!$F$3:$M$1101,8,0),"")</f>
        <v>_</v>
      </c>
      <c r="AP44" s="411" t="str">
        <f>_xlfn.IFNA(VLOOKUP($AH44,Programma!$F$3:$N$1101,9,0),"")</f>
        <v>_</v>
      </c>
      <c r="AQ44" s="411" t="str">
        <f>_xlfn.IFNA(VLOOKUP($AH44,Programma!$F$3:$O$1101,10,0),"")</f>
        <v>3w</v>
      </c>
      <c r="AR44" s="411" t="str">
        <f>_xlfn.IFNA(VLOOKUP($AH44,Programma!$F$3:$P$1101,11,0),"")</f>
        <v>3w</v>
      </c>
      <c r="AS44" s="411" t="str">
        <f>_xlfn.IFNA(VLOOKUP($AH44,Programma!$F$3:$Q$1101,12,0),"")</f>
        <v>1w</v>
      </c>
      <c r="AT44" s="411" t="str">
        <f>_xlfn.IFNA(VLOOKUP($AH44,Programma!$F$3:$R$1101,13,0),"")</f>
        <v>1w</v>
      </c>
      <c r="AU44" s="411" t="str">
        <f>_xlfn.IFNA(VLOOKUP($AH44,Programma!$F$3:$S$1101,14,0),"")</f>
        <v>1m</v>
      </c>
      <c r="AV44" s="411" t="str">
        <f>_xlfn.IFNA(VLOOKUP($AH44,Programma!$F$3:$T$1101,15,0),"")</f>
        <v>2j</v>
      </c>
      <c r="AW44" s="411" t="str">
        <f>_xlfn.IFNA(VLOOKUP($AH44,Programma!$F$3:$U$1101,16,0),"")</f>
        <v>1j</v>
      </c>
      <c r="AX44" s="411" t="str">
        <f>_xlfn.IFNA(VLOOKUP($AH44,Programma!$F$3:$V$1101,17,0),"")</f>
        <v>_</v>
      </c>
      <c r="AY44" s="411" t="str">
        <f>_xlfn.IFNA(VLOOKUP($AH44,Programma!$F$3:$W$1101,18,0),"")</f>
        <v>_</v>
      </c>
      <c r="AZ44" s="411" t="str">
        <f>_xlfn.IFNA(VLOOKUP($AH44,Programma!$F$3:$X$1101,19,0),"")</f>
        <v>_</v>
      </c>
      <c r="BA44" s="411" t="str">
        <f>_xlfn.IFNA(VLOOKUP($AH44,Programma!$F$3:$Y$1101,20,0),"")</f>
        <v>_</v>
      </c>
      <c r="BB44" s="412"/>
      <c r="BC44" s="410" t="str">
        <f>IF(Ruimtestaat[[#This Row],[Frequentie weekend]]="","",_xlfn.CONCAT(Ruimtestaat[[#This Row],[Ruimte code]],"-",Ruimtestaat[[#This Row],[Frequentie weekend]]," ",Ruimtestaat[[#This Row],[Vloer code]]))</f>
        <v/>
      </c>
      <c r="BD44" s="411" t="str">
        <f>_xlfn.IFNA(VLOOKUP($BC44,Programma!$F$3:$G$1101,2,0),"")</f>
        <v/>
      </c>
      <c r="BE44" s="411" t="str">
        <f>_xlfn.IFNA(VLOOKUP($BC44,Programma!$F$3:$H$1101,3,0),"")</f>
        <v/>
      </c>
      <c r="BF44" s="411" t="str">
        <f>_xlfn.IFNA(VLOOKUP($BC44,Programma!$F$3:$I$1101,4,0),"")</f>
        <v/>
      </c>
      <c r="BG44" s="411" t="str">
        <f>_xlfn.IFNA(VLOOKUP($BC44,Programma!$F$3:$J$1101,5,0),"")</f>
        <v/>
      </c>
      <c r="BH44" s="411" t="str">
        <f>_xlfn.IFNA(VLOOKUP($BC44,Programma!$F$3:$K$1101,6,0),"")</f>
        <v/>
      </c>
      <c r="BI44" s="411" t="str">
        <f>_xlfn.IFNA(VLOOKUP($BC44,Programma!$F$3:$L$1101,7,0),"")</f>
        <v/>
      </c>
      <c r="BJ44" s="411" t="str">
        <f>_xlfn.IFNA(VLOOKUP($BC44,Programma!$F$3:$M$1101,8,0),"")</f>
        <v/>
      </c>
      <c r="BK44" s="411" t="str">
        <f>_xlfn.IFNA(VLOOKUP($BC44,Programma!$F$3:$N$1101,9,0),"")</f>
        <v/>
      </c>
      <c r="BL44" s="411" t="str">
        <f>_xlfn.IFNA(VLOOKUP($BC44,Programma!$F$3:$O$1101,10,0),"")</f>
        <v/>
      </c>
      <c r="BM44" s="411" t="str">
        <f>_xlfn.IFNA(VLOOKUP($BC44,Programma!$F$3:$P$1101,11,0),"")</f>
        <v/>
      </c>
      <c r="BN44" s="411" t="str">
        <f>_xlfn.IFNA(VLOOKUP($BC44,Programma!$F$3:$Q$1101,12,0),"")</f>
        <v/>
      </c>
      <c r="BO44" s="411" t="str">
        <f>_xlfn.IFNA(VLOOKUP($BC44,Programma!$F$3:$R$1101,13,0),"")</f>
        <v/>
      </c>
      <c r="BP44" s="411" t="str">
        <f>_xlfn.IFNA(VLOOKUP($BC44,Programma!$F$3:$S$1101,14,0),"")</f>
        <v/>
      </c>
      <c r="BQ44" s="411" t="str">
        <f>_xlfn.IFNA(VLOOKUP($BC44,Programma!$F$3:$T$1101,15,0),"")</f>
        <v/>
      </c>
      <c r="BR44" s="411" t="str">
        <f>_xlfn.IFNA(VLOOKUP($BC44,Programma!$F$3:$U$1101,16,0),"")</f>
        <v/>
      </c>
      <c r="BS44" s="411" t="str">
        <f>_xlfn.IFNA(VLOOKUP($BC44,Programma!$F$3:$V$1101,17,0),"")</f>
        <v/>
      </c>
      <c r="BT44" s="411" t="str">
        <f>_xlfn.IFNA(VLOOKUP($BC44,Programma!$F$3:$W$1101,18,0),"")</f>
        <v/>
      </c>
      <c r="BU44" s="411" t="str">
        <f>_xlfn.IFNA(VLOOKUP($BC44,Programma!$F$3:$X$1101,19,0),"")</f>
        <v/>
      </c>
      <c r="BV44" s="411" t="str">
        <f>_xlfn.IFNA(VLOOKUP($BC44,Programma!$F$3:$Y$1101,20,0),"")</f>
        <v/>
      </c>
    </row>
    <row r="45" spans="1:74" s="28" customFormat="1" ht="15" customHeight="1">
      <c r="A45" s="399">
        <v>1</v>
      </c>
      <c r="B45" s="400" t="str">
        <f>VLOOKUP(Ruimtestaat[[#This Row],[Code]],Locaties[[Code]:[Locatie]],2,FALSE)</f>
        <v>Jansstraat en Janskerk</v>
      </c>
      <c r="C45" s="400" t="str">
        <f>VLOOKUP(Ruimtestaat[[#This Row],[Code]],Locaties[[#All],[Code]:[Adres]],4,FALSE)</f>
        <v>Jansstraat 40</v>
      </c>
      <c r="D45" s="400" t="str">
        <f>VLOOKUP(Ruimtestaat[[#This Row],[Code]],Locaties[[#All],[Code]:[Postcode]],5,FALSE)</f>
        <v>2011 RX</v>
      </c>
      <c r="E45" s="400" t="str">
        <f>VLOOKUP(Ruimtestaat[[#This Row],[Code]],Locaties[#All],6,FALSE)</f>
        <v>Haarlem</v>
      </c>
      <c r="F45" s="399"/>
      <c r="G45" s="399" t="s">
        <v>1655</v>
      </c>
      <c r="H45" s="401">
        <v>4</v>
      </c>
      <c r="I45" s="402" t="s">
        <v>1651</v>
      </c>
      <c r="J45" s="336">
        <v>4</v>
      </c>
      <c r="K45" s="414" t="str">
        <f>VLOOKUP(Ruimtestaat[[#This Row],[Ruimte code]],Ruimtegroepen[[#All],[Code]:[Ruimte omschrijving]],2,FALSE)</f>
        <v>Vergader/spreekkamers</v>
      </c>
      <c r="L45" s="399" t="s">
        <v>100</v>
      </c>
      <c r="M45" s="402" t="s">
        <v>1647</v>
      </c>
      <c r="N45" s="404">
        <v>17.3</v>
      </c>
      <c r="O45" s="399"/>
      <c r="P45" s="405" t="str">
        <f>VLOOKUP(Ruimtestaat[[#This Row],[Ruimte code]],Ruimtegroepen[],4,FALSE)</f>
        <v>Bu</v>
      </c>
      <c r="Q45" s="399">
        <v>51</v>
      </c>
      <c r="R45" s="399" t="s">
        <v>18</v>
      </c>
      <c r="S45" s="399">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45" s="399">
        <f>IF(S45&gt;0,VLOOKUP($J45,Ruimtegroepen[],3,FALSE)*VLOOKUP($L45,Vloersoorten[],3,FALSE)*VLOOKUP($R45,Frequenties[],3,FALSE)*VLOOKUP($A45,Locaties[],3,FALSE),0)</f>
        <v>0</v>
      </c>
      <c r="U45" s="399">
        <f>Ruimtestaat[[#This Row],[Uitvoeringen werkdagen]]*Ruimtestaat[[#This Row],[Oppervlak (netto)]]</f>
        <v>2646.9</v>
      </c>
      <c r="V45" s="406">
        <f>IF(T45&gt;0,Ruimtestaat[[#This Row],[Prest. (m2 /jaar) werkdagen]]/Ruimtestaat[[#This Row],[Norm (m2/uur) werkdagen]],0)</f>
        <v>0</v>
      </c>
      <c r="W45" s="407">
        <f>Ruimtestaat[[#This Row],[uren / jaar werkdagen]]*Tariefsopbouw!$E$35</f>
        <v>0</v>
      </c>
      <c r="X45" s="399"/>
      <c r="Y45" s="399">
        <f>IF(Ruimtestaat[[#This Row],[Frequentie weekend]]&gt;0,VALUE(LEFT(X45,1))*Q45,0)</f>
        <v>0</v>
      </c>
      <c r="Z45" s="408">
        <f>IF($Y45&gt;0,VLOOKUP($J45,Ruimtegroepen[],3,FALSE)*VLOOKUP($L45,Vloersoorten[],3,FALSE)*VLOOKUP($X45,Frequenties[],3,FALSE)*VLOOKUP(Ruimtestaat[[#This Row],[Code]],Locaties[],3,FALSE),0)</f>
        <v>0</v>
      </c>
      <c r="AA45" s="408">
        <f>Ruimtestaat[[#This Row],[Uitvoeringen weekend]]*Ruimtestaat[[#This Row],[Oppervlak (netto)]]</f>
        <v>0</v>
      </c>
      <c r="AB45" s="408">
        <f>IF(Z45&gt;0,Ruimtestaat[[#This Row],[Prest. (m2 /jaar) weekend]]/Ruimtestaat[[#This Row],[Norm (m2/uur) weekend]],0)</f>
        <v>0</v>
      </c>
      <c r="AC45" s="407">
        <f>Ruimtestaat[[#This Row],[uren / jaar weekend]]*Tariefsopbouw!$D$40</f>
        <v>0</v>
      </c>
      <c r="AD45" s="406">
        <f>Ruimtestaat[[#This Row],[Prest. (m2 /jaar) weekend]]+Ruimtestaat[[#This Row],[Prest. (m2 /jaar) werkdagen]]</f>
        <v>2646.9</v>
      </c>
      <c r="AE45" s="406">
        <f>Ruimtestaat[[#This Row],[uren / jaar weekend]]+Ruimtestaat[[#This Row],[uren / jaar werkdagen]]</f>
        <v>0</v>
      </c>
      <c r="AF45" s="409">
        <f>Ruimtestaat[[#This Row],[kosten / jaar weekend]]+Ruimtestaat[[#This Row],[kosten / jaar werkdagen]]</f>
        <v>0</v>
      </c>
      <c r="AG45" s="409"/>
      <c r="AH45" s="410" t="str">
        <f>IF(Ruimtestaat[[#This Row],[Frequentie werkdagen]]="","",_xlfn.CONCAT(Ruimtestaat[[#This Row],[Ruimte code]],"-",Ruimtestaat[[#This Row],[Frequentie werkdagen]]," ",Ruimtestaat[[#This Row],[Vloer code]]))</f>
        <v>4-3w L</v>
      </c>
      <c r="AI45" s="411" t="str">
        <f>_xlfn.IFNA(VLOOKUP($AH45,Programma!$F$3:$G$1101,2,0),"")</f>
        <v>_</v>
      </c>
      <c r="AJ45" s="411" t="str">
        <f>_xlfn.IFNA(VLOOKUP($AH45,Programma!$F$3:$H$1101,3,0),"")</f>
        <v>_</v>
      </c>
      <c r="AK45" s="411" t="str">
        <f>_xlfn.IFNA(VLOOKUP($AH45,Programma!$F$3:$I$1101,4,0),"")</f>
        <v>2w</v>
      </c>
      <c r="AL45" s="411" t="str">
        <f>_xlfn.IFNA(VLOOKUP($AH45,Programma!$F$3:$J$1101,5,0),"")</f>
        <v>1w</v>
      </c>
      <c r="AM45" s="411" t="str">
        <f>_xlfn.IFNA(VLOOKUP($AH45,Programma!$F$3:$K$1101,6,0),"")</f>
        <v>_</v>
      </c>
      <c r="AN45" s="411" t="str">
        <f>_xlfn.IFNA(VLOOKUP($AH45,Programma!$F$3:$L$1101,7,0),"")</f>
        <v>_</v>
      </c>
      <c r="AO45" s="411" t="str">
        <f>_xlfn.IFNA(VLOOKUP($AH45,Programma!$F$3:$M$1101,8,0),"")</f>
        <v>_</v>
      </c>
      <c r="AP45" s="411" t="str">
        <f>_xlfn.IFNA(VLOOKUP($AH45,Programma!$F$3:$N$1101,9,0),"")</f>
        <v>_</v>
      </c>
      <c r="AQ45" s="411" t="str">
        <f>_xlfn.IFNA(VLOOKUP($AH45,Programma!$F$3:$O$1101,10,0),"")</f>
        <v>3w</v>
      </c>
      <c r="AR45" s="411" t="str">
        <f>_xlfn.IFNA(VLOOKUP($AH45,Programma!$F$3:$P$1101,11,0),"")</f>
        <v>3w</v>
      </c>
      <c r="AS45" s="411" t="str">
        <f>_xlfn.IFNA(VLOOKUP($AH45,Programma!$F$3:$Q$1101,12,0),"")</f>
        <v>1w</v>
      </c>
      <c r="AT45" s="411" t="str">
        <f>_xlfn.IFNA(VLOOKUP($AH45,Programma!$F$3:$R$1101,13,0),"")</f>
        <v>1w</v>
      </c>
      <c r="AU45" s="411" t="str">
        <f>_xlfn.IFNA(VLOOKUP($AH45,Programma!$F$3:$S$1101,14,0),"")</f>
        <v>1m</v>
      </c>
      <c r="AV45" s="411" t="str">
        <f>_xlfn.IFNA(VLOOKUP($AH45,Programma!$F$3:$T$1101,15,0),"")</f>
        <v>2j</v>
      </c>
      <c r="AW45" s="411" t="str">
        <f>_xlfn.IFNA(VLOOKUP($AH45,Programma!$F$3:$U$1101,16,0),"")</f>
        <v>1j</v>
      </c>
      <c r="AX45" s="411" t="str">
        <f>_xlfn.IFNA(VLOOKUP($AH45,Programma!$F$3:$V$1101,17,0),"")</f>
        <v>_</v>
      </c>
      <c r="AY45" s="411" t="str">
        <f>_xlfn.IFNA(VLOOKUP($AH45,Programma!$F$3:$W$1101,18,0),"")</f>
        <v>_</v>
      </c>
      <c r="AZ45" s="411" t="str">
        <f>_xlfn.IFNA(VLOOKUP($AH45,Programma!$F$3:$X$1101,19,0),"")</f>
        <v>_</v>
      </c>
      <c r="BA45" s="411" t="str">
        <f>_xlfn.IFNA(VLOOKUP($AH45,Programma!$F$3:$Y$1101,20,0),"")</f>
        <v>_</v>
      </c>
      <c r="BB45" s="412"/>
      <c r="BC45" s="410" t="str">
        <f>IF(Ruimtestaat[[#This Row],[Frequentie weekend]]="","",_xlfn.CONCAT(Ruimtestaat[[#This Row],[Ruimte code]],"-",Ruimtestaat[[#This Row],[Frequentie weekend]]," ",Ruimtestaat[[#This Row],[Vloer code]]))</f>
        <v/>
      </c>
      <c r="BD45" s="411" t="str">
        <f>_xlfn.IFNA(VLOOKUP($BC45,Programma!$F$3:$G$1101,2,0),"")</f>
        <v/>
      </c>
      <c r="BE45" s="411" t="str">
        <f>_xlfn.IFNA(VLOOKUP($BC45,Programma!$F$3:$H$1101,3,0),"")</f>
        <v/>
      </c>
      <c r="BF45" s="411" t="str">
        <f>_xlfn.IFNA(VLOOKUP($BC45,Programma!$F$3:$I$1101,4,0),"")</f>
        <v/>
      </c>
      <c r="BG45" s="411" t="str">
        <f>_xlfn.IFNA(VLOOKUP($BC45,Programma!$F$3:$J$1101,5,0),"")</f>
        <v/>
      </c>
      <c r="BH45" s="411" t="str">
        <f>_xlfn.IFNA(VLOOKUP($BC45,Programma!$F$3:$K$1101,6,0),"")</f>
        <v/>
      </c>
      <c r="BI45" s="411" t="str">
        <f>_xlfn.IFNA(VLOOKUP($BC45,Programma!$F$3:$L$1101,7,0),"")</f>
        <v/>
      </c>
      <c r="BJ45" s="411" t="str">
        <f>_xlfn.IFNA(VLOOKUP($BC45,Programma!$F$3:$M$1101,8,0),"")</f>
        <v/>
      </c>
      <c r="BK45" s="411" t="str">
        <f>_xlfn.IFNA(VLOOKUP($BC45,Programma!$F$3:$N$1101,9,0),"")</f>
        <v/>
      </c>
      <c r="BL45" s="411" t="str">
        <f>_xlfn.IFNA(VLOOKUP($BC45,Programma!$F$3:$O$1101,10,0),"")</f>
        <v/>
      </c>
      <c r="BM45" s="411" t="str">
        <f>_xlfn.IFNA(VLOOKUP($BC45,Programma!$F$3:$P$1101,11,0),"")</f>
        <v/>
      </c>
      <c r="BN45" s="411" t="str">
        <f>_xlfn.IFNA(VLOOKUP($BC45,Programma!$F$3:$Q$1101,12,0),"")</f>
        <v/>
      </c>
      <c r="BO45" s="411" t="str">
        <f>_xlfn.IFNA(VLOOKUP($BC45,Programma!$F$3:$R$1101,13,0),"")</f>
        <v/>
      </c>
      <c r="BP45" s="411" t="str">
        <f>_xlfn.IFNA(VLOOKUP($BC45,Programma!$F$3:$S$1101,14,0),"")</f>
        <v/>
      </c>
      <c r="BQ45" s="411" t="str">
        <f>_xlfn.IFNA(VLOOKUP($BC45,Programma!$F$3:$T$1101,15,0),"")</f>
        <v/>
      </c>
      <c r="BR45" s="411" t="str">
        <f>_xlfn.IFNA(VLOOKUP($BC45,Programma!$F$3:$U$1101,16,0),"")</f>
        <v/>
      </c>
      <c r="BS45" s="411" t="str">
        <f>_xlfn.IFNA(VLOOKUP($BC45,Programma!$F$3:$V$1101,17,0),"")</f>
        <v/>
      </c>
      <c r="BT45" s="411" t="str">
        <f>_xlfn.IFNA(VLOOKUP($BC45,Programma!$F$3:$W$1101,18,0),"")</f>
        <v/>
      </c>
      <c r="BU45" s="411" t="str">
        <f>_xlfn.IFNA(VLOOKUP($BC45,Programma!$F$3:$X$1101,19,0),"")</f>
        <v/>
      </c>
      <c r="BV45" s="411" t="str">
        <f>_xlfn.IFNA(VLOOKUP($BC45,Programma!$F$3:$Y$1101,20,0),"")</f>
        <v/>
      </c>
    </row>
    <row r="46" spans="1:74" s="28" customFormat="1" ht="15" customHeight="1">
      <c r="A46" s="399">
        <v>1</v>
      </c>
      <c r="B46" s="400" t="str">
        <f>VLOOKUP(Ruimtestaat[[#This Row],[Code]],Locaties[[Code]:[Locatie]],2,FALSE)</f>
        <v>Jansstraat en Janskerk</v>
      </c>
      <c r="C46" s="400" t="str">
        <f>VLOOKUP(Ruimtestaat[[#This Row],[Code]],Locaties[[#All],[Code]:[Adres]],4,FALSE)</f>
        <v>Jansstraat 40</v>
      </c>
      <c r="D46" s="400" t="str">
        <f>VLOOKUP(Ruimtestaat[[#This Row],[Code]],Locaties[[#All],[Code]:[Postcode]],5,FALSE)</f>
        <v>2011 RX</v>
      </c>
      <c r="E46" s="400" t="str">
        <f>VLOOKUP(Ruimtestaat[[#This Row],[Code]],Locaties[#All],6,FALSE)</f>
        <v>Haarlem</v>
      </c>
      <c r="F46" s="399"/>
      <c r="G46" s="399" t="s">
        <v>1655</v>
      </c>
      <c r="H46" s="401">
        <v>5</v>
      </c>
      <c r="I46" s="402" t="s">
        <v>1642</v>
      </c>
      <c r="J46" s="336">
        <v>6</v>
      </c>
      <c r="K46" s="414" t="str">
        <f>VLOOKUP(Ruimtestaat[[#This Row],[Ruimte code]],Ruimtegroepen[[#All],[Code]:[Ruimte omschrijving]],2,FALSE)</f>
        <v>Gangen/hallen</v>
      </c>
      <c r="L46" s="399" t="s">
        <v>100</v>
      </c>
      <c r="M46" s="402" t="s">
        <v>1647</v>
      </c>
      <c r="N46" s="404">
        <v>23.1</v>
      </c>
      <c r="O46" s="413"/>
      <c r="P46" s="405" t="str">
        <f>VLOOKUP(Ruimtestaat[[#This Row],[Ruimte code]],Ruimtegroepen[],4,FALSE)</f>
        <v>Ve</v>
      </c>
      <c r="Q46" s="399">
        <v>51</v>
      </c>
      <c r="R46" s="399" t="s">
        <v>2</v>
      </c>
      <c r="S46" s="399">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6" s="399">
        <f>IF(S46&gt;0,VLOOKUP($J46,Ruimtegroepen[],3,FALSE)*VLOOKUP($L46,Vloersoorten[],3,FALSE)*VLOOKUP($R46,Frequenties[],3,FALSE)*VLOOKUP($A46,Locaties[],3,FALSE),0)</f>
        <v>0</v>
      </c>
      <c r="U46" s="399">
        <f>Ruimtestaat[[#This Row],[Uitvoeringen werkdagen]]*Ruimtestaat[[#This Row],[Oppervlak (netto)]]</f>
        <v>5890.5</v>
      </c>
      <c r="V46" s="406">
        <f>IF(T46&gt;0,Ruimtestaat[[#This Row],[Prest. (m2 /jaar) werkdagen]]/Ruimtestaat[[#This Row],[Norm (m2/uur) werkdagen]],0)</f>
        <v>0</v>
      </c>
      <c r="W46" s="407">
        <f>Ruimtestaat[[#This Row],[uren / jaar werkdagen]]*Tariefsopbouw!$E$35</f>
        <v>0</v>
      </c>
      <c r="X46" s="399"/>
      <c r="Y46" s="399">
        <f>IF(Ruimtestaat[[#This Row],[Frequentie weekend]]&gt;0,VALUE(LEFT(X46,1))*Q46,0)</f>
        <v>0</v>
      </c>
      <c r="Z46" s="408">
        <f>IF($Y46&gt;0,VLOOKUP($J46,Ruimtegroepen[],3,FALSE)*VLOOKUP($L46,Vloersoorten[],3,FALSE)*VLOOKUP($X46,Frequenties[],3,FALSE)*VLOOKUP(Ruimtestaat[[#This Row],[Code]],Locaties[],3,FALSE),0)</f>
        <v>0</v>
      </c>
      <c r="AA46" s="408">
        <f>Ruimtestaat[[#This Row],[Uitvoeringen weekend]]*Ruimtestaat[[#This Row],[Oppervlak (netto)]]</f>
        <v>0</v>
      </c>
      <c r="AB46" s="408">
        <f>IF(Z46&gt;0,Ruimtestaat[[#This Row],[Prest. (m2 /jaar) weekend]]/Ruimtestaat[[#This Row],[Norm (m2/uur) weekend]],0)</f>
        <v>0</v>
      </c>
      <c r="AC46" s="407">
        <f>Ruimtestaat[[#This Row],[uren / jaar weekend]]*Tariefsopbouw!$D$40</f>
        <v>0</v>
      </c>
      <c r="AD46" s="406">
        <f>Ruimtestaat[[#This Row],[Prest. (m2 /jaar) weekend]]+Ruimtestaat[[#This Row],[Prest. (m2 /jaar) werkdagen]]</f>
        <v>5890.5</v>
      </c>
      <c r="AE46" s="406">
        <f>Ruimtestaat[[#This Row],[uren / jaar weekend]]+Ruimtestaat[[#This Row],[uren / jaar werkdagen]]</f>
        <v>0</v>
      </c>
      <c r="AF46" s="409">
        <f>Ruimtestaat[[#This Row],[kosten / jaar weekend]]+Ruimtestaat[[#This Row],[kosten / jaar werkdagen]]</f>
        <v>0</v>
      </c>
      <c r="AG46" s="409"/>
      <c r="AH46" s="410" t="str">
        <f>IF(Ruimtestaat[[#This Row],[Frequentie werkdagen]]="","",_xlfn.CONCAT(Ruimtestaat[[#This Row],[Ruimte code]],"-",Ruimtestaat[[#This Row],[Frequentie werkdagen]]," ",Ruimtestaat[[#This Row],[Vloer code]]))</f>
        <v>6-5w L</v>
      </c>
      <c r="AI46" s="411" t="str">
        <f>_xlfn.IFNA(VLOOKUP($AH46,Programma!$F$3:$G$1101,2,0),"")</f>
        <v>_</v>
      </c>
      <c r="AJ46" s="411" t="str">
        <f>_xlfn.IFNA(VLOOKUP($AH46,Programma!$F$3:$H$1101,3,0),"")</f>
        <v>_</v>
      </c>
      <c r="AK46" s="411" t="str">
        <f>_xlfn.IFNA(VLOOKUP($AH46,Programma!$F$3:$I$1101,4,0),"")</f>
        <v>_</v>
      </c>
      <c r="AL46" s="411" t="str">
        <f>_xlfn.IFNA(VLOOKUP($AH46,Programma!$F$3:$J$1101,5,0),"")</f>
        <v>5w</v>
      </c>
      <c r="AM46" s="411" t="str">
        <f>_xlfn.IFNA(VLOOKUP($AH46,Programma!$F$3:$K$1101,6,0),"")</f>
        <v>_</v>
      </c>
      <c r="AN46" s="411" t="str">
        <f>_xlfn.IFNA(VLOOKUP($AH46,Programma!$F$3:$L$1101,7,0),"")</f>
        <v>_</v>
      </c>
      <c r="AO46" s="411" t="str">
        <f>_xlfn.IFNA(VLOOKUP($AH46,Programma!$F$3:$M$1101,8,0),"")</f>
        <v>_</v>
      </c>
      <c r="AP46" s="411" t="str">
        <f>_xlfn.IFNA(VLOOKUP($AH46,Programma!$F$3:$N$1101,9,0),"")</f>
        <v>_</v>
      </c>
      <c r="AQ46" s="411" t="str">
        <f>_xlfn.IFNA(VLOOKUP($AH46,Programma!$F$3:$O$1101,10,0),"")</f>
        <v>5w</v>
      </c>
      <c r="AR46" s="411" t="str">
        <f>_xlfn.IFNA(VLOOKUP($AH46,Programma!$F$3:$P$1101,11,0),"")</f>
        <v>5w</v>
      </c>
      <c r="AS46" s="411" t="str">
        <f>_xlfn.IFNA(VLOOKUP($AH46,Programma!$F$3:$Q$1101,12,0),"")</f>
        <v>1w</v>
      </c>
      <c r="AT46" s="411" t="str">
        <f>_xlfn.IFNA(VLOOKUP($AH46,Programma!$F$3:$R$1101,13,0),"")</f>
        <v>1w</v>
      </c>
      <c r="AU46" s="411" t="str">
        <f>_xlfn.IFNA(VLOOKUP($AH46,Programma!$F$3:$S$1101,14,0),"")</f>
        <v>1m</v>
      </c>
      <c r="AV46" s="411" t="str">
        <f>_xlfn.IFNA(VLOOKUP($AH46,Programma!$F$3:$T$1101,15,0),"")</f>
        <v>2j</v>
      </c>
      <c r="AW46" s="411" t="str">
        <f>_xlfn.IFNA(VLOOKUP($AH46,Programma!$F$3:$U$1101,16,0),"")</f>
        <v>1j</v>
      </c>
      <c r="AX46" s="411" t="str">
        <f>_xlfn.IFNA(VLOOKUP($AH46,Programma!$F$3:$V$1101,17,0),"")</f>
        <v>_</v>
      </c>
      <c r="AY46" s="411" t="str">
        <f>_xlfn.IFNA(VLOOKUP($AH46,Programma!$F$3:$W$1101,18,0),"")</f>
        <v>_</v>
      </c>
      <c r="AZ46" s="411" t="str">
        <f>_xlfn.IFNA(VLOOKUP($AH46,Programma!$F$3:$X$1101,19,0),"")</f>
        <v>_</v>
      </c>
      <c r="BA46" s="411" t="str">
        <f>_xlfn.IFNA(VLOOKUP($AH46,Programma!$F$3:$Y$1101,20,0),"")</f>
        <v>_</v>
      </c>
      <c r="BB46" s="412"/>
      <c r="BC46" s="410" t="str">
        <f>IF(Ruimtestaat[[#This Row],[Frequentie weekend]]="","",_xlfn.CONCAT(Ruimtestaat[[#This Row],[Ruimte code]],"-",Ruimtestaat[[#This Row],[Frequentie weekend]]," ",Ruimtestaat[[#This Row],[Vloer code]]))</f>
        <v/>
      </c>
      <c r="BD46" s="411" t="str">
        <f>_xlfn.IFNA(VLOOKUP($BC46,Programma!$F$3:$G$1101,2,0),"")</f>
        <v/>
      </c>
      <c r="BE46" s="411" t="str">
        <f>_xlfn.IFNA(VLOOKUP($BC46,Programma!$F$3:$H$1101,3,0),"")</f>
        <v/>
      </c>
      <c r="BF46" s="411" t="str">
        <f>_xlfn.IFNA(VLOOKUP($BC46,Programma!$F$3:$I$1101,4,0),"")</f>
        <v/>
      </c>
      <c r="BG46" s="411" t="str">
        <f>_xlfn.IFNA(VLOOKUP($BC46,Programma!$F$3:$J$1101,5,0),"")</f>
        <v/>
      </c>
      <c r="BH46" s="411" t="str">
        <f>_xlfn.IFNA(VLOOKUP($BC46,Programma!$F$3:$K$1101,6,0),"")</f>
        <v/>
      </c>
      <c r="BI46" s="411" t="str">
        <f>_xlfn.IFNA(VLOOKUP($BC46,Programma!$F$3:$L$1101,7,0),"")</f>
        <v/>
      </c>
      <c r="BJ46" s="411" t="str">
        <f>_xlfn.IFNA(VLOOKUP($BC46,Programma!$F$3:$M$1101,8,0),"")</f>
        <v/>
      </c>
      <c r="BK46" s="411" t="str">
        <f>_xlfn.IFNA(VLOOKUP($BC46,Programma!$F$3:$N$1101,9,0),"")</f>
        <v/>
      </c>
      <c r="BL46" s="411" t="str">
        <f>_xlfn.IFNA(VLOOKUP($BC46,Programma!$F$3:$O$1101,10,0),"")</f>
        <v/>
      </c>
      <c r="BM46" s="411" t="str">
        <f>_xlfn.IFNA(VLOOKUP($BC46,Programma!$F$3:$P$1101,11,0),"")</f>
        <v/>
      </c>
      <c r="BN46" s="411" t="str">
        <f>_xlfn.IFNA(VLOOKUP($BC46,Programma!$F$3:$Q$1101,12,0),"")</f>
        <v/>
      </c>
      <c r="BO46" s="411" t="str">
        <f>_xlfn.IFNA(VLOOKUP($BC46,Programma!$F$3:$R$1101,13,0),"")</f>
        <v/>
      </c>
      <c r="BP46" s="411" t="str">
        <f>_xlfn.IFNA(VLOOKUP($BC46,Programma!$F$3:$S$1101,14,0),"")</f>
        <v/>
      </c>
      <c r="BQ46" s="411" t="str">
        <f>_xlfn.IFNA(VLOOKUP($BC46,Programma!$F$3:$T$1101,15,0),"")</f>
        <v/>
      </c>
      <c r="BR46" s="411" t="str">
        <f>_xlfn.IFNA(VLOOKUP($BC46,Programma!$F$3:$U$1101,16,0),"")</f>
        <v/>
      </c>
      <c r="BS46" s="411" t="str">
        <f>_xlfn.IFNA(VLOOKUP($BC46,Programma!$F$3:$V$1101,17,0),"")</f>
        <v/>
      </c>
      <c r="BT46" s="411" t="str">
        <f>_xlfn.IFNA(VLOOKUP($BC46,Programma!$F$3:$W$1101,18,0),"")</f>
        <v/>
      </c>
      <c r="BU46" s="411" t="str">
        <f>_xlfn.IFNA(VLOOKUP($BC46,Programma!$F$3:$X$1101,19,0),"")</f>
        <v/>
      </c>
      <c r="BV46" s="411" t="str">
        <f>_xlfn.IFNA(VLOOKUP($BC46,Programma!$F$3:$Y$1101,20,0),"")</f>
        <v/>
      </c>
    </row>
    <row r="47" spans="1:74" s="28" customFormat="1" ht="15" customHeight="1">
      <c r="A47" s="399">
        <v>1</v>
      </c>
      <c r="B47" s="400" t="str">
        <f>VLOOKUP(Ruimtestaat[[#This Row],[Code]],Locaties[[Code]:[Locatie]],2,FALSE)</f>
        <v>Jansstraat en Janskerk</v>
      </c>
      <c r="C47" s="400" t="str">
        <f>VLOOKUP(Ruimtestaat[[#This Row],[Code]],Locaties[[#All],[Code]:[Adres]],4,FALSE)</f>
        <v>Jansstraat 40</v>
      </c>
      <c r="D47" s="400" t="str">
        <f>VLOOKUP(Ruimtestaat[[#This Row],[Code]],Locaties[[#All],[Code]:[Postcode]],5,FALSE)</f>
        <v>2011 RX</v>
      </c>
      <c r="E47" s="400" t="str">
        <f>VLOOKUP(Ruimtestaat[[#This Row],[Code]],Locaties[#All],6,FALSE)</f>
        <v>Haarlem</v>
      </c>
      <c r="F47" s="399"/>
      <c r="G47" s="399" t="s">
        <v>1655</v>
      </c>
      <c r="H47" s="401">
        <v>6</v>
      </c>
      <c r="I47" s="402" t="s">
        <v>1646</v>
      </c>
      <c r="J47" s="336">
        <v>2</v>
      </c>
      <c r="K47" s="414" t="str">
        <f>VLOOKUP(Ruimtestaat[[#This Row],[Ruimte code]],Ruimtegroepen[[#All],[Code]:[Ruimte omschrijving]],2,FALSE)</f>
        <v>Kantoren</v>
      </c>
      <c r="L47" s="399" t="s">
        <v>100</v>
      </c>
      <c r="M47" s="402" t="s">
        <v>1647</v>
      </c>
      <c r="N47" s="404">
        <v>18.100000000000001</v>
      </c>
      <c r="O47" s="413"/>
      <c r="P47" s="405" t="str">
        <f>VLOOKUP(Ruimtestaat[[#This Row],[Ruimte code]],Ruimtegroepen[],4,FALSE)</f>
        <v>Bu</v>
      </c>
      <c r="Q47" s="399">
        <v>51</v>
      </c>
      <c r="R47" s="399" t="s">
        <v>18</v>
      </c>
      <c r="S47" s="399">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47" s="399">
        <f>IF(S47&gt;0,VLOOKUP($J47,Ruimtegroepen[],3,FALSE)*VLOOKUP($L47,Vloersoorten[],3,FALSE)*VLOOKUP($R47,Frequenties[],3,FALSE)*VLOOKUP($A47,Locaties[],3,FALSE),0)</f>
        <v>0</v>
      </c>
      <c r="U47" s="399">
        <f>Ruimtestaat[[#This Row],[Uitvoeringen werkdagen]]*Ruimtestaat[[#This Row],[Oppervlak (netto)]]</f>
        <v>2769.3</v>
      </c>
      <c r="V47" s="406">
        <f>IF(T47&gt;0,Ruimtestaat[[#This Row],[Prest. (m2 /jaar) werkdagen]]/Ruimtestaat[[#This Row],[Norm (m2/uur) werkdagen]],0)</f>
        <v>0</v>
      </c>
      <c r="W47" s="407">
        <f>Ruimtestaat[[#This Row],[uren / jaar werkdagen]]*Tariefsopbouw!$E$35</f>
        <v>0</v>
      </c>
      <c r="X47" s="399"/>
      <c r="Y47" s="399">
        <f>IF(Ruimtestaat[[#This Row],[Frequentie weekend]]&gt;0,VALUE(LEFT(X47,1))*Q47,0)</f>
        <v>0</v>
      </c>
      <c r="Z47" s="408">
        <f>IF($Y47&gt;0,VLOOKUP($J47,Ruimtegroepen[],3,FALSE)*VLOOKUP($L47,Vloersoorten[],3,FALSE)*VLOOKUP($X47,Frequenties[],3,FALSE)*VLOOKUP(Ruimtestaat[[#This Row],[Code]],Locaties[],3,FALSE),0)</f>
        <v>0</v>
      </c>
      <c r="AA47" s="408">
        <f>Ruimtestaat[[#This Row],[Uitvoeringen weekend]]*Ruimtestaat[[#This Row],[Oppervlak (netto)]]</f>
        <v>0</v>
      </c>
      <c r="AB47" s="408">
        <f>IF(Z47&gt;0,Ruimtestaat[[#This Row],[Prest. (m2 /jaar) weekend]]/Ruimtestaat[[#This Row],[Norm (m2/uur) weekend]],0)</f>
        <v>0</v>
      </c>
      <c r="AC47" s="407">
        <f>Ruimtestaat[[#This Row],[uren / jaar weekend]]*Tariefsopbouw!$D$40</f>
        <v>0</v>
      </c>
      <c r="AD47" s="406">
        <f>Ruimtestaat[[#This Row],[Prest. (m2 /jaar) weekend]]+Ruimtestaat[[#This Row],[Prest. (m2 /jaar) werkdagen]]</f>
        <v>2769.3</v>
      </c>
      <c r="AE47" s="406">
        <f>Ruimtestaat[[#This Row],[uren / jaar weekend]]+Ruimtestaat[[#This Row],[uren / jaar werkdagen]]</f>
        <v>0</v>
      </c>
      <c r="AF47" s="409">
        <f>Ruimtestaat[[#This Row],[kosten / jaar weekend]]+Ruimtestaat[[#This Row],[kosten / jaar werkdagen]]</f>
        <v>0</v>
      </c>
      <c r="AG47" s="409"/>
      <c r="AH47" s="410" t="str">
        <f>IF(Ruimtestaat[[#This Row],[Frequentie werkdagen]]="","",_xlfn.CONCAT(Ruimtestaat[[#This Row],[Ruimte code]],"-",Ruimtestaat[[#This Row],[Frequentie werkdagen]]," ",Ruimtestaat[[#This Row],[Vloer code]]))</f>
        <v>2-3w L</v>
      </c>
      <c r="AI47" s="411" t="str">
        <f>_xlfn.IFNA(VLOOKUP($AH47,Programma!$F$3:$G$1101,2,0),"")</f>
        <v>_</v>
      </c>
      <c r="AJ47" s="411" t="str">
        <f>_xlfn.IFNA(VLOOKUP($AH47,Programma!$F$3:$H$1101,3,0),"")</f>
        <v>_</v>
      </c>
      <c r="AK47" s="411" t="str">
        <f>_xlfn.IFNA(VLOOKUP($AH47,Programma!$F$3:$I$1101,4,0),"")</f>
        <v>2w</v>
      </c>
      <c r="AL47" s="411" t="str">
        <f>_xlfn.IFNA(VLOOKUP($AH47,Programma!$F$3:$J$1101,5,0),"")</f>
        <v>1w</v>
      </c>
      <c r="AM47" s="411" t="str">
        <f>_xlfn.IFNA(VLOOKUP($AH47,Programma!$F$3:$K$1101,6,0),"")</f>
        <v>_</v>
      </c>
      <c r="AN47" s="411" t="str">
        <f>_xlfn.IFNA(VLOOKUP($AH47,Programma!$F$3:$L$1101,7,0),"")</f>
        <v>_</v>
      </c>
      <c r="AO47" s="411" t="str">
        <f>_xlfn.IFNA(VLOOKUP($AH47,Programma!$F$3:$M$1101,8,0),"")</f>
        <v>_</v>
      </c>
      <c r="AP47" s="411" t="str">
        <f>_xlfn.IFNA(VLOOKUP($AH47,Programma!$F$3:$N$1101,9,0),"")</f>
        <v>_</v>
      </c>
      <c r="AQ47" s="411" t="str">
        <f>_xlfn.IFNA(VLOOKUP($AH47,Programma!$F$3:$O$1101,10,0),"")</f>
        <v>3w</v>
      </c>
      <c r="AR47" s="411" t="str">
        <f>_xlfn.IFNA(VLOOKUP($AH47,Programma!$F$3:$P$1101,11,0),"")</f>
        <v>3w</v>
      </c>
      <c r="AS47" s="411" t="str">
        <f>_xlfn.IFNA(VLOOKUP($AH47,Programma!$F$3:$Q$1101,12,0),"")</f>
        <v>1w</v>
      </c>
      <c r="AT47" s="411" t="str">
        <f>_xlfn.IFNA(VLOOKUP($AH47,Programma!$F$3:$R$1101,13,0),"")</f>
        <v>1w</v>
      </c>
      <c r="AU47" s="411" t="str">
        <f>_xlfn.IFNA(VLOOKUP($AH47,Programma!$F$3:$S$1101,14,0),"")</f>
        <v>1m</v>
      </c>
      <c r="AV47" s="411" t="str">
        <f>_xlfn.IFNA(VLOOKUP($AH47,Programma!$F$3:$T$1101,15,0),"")</f>
        <v>2j</v>
      </c>
      <c r="AW47" s="411" t="str">
        <f>_xlfn.IFNA(VLOOKUP($AH47,Programma!$F$3:$U$1101,16,0),"")</f>
        <v>1j</v>
      </c>
      <c r="AX47" s="411" t="str">
        <f>_xlfn.IFNA(VLOOKUP($AH47,Programma!$F$3:$V$1101,17,0),"")</f>
        <v>_</v>
      </c>
      <c r="AY47" s="411" t="str">
        <f>_xlfn.IFNA(VLOOKUP($AH47,Programma!$F$3:$W$1101,18,0),"")</f>
        <v>_</v>
      </c>
      <c r="AZ47" s="411" t="str">
        <f>_xlfn.IFNA(VLOOKUP($AH47,Programma!$F$3:$X$1101,19,0),"")</f>
        <v>_</v>
      </c>
      <c r="BA47" s="411" t="str">
        <f>_xlfn.IFNA(VLOOKUP($AH47,Programma!$F$3:$Y$1101,20,0),"")</f>
        <v>_</v>
      </c>
      <c r="BB47" s="412"/>
      <c r="BC47" s="410" t="str">
        <f>IF(Ruimtestaat[[#This Row],[Frequentie weekend]]="","",_xlfn.CONCAT(Ruimtestaat[[#This Row],[Ruimte code]],"-",Ruimtestaat[[#This Row],[Frequentie weekend]]," ",Ruimtestaat[[#This Row],[Vloer code]]))</f>
        <v/>
      </c>
      <c r="BD47" s="411" t="str">
        <f>_xlfn.IFNA(VLOOKUP($BC47,Programma!$F$3:$G$1101,2,0),"")</f>
        <v/>
      </c>
      <c r="BE47" s="411" t="str">
        <f>_xlfn.IFNA(VLOOKUP($BC47,Programma!$F$3:$H$1101,3,0),"")</f>
        <v/>
      </c>
      <c r="BF47" s="411" t="str">
        <f>_xlfn.IFNA(VLOOKUP($BC47,Programma!$F$3:$I$1101,4,0),"")</f>
        <v/>
      </c>
      <c r="BG47" s="411" t="str">
        <f>_xlfn.IFNA(VLOOKUP($BC47,Programma!$F$3:$J$1101,5,0),"")</f>
        <v/>
      </c>
      <c r="BH47" s="411" t="str">
        <f>_xlfn.IFNA(VLOOKUP($BC47,Programma!$F$3:$K$1101,6,0),"")</f>
        <v/>
      </c>
      <c r="BI47" s="411" t="str">
        <f>_xlfn.IFNA(VLOOKUP($BC47,Programma!$F$3:$L$1101,7,0),"")</f>
        <v/>
      </c>
      <c r="BJ47" s="411" t="str">
        <f>_xlfn.IFNA(VLOOKUP($BC47,Programma!$F$3:$M$1101,8,0),"")</f>
        <v/>
      </c>
      <c r="BK47" s="411" t="str">
        <f>_xlfn.IFNA(VLOOKUP($BC47,Programma!$F$3:$N$1101,9,0),"")</f>
        <v/>
      </c>
      <c r="BL47" s="411" t="str">
        <f>_xlfn.IFNA(VLOOKUP($BC47,Programma!$F$3:$O$1101,10,0),"")</f>
        <v/>
      </c>
      <c r="BM47" s="411" t="str">
        <f>_xlfn.IFNA(VLOOKUP($BC47,Programma!$F$3:$P$1101,11,0),"")</f>
        <v/>
      </c>
      <c r="BN47" s="411" t="str">
        <f>_xlfn.IFNA(VLOOKUP($BC47,Programma!$F$3:$Q$1101,12,0),"")</f>
        <v/>
      </c>
      <c r="BO47" s="411" t="str">
        <f>_xlfn.IFNA(VLOOKUP($BC47,Programma!$F$3:$R$1101,13,0),"")</f>
        <v/>
      </c>
      <c r="BP47" s="411" t="str">
        <f>_xlfn.IFNA(VLOOKUP($BC47,Programma!$F$3:$S$1101,14,0),"")</f>
        <v/>
      </c>
      <c r="BQ47" s="411" t="str">
        <f>_xlfn.IFNA(VLOOKUP($BC47,Programma!$F$3:$T$1101,15,0),"")</f>
        <v/>
      </c>
      <c r="BR47" s="411" t="str">
        <f>_xlfn.IFNA(VLOOKUP($BC47,Programma!$F$3:$U$1101,16,0),"")</f>
        <v/>
      </c>
      <c r="BS47" s="411" t="str">
        <f>_xlfn.IFNA(VLOOKUP($BC47,Programma!$F$3:$V$1101,17,0),"")</f>
        <v/>
      </c>
      <c r="BT47" s="411" t="str">
        <f>_xlfn.IFNA(VLOOKUP($BC47,Programma!$F$3:$W$1101,18,0),"")</f>
        <v/>
      </c>
      <c r="BU47" s="411" t="str">
        <f>_xlfn.IFNA(VLOOKUP($BC47,Programma!$F$3:$X$1101,19,0),"")</f>
        <v/>
      </c>
      <c r="BV47" s="411" t="str">
        <f>_xlfn.IFNA(VLOOKUP($BC47,Programma!$F$3:$Y$1101,20,0),"")</f>
        <v/>
      </c>
    </row>
    <row r="48" spans="1:74" s="28" customFormat="1" ht="15" customHeight="1">
      <c r="A48" s="399">
        <v>1</v>
      </c>
      <c r="B48" s="400" t="str">
        <f>VLOOKUP(Ruimtestaat[[#This Row],[Code]],Locaties[[Code]:[Locatie]],2,FALSE)</f>
        <v>Jansstraat en Janskerk</v>
      </c>
      <c r="C48" s="400" t="str">
        <f>VLOOKUP(Ruimtestaat[[#This Row],[Code]],Locaties[[#All],[Code]:[Adres]],4,FALSE)</f>
        <v>Jansstraat 40</v>
      </c>
      <c r="D48" s="400" t="str">
        <f>VLOOKUP(Ruimtestaat[[#This Row],[Code]],Locaties[[#All],[Code]:[Postcode]],5,FALSE)</f>
        <v>2011 RX</v>
      </c>
      <c r="E48" s="400" t="str">
        <f>VLOOKUP(Ruimtestaat[[#This Row],[Code]],Locaties[#All],6,FALSE)</f>
        <v>Haarlem</v>
      </c>
      <c r="F48" s="399"/>
      <c r="G48" s="399" t="s">
        <v>1655</v>
      </c>
      <c r="H48" s="401">
        <v>7</v>
      </c>
      <c r="I48" s="402" t="s">
        <v>1646</v>
      </c>
      <c r="J48" s="336">
        <v>2</v>
      </c>
      <c r="K48" s="414" t="str">
        <f>VLOOKUP(Ruimtestaat[[#This Row],[Ruimte code]],Ruimtegroepen[[#All],[Code]:[Ruimte omschrijving]],2,FALSE)</f>
        <v>Kantoren</v>
      </c>
      <c r="L48" s="399" t="s">
        <v>100</v>
      </c>
      <c r="M48" s="402" t="s">
        <v>1647</v>
      </c>
      <c r="N48" s="404">
        <v>21.1</v>
      </c>
      <c r="O48" s="399"/>
      <c r="P48" s="405" t="str">
        <f>VLOOKUP(Ruimtestaat[[#This Row],[Ruimte code]],Ruimtegroepen[],4,FALSE)</f>
        <v>Bu</v>
      </c>
      <c r="Q48" s="399">
        <v>51</v>
      </c>
      <c r="R48" s="399" t="s">
        <v>18</v>
      </c>
      <c r="S48" s="399">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48" s="399">
        <f>IF(S48&gt;0,VLOOKUP($J48,Ruimtegroepen[],3,FALSE)*VLOOKUP($L48,Vloersoorten[],3,FALSE)*VLOOKUP($R48,Frequenties[],3,FALSE)*VLOOKUP($A48,Locaties[],3,FALSE),0)</f>
        <v>0</v>
      </c>
      <c r="U48" s="399">
        <f>Ruimtestaat[[#This Row],[Uitvoeringen werkdagen]]*Ruimtestaat[[#This Row],[Oppervlak (netto)]]</f>
        <v>3228.3</v>
      </c>
      <c r="V48" s="406">
        <f>IF(T48&gt;0,Ruimtestaat[[#This Row],[Prest. (m2 /jaar) werkdagen]]/Ruimtestaat[[#This Row],[Norm (m2/uur) werkdagen]],0)</f>
        <v>0</v>
      </c>
      <c r="W48" s="407">
        <f>Ruimtestaat[[#This Row],[uren / jaar werkdagen]]*Tariefsopbouw!$E$35</f>
        <v>0</v>
      </c>
      <c r="X48" s="399"/>
      <c r="Y48" s="399">
        <f>IF(Ruimtestaat[[#This Row],[Frequentie weekend]]&gt;0,VALUE(LEFT(X48,1))*Q48,0)</f>
        <v>0</v>
      </c>
      <c r="Z48" s="408">
        <f>IF($Y48&gt;0,VLOOKUP($J48,Ruimtegroepen[],3,FALSE)*VLOOKUP($L48,Vloersoorten[],3,FALSE)*VLOOKUP($X48,Frequenties[],3,FALSE)*VLOOKUP(Ruimtestaat[[#This Row],[Code]],Locaties[],3,FALSE),0)</f>
        <v>0</v>
      </c>
      <c r="AA48" s="408">
        <f>Ruimtestaat[[#This Row],[Uitvoeringen weekend]]*Ruimtestaat[[#This Row],[Oppervlak (netto)]]</f>
        <v>0</v>
      </c>
      <c r="AB48" s="408">
        <f>IF(Z48&gt;0,Ruimtestaat[[#This Row],[Prest. (m2 /jaar) weekend]]/Ruimtestaat[[#This Row],[Norm (m2/uur) weekend]],0)</f>
        <v>0</v>
      </c>
      <c r="AC48" s="407">
        <f>Ruimtestaat[[#This Row],[uren / jaar weekend]]*Tariefsopbouw!$D$40</f>
        <v>0</v>
      </c>
      <c r="AD48" s="406">
        <f>Ruimtestaat[[#This Row],[Prest. (m2 /jaar) weekend]]+Ruimtestaat[[#This Row],[Prest. (m2 /jaar) werkdagen]]</f>
        <v>3228.3</v>
      </c>
      <c r="AE48" s="406">
        <f>Ruimtestaat[[#This Row],[uren / jaar weekend]]+Ruimtestaat[[#This Row],[uren / jaar werkdagen]]</f>
        <v>0</v>
      </c>
      <c r="AF48" s="409">
        <f>Ruimtestaat[[#This Row],[kosten / jaar weekend]]+Ruimtestaat[[#This Row],[kosten / jaar werkdagen]]</f>
        <v>0</v>
      </c>
      <c r="AG48" s="409"/>
      <c r="AH48" s="410" t="str">
        <f>IF(Ruimtestaat[[#This Row],[Frequentie werkdagen]]="","",_xlfn.CONCAT(Ruimtestaat[[#This Row],[Ruimte code]],"-",Ruimtestaat[[#This Row],[Frequentie werkdagen]]," ",Ruimtestaat[[#This Row],[Vloer code]]))</f>
        <v>2-3w L</v>
      </c>
      <c r="AI48" s="411" t="str">
        <f>_xlfn.IFNA(VLOOKUP($AH48,Programma!$F$3:$G$1101,2,0),"")</f>
        <v>_</v>
      </c>
      <c r="AJ48" s="411" t="str">
        <f>_xlfn.IFNA(VLOOKUP($AH48,Programma!$F$3:$H$1101,3,0),"")</f>
        <v>_</v>
      </c>
      <c r="AK48" s="411" t="str">
        <f>_xlfn.IFNA(VLOOKUP($AH48,Programma!$F$3:$I$1101,4,0),"")</f>
        <v>2w</v>
      </c>
      <c r="AL48" s="411" t="str">
        <f>_xlfn.IFNA(VLOOKUP($AH48,Programma!$F$3:$J$1101,5,0),"")</f>
        <v>1w</v>
      </c>
      <c r="AM48" s="411" t="str">
        <f>_xlfn.IFNA(VLOOKUP($AH48,Programma!$F$3:$K$1101,6,0),"")</f>
        <v>_</v>
      </c>
      <c r="AN48" s="411" t="str">
        <f>_xlfn.IFNA(VLOOKUP($AH48,Programma!$F$3:$L$1101,7,0),"")</f>
        <v>_</v>
      </c>
      <c r="AO48" s="411" t="str">
        <f>_xlfn.IFNA(VLOOKUP($AH48,Programma!$F$3:$M$1101,8,0),"")</f>
        <v>_</v>
      </c>
      <c r="AP48" s="411" t="str">
        <f>_xlfn.IFNA(VLOOKUP($AH48,Programma!$F$3:$N$1101,9,0),"")</f>
        <v>_</v>
      </c>
      <c r="AQ48" s="411" t="str">
        <f>_xlfn.IFNA(VLOOKUP($AH48,Programma!$F$3:$O$1101,10,0),"")</f>
        <v>3w</v>
      </c>
      <c r="AR48" s="411" t="str">
        <f>_xlfn.IFNA(VLOOKUP($AH48,Programma!$F$3:$P$1101,11,0),"")</f>
        <v>3w</v>
      </c>
      <c r="AS48" s="411" t="str">
        <f>_xlfn.IFNA(VLOOKUP($AH48,Programma!$F$3:$Q$1101,12,0),"")</f>
        <v>1w</v>
      </c>
      <c r="AT48" s="411" t="str">
        <f>_xlfn.IFNA(VLOOKUP($AH48,Programma!$F$3:$R$1101,13,0),"")</f>
        <v>1w</v>
      </c>
      <c r="AU48" s="411" t="str">
        <f>_xlfn.IFNA(VLOOKUP($AH48,Programma!$F$3:$S$1101,14,0),"")</f>
        <v>1m</v>
      </c>
      <c r="AV48" s="411" t="str">
        <f>_xlfn.IFNA(VLOOKUP($AH48,Programma!$F$3:$T$1101,15,0),"")</f>
        <v>2j</v>
      </c>
      <c r="AW48" s="411" t="str">
        <f>_xlfn.IFNA(VLOOKUP($AH48,Programma!$F$3:$U$1101,16,0),"")</f>
        <v>1j</v>
      </c>
      <c r="AX48" s="411" t="str">
        <f>_xlfn.IFNA(VLOOKUP($AH48,Programma!$F$3:$V$1101,17,0),"")</f>
        <v>_</v>
      </c>
      <c r="AY48" s="411" t="str">
        <f>_xlfn.IFNA(VLOOKUP($AH48,Programma!$F$3:$W$1101,18,0),"")</f>
        <v>_</v>
      </c>
      <c r="AZ48" s="411" t="str">
        <f>_xlfn.IFNA(VLOOKUP($AH48,Programma!$F$3:$X$1101,19,0),"")</f>
        <v>_</v>
      </c>
      <c r="BA48" s="411" t="str">
        <f>_xlfn.IFNA(VLOOKUP($AH48,Programma!$F$3:$Y$1101,20,0),"")</f>
        <v>_</v>
      </c>
      <c r="BB48" s="412"/>
      <c r="BC48" s="410" t="str">
        <f>IF(Ruimtestaat[[#This Row],[Frequentie weekend]]="","",_xlfn.CONCAT(Ruimtestaat[[#This Row],[Ruimte code]],"-",Ruimtestaat[[#This Row],[Frequentie weekend]]," ",Ruimtestaat[[#This Row],[Vloer code]]))</f>
        <v/>
      </c>
      <c r="BD48" s="411" t="str">
        <f>_xlfn.IFNA(VLOOKUP($BC48,Programma!$F$3:$G$1101,2,0),"")</f>
        <v/>
      </c>
      <c r="BE48" s="411" t="str">
        <f>_xlfn.IFNA(VLOOKUP($BC48,Programma!$F$3:$H$1101,3,0),"")</f>
        <v/>
      </c>
      <c r="BF48" s="411" t="str">
        <f>_xlfn.IFNA(VLOOKUP($BC48,Programma!$F$3:$I$1101,4,0),"")</f>
        <v/>
      </c>
      <c r="BG48" s="411" t="str">
        <f>_xlfn.IFNA(VLOOKUP($BC48,Programma!$F$3:$J$1101,5,0),"")</f>
        <v/>
      </c>
      <c r="BH48" s="411" t="str">
        <f>_xlfn.IFNA(VLOOKUP($BC48,Programma!$F$3:$K$1101,6,0),"")</f>
        <v/>
      </c>
      <c r="BI48" s="411" t="str">
        <f>_xlfn.IFNA(VLOOKUP($BC48,Programma!$F$3:$L$1101,7,0),"")</f>
        <v/>
      </c>
      <c r="BJ48" s="411" t="str">
        <f>_xlfn.IFNA(VLOOKUP($BC48,Programma!$F$3:$M$1101,8,0),"")</f>
        <v/>
      </c>
      <c r="BK48" s="411" t="str">
        <f>_xlfn.IFNA(VLOOKUP($BC48,Programma!$F$3:$N$1101,9,0),"")</f>
        <v/>
      </c>
      <c r="BL48" s="411" t="str">
        <f>_xlfn.IFNA(VLOOKUP($BC48,Programma!$F$3:$O$1101,10,0),"")</f>
        <v/>
      </c>
      <c r="BM48" s="411" t="str">
        <f>_xlfn.IFNA(VLOOKUP($BC48,Programma!$F$3:$P$1101,11,0),"")</f>
        <v/>
      </c>
      <c r="BN48" s="411" t="str">
        <f>_xlfn.IFNA(VLOOKUP($BC48,Programma!$F$3:$Q$1101,12,0),"")</f>
        <v/>
      </c>
      <c r="BO48" s="411" t="str">
        <f>_xlfn.IFNA(VLOOKUP($BC48,Programma!$F$3:$R$1101,13,0),"")</f>
        <v/>
      </c>
      <c r="BP48" s="411" t="str">
        <f>_xlfn.IFNA(VLOOKUP($BC48,Programma!$F$3:$S$1101,14,0),"")</f>
        <v/>
      </c>
      <c r="BQ48" s="411" t="str">
        <f>_xlfn.IFNA(VLOOKUP($BC48,Programma!$F$3:$T$1101,15,0),"")</f>
        <v/>
      </c>
      <c r="BR48" s="411" t="str">
        <f>_xlfn.IFNA(VLOOKUP($BC48,Programma!$F$3:$U$1101,16,0),"")</f>
        <v/>
      </c>
      <c r="BS48" s="411" t="str">
        <f>_xlfn.IFNA(VLOOKUP($BC48,Programma!$F$3:$V$1101,17,0),"")</f>
        <v/>
      </c>
      <c r="BT48" s="411" t="str">
        <f>_xlfn.IFNA(VLOOKUP($BC48,Programma!$F$3:$W$1101,18,0),"")</f>
        <v/>
      </c>
      <c r="BU48" s="411" t="str">
        <f>_xlfn.IFNA(VLOOKUP($BC48,Programma!$F$3:$X$1101,19,0),"")</f>
        <v/>
      </c>
      <c r="BV48" s="411" t="str">
        <f>_xlfn.IFNA(VLOOKUP($BC48,Programma!$F$3:$Y$1101,20,0),"")</f>
        <v/>
      </c>
    </row>
    <row r="49" spans="1:74" s="28" customFormat="1" ht="15" customHeight="1">
      <c r="A49" s="399">
        <v>1</v>
      </c>
      <c r="B49" s="400" t="str">
        <f>VLOOKUP(Ruimtestaat[[#This Row],[Code]],Locaties[[Code]:[Locatie]],2,FALSE)</f>
        <v>Jansstraat en Janskerk</v>
      </c>
      <c r="C49" s="400" t="str">
        <f>VLOOKUP(Ruimtestaat[[#This Row],[Code]],Locaties[[#All],[Code]:[Adres]],4,FALSE)</f>
        <v>Jansstraat 40</v>
      </c>
      <c r="D49" s="400" t="str">
        <f>VLOOKUP(Ruimtestaat[[#This Row],[Code]],Locaties[[#All],[Code]:[Postcode]],5,FALSE)</f>
        <v>2011 RX</v>
      </c>
      <c r="E49" s="400" t="str">
        <f>VLOOKUP(Ruimtestaat[[#This Row],[Code]],Locaties[#All],6,FALSE)</f>
        <v>Haarlem</v>
      </c>
      <c r="F49" s="399"/>
      <c r="G49" s="399" t="s">
        <v>1655</v>
      </c>
      <c r="H49" s="401">
        <v>8</v>
      </c>
      <c r="I49" s="402" t="s">
        <v>1646</v>
      </c>
      <c r="J49" s="336">
        <v>2</v>
      </c>
      <c r="K49" s="414" t="str">
        <f>VLOOKUP(Ruimtestaat[[#This Row],[Ruimte code]],Ruimtegroepen[[#All],[Code]:[Ruimte omschrijving]],2,FALSE)</f>
        <v>Kantoren</v>
      </c>
      <c r="L49" s="399" t="s">
        <v>100</v>
      </c>
      <c r="M49" s="402" t="s">
        <v>1647</v>
      </c>
      <c r="N49" s="404">
        <v>11.1</v>
      </c>
      <c r="O49" s="413"/>
      <c r="P49" s="405" t="str">
        <f>VLOOKUP(Ruimtestaat[[#This Row],[Ruimte code]],Ruimtegroepen[],4,FALSE)</f>
        <v>Bu</v>
      </c>
      <c r="Q49" s="399">
        <v>51</v>
      </c>
      <c r="R49" s="399" t="s">
        <v>18</v>
      </c>
      <c r="S49" s="399">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49" s="399">
        <f>IF(S49&gt;0,VLOOKUP($J49,Ruimtegroepen[],3,FALSE)*VLOOKUP($L49,Vloersoorten[],3,FALSE)*VLOOKUP($R49,Frequenties[],3,FALSE)*VLOOKUP($A49,Locaties[],3,FALSE),0)</f>
        <v>0</v>
      </c>
      <c r="U49" s="399">
        <f>Ruimtestaat[[#This Row],[Uitvoeringen werkdagen]]*Ruimtestaat[[#This Row],[Oppervlak (netto)]]</f>
        <v>1698.3</v>
      </c>
      <c r="V49" s="406">
        <f>IF(T49&gt;0,Ruimtestaat[[#This Row],[Prest. (m2 /jaar) werkdagen]]/Ruimtestaat[[#This Row],[Norm (m2/uur) werkdagen]],0)</f>
        <v>0</v>
      </c>
      <c r="W49" s="407">
        <f>Ruimtestaat[[#This Row],[uren / jaar werkdagen]]*Tariefsopbouw!$E$35</f>
        <v>0</v>
      </c>
      <c r="X49" s="399"/>
      <c r="Y49" s="399">
        <f>IF(Ruimtestaat[[#This Row],[Frequentie weekend]]&gt;0,VALUE(LEFT(X49,1))*Q49,0)</f>
        <v>0</v>
      </c>
      <c r="Z49" s="408">
        <f>IF($Y49&gt;0,VLOOKUP($J49,Ruimtegroepen[],3,FALSE)*VLOOKUP($L49,Vloersoorten[],3,FALSE)*VLOOKUP($X49,Frequenties[],3,FALSE)*VLOOKUP(Ruimtestaat[[#This Row],[Code]],Locaties[],3,FALSE),0)</f>
        <v>0</v>
      </c>
      <c r="AA49" s="408">
        <f>Ruimtestaat[[#This Row],[Uitvoeringen weekend]]*Ruimtestaat[[#This Row],[Oppervlak (netto)]]</f>
        <v>0</v>
      </c>
      <c r="AB49" s="408">
        <f>IF(Z49&gt;0,Ruimtestaat[[#This Row],[Prest. (m2 /jaar) weekend]]/Ruimtestaat[[#This Row],[Norm (m2/uur) weekend]],0)</f>
        <v>0</v>
      </c>
      <c r="AC49" s="407">
        <f>Ruimtestaat[[#This Row],[uren / jaar weekend]]*Tariefsopbouw!$D$40</f>
        <v>0</v>
      </c>
      <c r="AD49" s="406">
        <f>Ruimtestaat[[#This Row],[Prest. (m2 /jaar) weekend]]+Ruimtestaat[[#This Row],[Prest. (m2 /jaar) werkdagen]]</f>
        <v>1698.3</v>
      </c>
      <c r="AE49" s="406">
        <f>Ruimtestaat[[#This Row],[uren / jaar weekend]]+Ruimtestaat[[#This Row],[uren / jaar werkdagen]]</f>
        <v>0</v>
      </c>
      <c r="AF49" s="409">
        <f>Ruimtestaat[[#This Row],[kosten / jaar weekend]]+Ruimtestaat[[#This Row],[kosten / jaar werkdagen]]</f>
        <v>0</v>
      </c>
      <c r="AG49" s="409"/>
      <c r="AH49" s="410" t="str">
        <f>IF(Ruimtestaat[[#This Row],[Frequentie werkdagen]]="","",_xlfn.CONCAT(Ruimtestaat[[#This Row],[Ruimte code]],"-",Ruimtestaat[[#This Row],[Frequentie werkdagen]]," ",Ruimtestaat[[#This Row],[Vloer code]]))</f>
        <v>2-3w L</v>
      </c>
      <c r="AI49" s="411" t="str">
        <f>_xlfn.IFNA(VLOOKUP($AH49,Programma!$F$3:$G$1101,2,0),"")</f>
        <v>_</v>
      </c>
      <c r="AJ49" s="411" t="str">
        <f>_xlfn.IFNA(VLOOKUP($AH49,Programma!$F$3:$H$1101,3,0),"")</f>
        <v>_</v>
      </c>
      <c r="AK49" s="411" t="str">
        <f>_xlfn.IFNA(VLOOKUP($AH49,Programma!$F$3:$I$1101,4,0),"")</f>
        <v>2w</v>
      </c>
      <c r="AL49" s="411" t="str">
        <f>_xlfn.IFNA(VLOOKUP($AH49,Programma!$F$3:$J$1101,5,0),"")</f>
        <v>1w</v>
      </c>
      <c r="AM49" s="411" t="str">
        <f>_xlfn.IFNA(VLOOKUP($AH49,Programma!$F$3:$K$1101,6,0),"")</f>
        <v>_</v>
      </c>
      <c r="AN49" s="411" t="str">
        <f>_xlfn.IFNA(VLOOKUP($AH49,Programma!$F$3:$L$1101,7,0),"")</f>
        <v>_</v>
      </c>
      <c r="AO49" s="411" t="str">
        <f>_xlfn.IFNA(VLOOKUP($AH49,Programma!$F$3:$M$1101,8,0),"")</f>
        <v>_</v>
      </c>
      <c r="AP49" s="411" t="str">
        <f>_xlfn.IFNA(VLOOKUP($AH49,Programma!$F$3:$N$1101,9,0),"")</f>
        <v>_</v>
      </c>
      <c r="AQ49" s="411" t="str">
        <f>_xlfn.IFNA(VLOOKUP($AH49,Programma!$F$3:$O$1101,10,0),"")</f>
        <v>3w</v>
      </c>
      <c r="AR49" s="411" t="str">
        <f>_xlfn.IFNA(VLOOKUP($AH49,Programma!$F$3:$P$1101,11,0),"")</f>
        <v>3w</v>
      </c>
      <c r="AS49" s="411" t="str">
        <f>_xlfn.IFNA(VLOOKUP($AH49,Programma!$F$3:$Q$1101,12,0),"")</f>
        <v>1w</v>
      </c>
      <c r="AT49" s="411" t="str">
        <f>_xlfn.IFNA(VLOOKUP($AH49,Programma!$F$3:$R$1101,13,0),"")</f>
        <v>1w</v>
      </c>
      <c r="AU49" s="411" t="str">
        <f>_xlfn.IFNA(VLOOKUP($AH49,Programma!$F$3:$S$1101,14,0),"")</f>
        <v>1m</v>
      </c>
      <c r="AV49" s="411" t="str">
        <f>_xlfn.IFNA(VLOOKUP($AH49,Programma!$F$3:$T$1101,15,0),"")</f>
        <v>2j</v>
      </c>
      <c r="AW49" s="411" t="str">
        <f>_xlfn.IFNA(VLOOKUP($AH49,Programma!$F$3:$U$1101,16,0),"")</f>
        <v>1j</v>
      </c>
      <c r="AX49" s="411" t="str">
        <f>_xlfn.IFNA(VLOOKUP($AH49,Programma!$F$3:$V$1101,17,0),"")</f>
        <v>_</v>
      </c>
      <c r="AY49" s="411" t="str">
        <f>_xlfn.IFNA(VLOOKUP($AH49,Programma!$F$3:$W$1101,18,0),"")</f>
        <v>_</v>
      </c>
      <c r="AZ49" s="411" t="str">
        <f>_xlfn.IFNA(VLOOKUP($AH49,Programma!$F$3:$X$1101,19,0),"")</f>
        <v>_</v>
      </c>
      <c r="BA49" s="411" t="str">
        <f>_xlfn.IFNA(VLOOKUP($AH49,Programma!$F$3:$Y$1101,20,0),"")</f>
        <v>_</v>
      </c>
      <c r="BB49" s="412"/>
      <c r="BC49" s="410" t="str">
        <f>IF(Ruimtestaat[[#This Row],[Frequentie weekend]]="","",_xlfn.CONCAT(Ruimtestaat[[#This Row],[Ruimte code]],"-",Ruimtestaat[[#This Row],[Frequentie weekend]]," ",Ruimtestaat[[#This Row],[Vloer code]]))</f>
        <v/>
      </c>
      <c r="BD49" s="411" t="str">
        <f>_xlfn.IFNA(VLOOKUP($BC49,Programma!$F$3:$G$1101,2,0),"")</f>
        <v/>
      </c>
      <c r="BE49" s="411" t="str">
        <f>_xlfn.IFNA(VLOOKUP($BC49,Programma!$F$3:$H$1101,3,0),"")</f>
        <v/>
      </c>
      <c r="BF49" s="411" t="str">
        <f>_xlfn.IFNA(VLOOKUP($BC49,Programma!$F$3:$I$1101,4,0),"")</f>
        <v/>
      </c>
      <c r="BG49" s="411" t="str">
        <f>_xlfn.IFNA(VLOOKUP($BC49,Programma!$F$3:$J$1101,5,0),"")</f>
        <v/>
      </c>
      <c r="BH49" s="411" t="str">
        <f>_xlfn.IFNA(VLOOKUP($BC49,Programma!$F$3:$K$1101,6,0),"")</f>
        <v/>
      </c>
      <c r="BI49" s="411" t="str">
        <f>_xlfn.IFNA(VLOOKUP($BC49,Programma!$F$3:$L$1101,7,0),"")</f>
        <v/>
      </c>
      <c r="BJ49" s="411" t="str">
        <f>_xlfn.IFNA(VLOOKUP($BC49,Programma!$F$3:$M$1101,8,0),"")</f>
        <v/>
      </c>
      <c r="BK49" s="411" t="str">
        <f>_xlfn.IFNA(VLOOKUP($BC49,Programma!$F$3:$N$1101,9,0),"")</f>
        <v/>
      </c>
      <c r="BL49" s="411" t="str">
        <f>_xlfn.IFNA(VLOOKUP($BC49,Programma!$F$3:$O$1101,10,0),"")</f>
        <v/>
      </c>
      <c r="BM49" s="411" t="str">
        <f>_xlfn.IFNA(VLOOKUP($BC49,Programma!$F$3:$P$1101,11,0),"")</f>
        <v/>
      </c>
      <c r="BN49" s="411" t="str">
        <f>_xlfn.IFNA(VLOOKUP($BC49,Programma!$F$3:$Q$1101,12,0),"")</f>
        <v/>
      </c>
      <c r="BO49" s="411" t="str">
        <f>_xlfn.IFNA(VLOOKUP($BC49,Programma!$F$3:$R$1101,13,0),"")</f>
        <v/>
      </c>
      <c r="BP49" s="411" t="str">
        <f>_xlfn.IFNA(VLOOKUP($BC49,Programma!$F$3:$S$1101,14,0),"")</f>
        <v/>
      </c>
      <c r="BQ49" s="411" t="str">
        <f>_xlfn.IFNA(VLOOKUP($BC49,Programma!$F$3:$T$1101,15,0),"")</f>
        <v/>
      </c>
      <c r="BR49" s="411" t="str">
        <f>_xlfn.IFNA(VLOOKUP($BC49,Programma!$F$3:$U$1101,16,0),"")</f>
        <v/>
      </c>
      <c r="BS49" s="411" t="str">
        <f>_xlfn.IFNA(VLOOKUP($BC49,Programma!$F$3:$V$1101,17,0),"")</f>
        <v/>
      </c>
      <c r="BT49" s="411" t="str">
        <f>_xlfn.IFNA(VLOOKUP($BC49,Programma!$F$3:$W$1101,18,0),"")</f>
        <v/>
      </c>
      <c r="BU49" s="411" t="str">
        <f>_xlfn.IFNA(VLOOKUP($BC49,Programma!$F$3:$X$1101,19,0),"")</f>
        <v/>
      </c>
      <c r="BV49" s="411" t="str">
        <f>_xlfn.IFNA(VLOOKUP($BC49,Programma!$F$3:$Y$1101,20,0),"")</f>
        <v/>
      </c>
    </row>
    <row r="50" spans="1:74" s="28" customFormat="1" ht="14.25" customHeight="1">
      <c r="A50" s="399">
        <v>1</v>
      </c>
      <c r="B50" s="400" t="str">
        <f>VLOOKUP(Ruimtestaat[[#This Row],[Code]],Locaties[[Code]:[Locatie]],2,FALSE)</f>
        <v>Jansstraat en Janskerk</v>
      </c>
      <c r="C50" s="400" t="str">
        <f>VLOOKUP(Ruimtestaat[[#This Row],[Code]],Locaties[[#All],[Code]:[Adres]],4,FALSE)</f>
        <v>Jansstraat 40</v>
      </c>
      <c r="D50" s="400" t="str">
        <f>VLOOKUP(Ruimtestaat[[#This Row],[Code]],Locaties[[#All],[Code]:[Postcode]],5,FALSE)</f>
        <v>2011 RX</v>
      </c>
      <c r="E50" s="400" t="str">
        <f>VLOOKUP(Ruimtestaat[[#This Row],[Code]],Locaties[#All],6,FALSE)</f>
        <v>Haarlem</v>
      </c>
      <c r="F50" s="399"/>
      <c r="G50" s="399" t="s">
        <v>1655</v>
      </c>
      <c r="H50" s="401">
        <v>9</v>
      </c>
      <c r="I50" s="402" t="s">
        <v>1646</v>
      </c>
      <c r="J50" s="336">
        <v>2</v>
      </c>
      <c r="K50" s="414" t="str">
        <f>VLOOKUP(Ruimtestaat[[#This Row],[Ruimte code]],Ruimtegroepen[[#All],[Code]:[Ruimte omschrijving]],2,FALSE)</f>
        <v>Kantoren</v>
      </c>
      <c r="L50" s="399" t="s">
        <v>100</v>
      </c>
      <c r="M50" s="402" t="s">
        <v>1647</v>
      </c>
      <c r="N50" s="404">
        <v>16.399999999999999</v>
      </c>
      <c r="O50" s="413"/>
      <c r="P50" s="405" t="str">
        <f>VLOOKUP(Ruimtestaat[[#This Row],[Ruimte code]],Ruimtegroepen[],4,FALSE)</f>
        <v>Bu</v>
      </c>
      <c r="Q50" s="399">
        <v>51</v>
      </c>
      <c r="R50" s="399" t="s">
        <v>18</v>
      </c>
      <c r="S50" s="399">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50" s="399">
        <f>IF(S50&gt;0,VLOOKUP($J50,Ruimtegroepen[],3,FALSE)*VLOOKUP($L50,Vloersoorten[],3,FALSE)*VLOOKUP($R50,Frequenties[],3,FALSE)*VLOOKUP($A50,Locaties[],3,FALSE),0)</f>
        <v>0</v>
      </c>
      <c r="U50" s="399">
        <f>Ruimtestaat[[#This Row],[Uitvoeringen werkdagen]]*Ruimtestaat[[#This Row],[Oppervlak (netto)]]</f>
        <v>2509.1999999999998</v>
      </c>
      <c r="V50" s="406">
        <f>IF(T50&gt;0,Ruimtestaat[[#This Row],[Prest. (m2 /jaar) werkdagen]]/Ruimtestaat[[#This Row],[Norm (m2/uur) werkdagen]],0)</f>
        <v>0</v>
      </c>
      <c r="W50" s="407">
        <f>Ruimtestaat[[#This Row],[uren / jaar werkdagen]]*Tariefsopbouw!$E$35</f>
        <v>0</v>
      </c>
      <c r="X50" s="399"/>
      <c r="Y50" s="399">
        <f>IF(Ruimtestaat[[#This Row],[Frequentie weekend]]&gt;0,VALUE(LEFT(X50,1))*Q50,0)</f>
        <v>0</v>
      </c>
      <c r="Z50" s="408">
        <f>IF($Y50&gt;0,VLOOKUP($J50,Ruimtegroepen[],3,FALSE)*VLOOKUP($L50,Vloersoorten[],3,FALSE)*VLOOKUP($X50,Frequenties[],3,FALSE)*VLOOKUP(Ruimtestaat[[#This Row],[Code]],Locaties[],3,FALSE),0)</f>
        <v>0</v>
      </c>
      <c r="AA50" s="408">
        <f>Ruimtestaat[[#This Row],[Uitvoeringen weekend]]*Ruimtestaat[[#This Row],[Oppervlak (netto)]]</f>
        <v>0</v>
      </c>
      <c r="AB50" s="408">
        <f>IF(Z50&gt;0,Ruimtestaat[[#This Row],[Prest. (m2 /jaar) weekend]]/Ruimtestaat[[#This Row],[Norm (m2/uur) weekend]],0)</f>
        <v>0</v>
      </c>
      <c r="AC50" s="407">
        <f>Ruimtestaat[[#This Row],[uren / jaar weekend]]*Tariefsopbouw!$D$40</f>
        <v>0</v>
      </c>
      <c r="AD50" s="406">
        <f>Ruimtestaat[[#This Row],[Prest. (m2 /jaar) weekend]]+Ruimtestaat[[#This Row],[Prest. (m2 /jaar) werkdagen]]</f>
        <v>2509.1999999999998</v>
      </c>
      <c r="AE50" s="406">
        <f>Ruimtestaat[[#This Row],[uren / jaar weekend]]+Ruimtestaat[[#This Row],[uren / jaar werkdagen]]</f>
        <v>0</v>
      </c>
      <c r="AF50" s="409">
        <f>Ruimtestaat[[#This Row],[kosten / jaar weekend]]+Ruimtestaat[[#This Row],[kosten / jaar werkdagen]]</f>
        <v>0</v>
      </c>
      <c r="AG50" s="409"/>
      <c r="AH50" s="410" t="str">
        <f>IF(Ruimtestaat[[#This Row],[Frequentie werkdagen]]="","",_xlfn.CONCAT(Ruimtestaat[[#This Row],[Ruimte code]],"-",Ruimtestaat[[#This Row],[Frequentie werkdagen]]," ",Ruimtestaat[[#This Row],[Vloer code]]))</f>
        <v>2-3w L</v>
      </c>
      <c r="AI50" s="411" t="str">
        <f>_xlfn.IFNA(VLOOKUP($AH50,Programma!$F$3:$G$1101,2,0),"")</f>
        <v>_</v>
      </c>
      <c r="AJ50" s="411" t="str">
        <f>_xlfn.IFNA(VLOOKUP($AH50,Programma!$F$3:$H$1101,3,0),"")</f>
        <v>_</v>
      </c>
      <c r="AK50" s="411" t="str">
        <f>_xlfn.IFNA(VLOOKUP($AH50,Programma!$F$3:$I$1101,4,0),"")</f>
        <v>2w</v>
      </c>
      <c r="AL50" s="411" t="str">
        <f>_xlfn.IFNA(VLOOKUP($AH50,Programma!$F$3:$J$1101,5,0),"")</f>
        <v>1w</v>
      </c>
      <c r="AM50" s="411" t="str">
        <f>_xlfn.IFNA(VLOOKUP($AH50,Programma!$F$3:$K$1101,6,0),"")</f>
        <v>_</v>
      </c>
      <c r="AN50" s="411" t="str">
        <f>_xlfn.IFNA(VLOOKUP($AH50,Programma!$F$3:$L$1101,7,0),"")</f>
        <v>_</v>
      </c>
      <c r="AO50" s="411" t="str">
        <f>_xlfn.IFNA(VLOOKUP($AH50,Programma!$F$3:$M$1101,8,0),"")</f>
        <v>_</v>
      </c>
      <c r="AP50" s="411" t="str">
        <f>_xlfn.IFNA(VLOOKUP($AH50,Programma!$F$3:$N$1101,9,0),"")</f>
        <v>_</v>
      </c>
      <c r="AQ50" s="411" t="str">
        <f>_xlfn.IFNA(VLOOKUP($AH50,Programma!$F$3:$O$1101,10,0),"")</f>
        <v>3w</v>
      </c>
      <c r="AR50" s="411" t="str">
        <f>_xlfn.IFNA(VLOOKUP($AH50,Programma!$F$3:$P$1101,11,0),"")</f>
        <v>3w</v>
      </c>
      <c r="AS50" s="411" t="str">
        <f>_xlfn.IFNA(VLOOKUP($AH50,Programma!$F$3:$Q$1101,12,0),"")</f>
        <v>1w</v>
      </c>
      <c r="AT50" s="411" t="str">
        <f>_xlfn.IFNA(VLOOKUP($AH50,Programma!$F$3:$R$1101,13,0),"")</f>
        <v>1w</v>
      </c>
      <c r="AU50" s="411" t="str">
        <f>_xlfn.IFNA(VLOOKUP($AH50,Programma!$F$3:$S$1101,14,0),"")</f>
        <v>1m</v>
      </c>
      <c r="AV50" s="411" t="str">
        <f>_xlfn.IFNA(VLOOKUP($AH50,Programma!$F$3:$T$1101,15,0),"")</f>
        <v>2j</v>
      </c>
      <c r="AW50" s="411" t="str">
        <f>_xlfn.IFNA(VLOOKUP($AH50,Programma!$F$3:$U$1101,16,0),"")</f>
        <v>1j</v>
      </c>
      <c r="AX50" s="411" t="str">
        <f>_xlfn.IFNA(VLOOKUP($AH50,Programma!$F$3:$V$1101,17,0),"")</f>
        <v>_</v>
      </c>
      <c r="AY50" s="411" t="str">
        <f>_xlfn.IFNA(VLOOKUP($AH50,Programma!$F$3:$W$1101,18,0),"")</f>
        <v>_</v>
      </c>
      <c r="AZ50" s="411" t="str">
        <f>_xlfn.IFNA(VLOOKUP($AH50,Programma!$F$3:$X$1101,19,0),"")</f>
        <v>_</v>
      </c>
      <c r="BA50" s="411" t="str">
        <f>_xlfn.IFNA(VLOOKUP($AH50,Programma!$F$3:$Y$1101,20,0),"")</f>
        <v>_</v>
      </c>
      <c r="BB50" s="412"/>
      <c r="BC50" s="410" t="str">
        <f>IF(Ruimtestaat[[#This Row],[Frequentie weekend]]="","",_xlfn.CONCAT(Ruimtestaat[[#This Row],[Ruimte code]],"-",Ruimtestaat[[#This Row],[Frequentie weekend]]," ",Ruimtestaat[[#This Row],[Vloer code]]))</f>
        <v/>
      </c>
      <c r="BD50" s="411" t="str">
        <f>_xlfn.IFNA(VLOOKUP($BC50,Programma!$F$3:$G$1101,2,0),"")</f>
        <v/>
      </c>
      <c r="BE50" s="411" t="str">
        <f>_xlfn.IFNA(VLOOKUP($BC50,Programma!$F$3:$H$1101,3,0),"")</f>
        <v/>
      </c>
      <c r="BF50" s="411" t="str">
        <f>_xlfn.IFNA(VLOOKUP($BC50,Programma!$F$3:$I$1101,4,0),"")</f>
        <v/>
      </c>
      <c r="BG50" s="411" t="str">
        <f>_xlfn.IFNA(VLOOKUP($BC50,Programma!$F$3:$J$1101,5,0),"")</f>
        <v/>
      </c>
      <c r="BH50" s="411" t="str">
        <f>_xlfn.IFNA(VLOOKUP($BC50,Programma!$F$3:$K$1101,6,0),"")</f>
        <v/>
      </c>
      <c r="BI50" s="411" t="str">
        <f>_xlfn.IFNA(VLOOKUP($BC50,Programma!$F$3:$L$1101,7,0),"")</f>
        <v/>
      </c>
      <c r="BJ50" s="411" t="str">
        <f>_xlfn.IFNA(VLOOKUP($BC50,Programma!$F$3:$M$1101,8,0),"")</f>
        <v/>
      </c>
      <c r="BK50" s="411" t="str">
        <f>_xlfn.IFNA(VLOOKUP($BC50,Programma!$F$3:$N$1101,9,0),"")</f>
        <v/>
      </c>
      <c r="BL50" s="411" t="str">
        <f>_xlfn.IFNA(VLOOKUP($BC50,Programma!$F$3:$O$1101,10,0),"")</f>
        <v/>
      </c>
      <c r="BM50" s="411" t="str">
        <f>_xlfn.IFNA(VLOOKUP($BC50,Programma!$F$3:$P$1101,11,0),"")</f>
        <v/>
      </c>
      <c r="BN50" s="411" t="str">
        <f>_xlfn.IFNA(VLOOKUP($BC50,Programma!$F$3:$Q$1101,12,0),"")</f>
        <v/>
      </c>
      <c r="BO50" s="411" t="str">
        <f>_xlfn.IFNA(VLOOKUP($BC50,Programma!$F$3:$R$1101,13,0),"")</f>
        <v/>
      </c>
      <c r="BP50" s="411" t="str">
        <f>_xlfn.IFNA(VLOOKUP($BC50,Programma!$F$3:$S$1101,14,0),"")</f>
        <v/>
      </c>
      <c r="BQ50" s="411" t="str">
        <f>_xlfn.IFNA(VLOOKUP($BC50,Programma!$F$3:$T$1101,15,0),"")</f>
        <v/>
      </c>
      <c r="BR50" s="411" t="str">
        <f>_xlfn.IFNA(VLOOKUP($BC50,Programma!$F$3:$U$1101,16,0),"")</f>
        <v/>
      </c>
      <c r="BS50" s="411" t="str">
        <f>_xlfn.IFNA(VLOOKUP($BC50,Programma!$F$3:$V$1101,17,0),"")</f>
        <v/>
      </c>
      <c r="BT50" s="411" t="str">
        <f>_xlfn.IFNA(VLOOKUP($BC50,Programma!$F$3:$W$1101,18,0),"")</f>
        <v/>
      </c>
      <c r="BU50" s="411" t="str">
        <f>_xlfn.IFNA(VLOOKUP($BC50,Programma!$F$3:$X$1101,19,0),"")</f>
        <v/>
      </c>
      <c r="BV50" s="411" t="str">
        <f>_xlfn.IFNA(VLOOKUP($BC50,Programma!$F$3:$Y$1101,20,0),"")</f>
        <v/>
      </c>
    </row>
    <row r="51" spans="1:74" s="28" customFormat="1" ht="15" customHeight="1">
      <c r="A51" s="399">
        <v>1</v>
      </c>
      <c r="B51" s="400" t="str">
        <f>VLOOKUP(Ruimtestaat[[#This Row],[Code]],Locaties[[Code]:[Locatie]],2,FALSE)</f>
        <v>Jansstraat en Janskerk</v>
      </c>
      <c r="C51" s="400" t="str">
        <f>VLOOKUP(Ruimtestaat[[#This Row],[Code]],Locaties[[#All],[Code]:[Adres]],4,FALSE)</f>
        <v>Jansstraat 40</v>
      </c>
      <c r="D51" s="400" t="str">
        <f>VLOOKUP(Ruimtestaat[[#This Row],[Code]],Locaties[[#All],[Code]:[Postcode]],5,FALSE)</f>
        <v>2011 RX</v>
      </c>
      <c r="E51" s="400" t="str">
        <f>VLOOKUP(Ruimtestaat[[#This Row],[Code]],Locaties[#All],6,FALSE)</f>
        <v>Haarlem</v>
      </c>
      <c r="F51" s="399"/>
      <c r="G51" s="399" t="s">
        <v>1655</v>
      </c>
      <c r="H51" s="401">
        <v>10</v>
      </c>
      <c r="I51" s="402" t="s">
        <v>1642</v>
      </c>
      <c r="J51" s="336">
        <v>6</v>
      </c>
      <c r="K51" s="414" t="str">
        <f>VLOOKUP(Ruimtestaat[[#This Row],[Ruimte code]],Ruimtegroepen[[#All],[Code]:[Ruimte omschrijving]],2,FALSE)</f>
        <v>Gangen/hallen</v>
      </c>
      <c r="L51" s="399" t="s">
        <v>100</v>
      </c>
      <c r="M51" s="402" t="s">
        <v>1647</v>
      </c>
      <c r="N51" s="404">
        <v>49.3</v>
      </c>
      <c r="O51" s="399"/>
      <c r="P51" s="405" t="str">
        <f>VLOOKUP(Ruimtestaat[[#This Row],[Ruimte code]],Ruimtegroepen[],4,FALSE)</f>
        <v>Ve</v>
      </c>
      <c r="Q51" s="399">
        <v>51</v>
      </c>
      <c r="R51" s="399" t="s">
        <v>2</v>
      </c>
      <c r="S51" s="399">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1" s="399">
        <f>IF(S51&gt;0,VLOOKUP($J51,Ruimtegroepen[],3,FALSE)*VLOOKUP($L51,Vloersoorten[],3,FALSE)*VLOOKUP($R51,Frequenties[],3,FALSE)*VLOOKUP($A51,Locaties[],3,FALSE),0)</f>
        <v>0</v>
      </c>
      <c r="U51" s="399">
        <f>Ruimtestaat[[#This Row],[Uitvoeringen werkdagen]]*Ruimtestaat[[#This Row],[Oppervlak (netto)]]</f>
        <v>12571.5</v>
      </c>
      <c r="V51" s="406">
        <f>IF(T51&gt;0,Ruimtestaat[[#This Row],[Prest. (m2 /jaar) werkdagen]]/Ruimtestaat[[#This Row],[Norm (m2/uur) werkdagen]],0)</f>
        <v>0</v>
      </c>
      <c r="W51" s="407">
        <f>Ruimtestaat[[#This Row],[uren / jaar werkdagen]]*Tariefsopbouw!$E$35</f>
        <v>0</v>
      </c>
      <c r="X51" s="399"/>
      <c r="Y51" s="399">
        <f>IF(Ruimtestaat[[#This Row],[Frequentie weekend]]&gt;0,VALUE(LEFT(X51,1))*Q51,0)</f>
        <v>0</v>
      </c>
      <c r="Z51" s="408">
        <f>IF($Y51&gt;0,VLOOKUP($J51,Ruimtegroepen[],3,FALSE)*VLOOKUP($L51,Vloersoorten[],3,FALSE)*VLOOKUP($X51,Frequenties[],3,FALSE)*VLOOKUP(Ruimtestaat[[#This Row],[Code]],Locaties[],3,FALSE),0)</f>
        <v>0</v>
      </c>
      <c r="AA51" s="408">
        <f>Ruimtestaat[[#This Row],[Uitvoeringen weekend]]*Ruimtestaat[[#This Row],[Oppervlak (netto)]]</f>
        <v>0</v>
      </c>
      <c r="AB51" s="408">
        <f>IF(Z51&gt;0,Ruimtestaat[[#This Row],[Prest. (m2 /jaar) weekend]]/Ruimtestaat[[#This Row],[Norm (m2/uur) weekend]],0)</f>
        <v>0</v>
      </c>
      <c r="AC51" s="407">
        <f>Ruimtestaat[[#This Row],[uren / jaar weekend]]*Tariefsopbouw!$D$40</f>
        <v>0</v>
      </c>
      <c r="AD51" s="406">
        <f>Ruimtestaat[[#This Row],[Prest. (m2 /jaar) weekend]]+Ruimtestaat[[#This Row],[Prest. (m2 /jaar) werkdagen]]</f>
        <v>12571.5</v>
      </c>
      <c r="AE51" s="406">
        <f>Ruimtestaat[[#This Row],[uren / jaar weekend]]+Ruimtestaat[[#This Row],[uren / jaar werkdagen]]</f>
        <v>0</v>
      </c>
      <c r="AF51" s="409">
        <f>Ruimtestaat[[#This Row],[kosten / jaar weekend]]+Ruimtestaat[[#This Row],[kosten / jaar werkdagen]]</f>
        <v>0</v>
      </c>
      <c r="AG51" s="409"/>
      <c r="AH51" s="410" t="str">
        <f>IF(Ruimtestaat[[#This Row],[Frequentie werkdagen]]="","",_xlfn.CONCAT(Ruimtestaat[[#This Row],[Ruimte code]],"-",Ruimtestaat[[#This Row],[Frequentie werkdagen]]," ",Ruimtestaat[[#This Row],[Vloer code]]))</f>
        <v>6-5w L</v>
      </c>
      <c r="AI51" s="411" t="str">
        <f>_xlfn.IFNA(VLOOKUP($AH51,Programma!$F$3:$G$1101,2,0),"")</f>
        <v>_</v>
      </c>
      <c r="AJ51" s="411" t="str">
        <f>_xlfn.IFNA(VLOOKUP($AH51,Programma!$F$3:$H$1101,3,0),"")</f>
        <v>_</v>
      </c>
      <c r="AK51" s="411" t="str">
        <f>_xlfn.IFNA(VLOOKUP($AH51,Programma!$F$3:$I$1101,4,0),"")</f>
        <v>_</v>
      </c>
      <c r="AL51" s="411" t="str">
        <f>_xlfn.IFNA(VLOOKUP($AH51,Programma!$F$3:$J$1101,5,0),"")</f>
        <v>5w</v>
      </c>
      <c r="AM51" s="411" t="str">
        <f>_xlfn.IFNA(VLOOKUP($AH51,Programma!$F$3:$K$1101,6,0),"")</f>
        <v>_</v>
      </c>
      <c r="AN51" s="411" t="str">
        <f>_xlfn.IFNA(VLOOKUP($AH51,Programma!$F$3:$L$1101,7,0),"")</f>
        <v>_</v>
      </c>
      <c r="AO51" s="411" t="str">
        <f>_xlfn.IFNA(VLOOKUP($AH51,Programma!$F$3:$M$1101,8,0),"")</f>
        <v>_</v>
      </c>
      <c r="AP51" s="411" t="str">
        <f>_xlfn.IFNA(VLOOKUP($AH51,Programma!$F$3:$N$1101,9,0),"")</f>
        <v>_</v>
      </c>
      <c r="AQ51" s="411" t="str">
        <f>_xlfn.IFNA(VLOOKUP($AH51,Programma!$F$3:$O$1101,10,0),"")</f>
        <v>5w</v>
      </c>
      <c r="AR51" s="411" t="str">
        <f>_xlfn.IFNA(VLOOKUP($AH51,Programma!$F$3:$P$1101,11,0),"")</f>
        <v>5w</v>
      </c>
      <c r="AS51" s="411" t="str">
        <f>_xlfn.IFNA(VLOOKUP($AH51,Programma!$F$3:$Q$1101,12,0),"")</f>
        <v>1w</v>
      </c>
      <c r="AT51" s="411" t="str">
        <f>_xlfn.IFNA(VLOOKUP($AH51,Programma!$F$3:$R$1101,13,0),"")</f>
        <v>1w</v>
      </c>
      <c r="AU51" s="411" t="str">
        <f>_xlfn.IFNA(VLOOKUP($AH51,Programma!$F$3:$S$1101,14,0),"")</f>
        <v>1m</v>
      </c>
      <c r="AV51" s="411" t="str">
        <f>_xlfn.IFNA(VLOOKUP($AH51,Programma!$F$3:$T$1101,15,0),"")</f>
        <v>2j</v>
      </c>
      <c r="AW51" s="411" t="str">
        <f>_xlfn.IFNA(VLOOKUP($AH51,Programma!$F$3:$U$1101,16,0),"")</f>
        <v>1j</v>
      </c>
      <c r="AX51" s="411" t="str">
        <f>_xlfn.IFNA(VLOOKUP($AH51,Programma!$F$3:$V$1101,17,0),"")</f>
        <v>_</v>
      </c>
      <c r="AY51" s="411" t="str">
        <f>_xlfn.IFNA(VLOOKUP($AH51,Programma!$F$3:$W$1101,18,0),"")</f>
        <v>_</v>
      </c>
      <c r="AZ51" s="411" t="str">
        <f>_xlfn.IFNA(VLOOKUP($AH51,Programma!$F$3:$X$1101,19,0),"")</f>
        <v>_</v>
      </c>
      <c r="BA51" s="411" t="str">
        <f>_xlfn.IFNA(VLOOKUP($AH51,Programma!$F$3:$Y$1101,20,0),"")</f>
        <v>_</v>
      </c>
      <c r="BB51" s="412"/>
      <c r="BC51" s="410" t="str">
        <f>IF(Ruimtestaat[[#This Row],[Frequentie weekend]]="","",_xlfn.CONCAT(Ruimtestaat[[#This Row],[Ruimte code]],"-",Ruimtestaat[[#This Row],[Frequentie weekend]]," ",Ruimtestaat[[#This Row],[Vloer code]]))</f>
        <v/>
      </c>
      <c r="BD51" s="411" t="str">
        <f>_xlfn.IFNA(VLOOKUP($BC51,Programma!$F$3:$G$1101,2,0),"")</f>
        <v/>
      </c>
      <c r="BE51" s="411" t="str">
        <f>_xlfn.IFNA(VLOOKUP($BC51,Programma!$F$3:$H$1101,3,0),"")</f>
        <v/>
      </c>
      <c r="BF51" s="411" t="str">
        <f>_xlfn.IFNA(VLOOKUP($BC51,Programma!$F$3:$I$1101,4,0),"")</f>
        <v/>
      </c>
      <c r="BG51" s="411" t="str">
        <f>_xlfn.IFNA(VLOOKUP($BC51,Programma!$F$3:$J$1101,5,0),"")</f>
        <v/>
      </c>
      <c r="BH51" s="411" t="str">
        <f>_xlfn.IFNA(VLOOKUP($BC51,Programma!$F$3:$K$1101,6,0),"")</f>
        <v/>
      </c>
      <c r="BI51" s="411" t="str">
        <f>_xlfn.IFNA(VLOOKUP($BC51,Programma!$F$3:$L$1101,7,0),"")</f>
        <v/>
      </c>
      <c r="BJ51" s="411" t="str">
        <f>_xlfn.IFNA(VLOOKUP($BC51,Programma!$F$3:$M$1101,8,0),"")</f>
        <v/>
      </c>
      <c r="BK51" s="411" t="str">
        <f>_xlfn.IFNA(VLOOKUP($BC51,Programma!$F$3:$N$1101,9,0),"")</f>
        <v/>
      </c>
      <c r="BL51" s="411" t="str">
        <f>_xlfn.IFNA(VLOOKUP($BC51,Programma!$F$3:$O$1101,10,0),"")</f>
        <v/>
      </c>
      <c r="BM51" s="411" t="str">
        <f>_xlfn.IFNA(VLOOKUP($BC51,Programma!$F$3:$P$1101,11,0),"")</f>
        <v/>
      </c>
      <c r="BN51" s="411" t="str">
        <f>_xlfn.IFNA(VLOOKUP($BC51,Programma!$F$3:$Q$1101,12,0),"")</f>
        <v/>
      </c>
      <c r="BO51" s="411" t="str">
        <f>_xlfn.IFNA(VLOOKUP($BC51,Programma!$F$3:$R$1101,13,0),"")</f>
        <v/>
      </c>
      <c r="BP51" s="411" t="str">
        <f>_xlfn.IFNA(VLOOKUP($BC51,Programma!$F$3:$S$1101,14,0),"")</f>
        <v/>
      </c>
      <c r="BQ51" s="411" t="str">
        <f>_xlfn.IFNA(VLOOKUP($BC51,Programma!$F$3:$T$1101,15,0),"")</f>
        <v/>
      </c>
      <c r="BR51" s="411" t="str">
        <f>_xlfn.IFNA(VLOOKUP($BC51,Programma!$F$3:$U$1101,16,0),"")</f>
        <v/>
      </c>
      <c r="BS51" s="411" t="str">
        <f>_xlfn.IFNA(VLOOKUP($BC51,Programma!$F$3:$V$1101,17,0),"")</f>
        <v/>
      </c>
      <c r="BT51" s="411" t="str">
        <f>_xlfn.IFNA(VLOOKUP($BC51,Programma!$F$3:$W$1101,18,0),"")</f>
        <v/>
      </c>
      <c r="BU51" s="411" t="str">
        <f>_xlfn.IFNA(VLOOKUP($BC51,Programma!$F$3:$X$1101,19,0),"")</f>
        <v/>
      </c>
      <c r="BV51" s="411" t="str">
        <f>_xlfn.IFNA(VLOOKUP($BC51,Programma!$F$3:$Y$1101,20,0),"")</f>
        <v/>
      </c>
    </row>
    <row r="52" spans="1:74" s="28" customFormat="1" ht="15" customHeight="1">
      <c r="A52" s="399">
        <v>1</v>
      </c>
      <c r="B52" s="400" t="str">
        <f>VLOOKUP(Ruimtestaat[[#This Row],[Code]],Locaties[[Code]:[Locatie]],2,FALSE)</f>
        <v>Jansstraat en Janskerk</v>
      </c>
      <c r="C52" s="400" t="str">
        <f>VLOOKUP(Ruimtestaat[[#This Row],[Code]],Locaties[[#All],[Code]:[Adres]],4,FALSE)</f>
        <v>Jansstraat 40</v>
      </c>
      <c r="D52" s="400" t="str">
        <f>VLOOKUP(Ruimtestaat[[#This Row],[Code]],Locaties[[#All],[Code]:[Postcode]],5,FALSE)</f>
        <v>2011 RX</v>
      </c>
      <c r="E52" s="400" t="str">
        <f>VLOOKUP(Ruimtestaat[[#This Row],[Code]],Locaties[#All],6,FALSE)</f>
        <v>Haarlem</v>
      </c>
      <c r="F52" s="399"/>
      <c r="G52" s="399" t="s">
        <v>1655</v>
      </c>
      <c r="H52" s="401" t="s">
        <v>1656</v>
      </c>
      <c r="I52" s="402" t="s">
        <v>1642</v>
      </c>
      <c r="J52" s="336">
        <v>6</v>
      </c>
      <c r="K52" s="414" t="str">
        <f>VLOOKUP(Ruimtestaat[[#This Row],[Ruimte code]],Ruimtegroepen[[#All],[Code]:[Ruimte omschrijving]],2,FALSE)</f>
        <v>Gangen/hallen</v>
      </c>
      <c r="L52" s="399" t="s">
        <v>100</v>
      </c>
      <c r="M52" s="402" t="s">
        <v>1647</v>
      </c>
      <c r="N52" s="404">
        <v>82.1</v>
      </c>
      <c r="O52" s="413"/>
      <c r="P52" s="405" t="str">
        <f>VLOOKUP(Ruimtestaat[[#This Row],[Ruimte code]],Ruimtegroepen[],4,FALSE)</f>
        <v>Ve</v>
      </c>
      <c r="Q52" s="399">
        <v>51</v>
      </c>
      <c r="R52" s="399" t="s">
        <v>2</v>
      </c>
      <c r="S52" s="399">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2" s="399">
        <f>IF(S52&gt;0,VLOOKUP($J52,Ruimtegroepen[],3,FALSE)*VLOOKUP($L52,Vloersoorten[],3,FALSE)*VLOOKUP($R52,Frequenties[],3,FALSE)*VLOOKUP($A52,Locaties[],3,FALSE),0)</f>
        <v>0</v>
      </c>
      <c r="U52" s="399">
        <f>Ruimtestaat[[#This Row],[Uitvoeringen werkdagen]]*Ruimtestaat[[#This Row],[Oppervlak (netto)]]</f>
        <v>20935.5</v>
      </c>
      <c r="V52" s="406">
        <f>IF(T52&gt;0,Ruimtestaat[[#This Row],[Prest. (m2 /jaar) werkdagen]]/Ruimtestaat[[#This Row],[Norm (m2/uur) werkdagen]],0)</f>
        <v>0</v>
      </c>
      <c r="W52" s="407">
        <f>Ruimtestaat[[#This Row],[uren / jaar werkdagen]]*Tariefsopbouw!$E$35</f>
        <v>0</v>
      </c>
      <c r="X52" s="399"/>
      <c r="Y52" s="399">
        <f>IF(Ruimtestaat[[#This Row],[Frequentie weekend]]&gt;0,VALUE(LEFT(X52,1))*Q52,0)</f>
        <v>0</v>
      </c>
      <c r="Z52" s="408">
        <f>IF($Y52&gt;0,VLOOKUP($J52,Ruimtegroepen[],3,FALSE)*VLOOKUP($L52,Vloersoorten[],3,FALSE)*VLOOKUP($X52,Frequenties[],3,FALSE)*VLOOKUP(Ruimtestaat[[#This Row],[Code]],Locaties[],3,FALSE),0)</f>
        <v>0</v>
      </c>
      <c r="AA52" s="408">
        <f>Ruimtestaat[[#This Row],[Uitvoeringen weekend]]*Ruimtestaat[[#This Row],[Oppervlak (netto)]]</f>
        <v>0</v>
      </c>
      <c r="AB52" s="408">
        <f>IF(Z52&gt;0,Ruimtestaat[[#This Row],[Prest. (m2 /jaar) weekend]]/Ruimtestaat[[#This Row],[Norm (m2/uur) weekend]],0)</f>
        <v>0</v>
      </c>
      <c r="AC52" s="407">
        <f>Ruimtestaat[[#This Row],[uren / jaar weekend]]*Tariefsopbouw!$D$40</f>
        <v>0</v>
      </c>
      <c r="AD52" s="406">
        <f>Ruimtestaat[[#This Row],[Prest. (m2 /jaar) weekend]]+Ruimtestaat[[#This Row],[Prest. (m2 /jaar) werkdagen]]</f>
        <v>20935.5</v>
      </c>
      <c r="AE52" s="406">
        <f>Ruimtestaat[[#This Row],[uren / jaar weekend]]+Ruimtestaat[[#This Row],[uren / jaar werkdagen]]</f>
        <v>0</v>
      </c>
      <c r="AF52" s="409">
        <f>Ruimtestaat[[#This Row],[kosten / jaar weekend]]+Ruimtestaat[[#This Row],[kosten / jaar werkdagen]]</f>
        <v>0</v>
      </c>
      <c r="AG52" s="409"/>
      <c r="AH52" s="410" t="str">
        <f>IF(Ruimtestaat[[#This Row],[Frequentie werkdagen]]="","",_xlfn.CONCAT(Ruimtestaat[[#This Row],[Ruimte code]],"-",Ruimtestaat[[#This Row],[Frequentie werkdagen]]," ",Ruimtestaat[[#This Row],[Vloer code]]))</f>
        <v>6-5w L</v>
      </c>
      <c r="AI52" s="411" t="str">
        <f>_xlfn.IFNA(VLOOKUP($AH52,Programma!$F$3:$G$1101,2,0),"")</f>
        <v>_</v>
      </c>
      <c r="AJ52" s="411" t="str">
        <f>_xlfn.IFNA(VLOOKUP($AH52,Programma!$F$3:$H$1101,3,0),"")</f>
        <v>_</v>
      </c>
      <c r="AK52" s="411" t="str">
        <f>_xlfn.IFNA(VLOOKUP($AH52,Programma!$F$3:$I$1101,4,0),"")</f>
        <v>_</v>
      </c>
      <c r="AL52" s="411" t="str">
        <f>_xlfn.IFNA(VLOOKUP($AH52,Programma!$F$3:$J$1101,5,0),"")</f>
        <v>5w</v>
      </c>
      <c r="AM52" s="411" t="str">
        <f>_xlfn.IFNA(VLOOKUP($AH52,Programma!$F$3:$K$1101,6,0),"")</f>
        <v>_</v>
      </c>
      <c r="AN52" s="411" t="str">
        <f>_xlfn.IFNA(VLOOKUP($AH52,Programma!$F$3:$L$1101,7,0),"")</f>
        <v>_</v>
      </c>
      <c r="AO52" s="411" t="str">
        <f>_xlfn.IFNA(VLOOKUP($AH52,Programma!$F$3:$M$1101,8,0),"")</f>
        <v>_</v>
      </c>
      <c r="AP52" s="411" t="str">
        <f>_xlfn.IFNA(VLOOKUP($AH52,Programma!$F$3:$N$1101,9,0),"")</f>
        <v>_</v>
      </c>
      <c r="AQ52" s="411" t="str">
        <f>_xlfn.IFNA(VLOOKUP($AH52,Programma!$F$3:$O$1101,10,0),"")</f>
        <v>5w</v>
      </c>
      <c r="AR52" s="411" t="str">
        <f>_xlfn.IFNA(VLOOKUP($AH52,Programma!$F$3:$P$1101,11,0),"")</f>
        <v>5w</v>
      </c>
      <c r="AS52" s="411" t="str">
        <f>_xlfn.IFNA(VLOOKUP($AH52,Programma!$F$3:$Q$1101,12,0),"")</f>
        <v>1w</v>
      </c>
      <c r="AT52" s="411" t="str">
        <f>_xlfn.IFNA(VLOOKUP($AH52,Programma!$F$3:$R$1101,13,0),"")</f>
        <v>1w</v>
      </c>
      <c r="AU52" s="411" t="str">
        <f>_xlfn.IFNA(VLOOKUP($AH52,Programma!$F$3:$S$1101,14,0),"")</f>
        <v>1m</v>
      </c>
      <c r="AV52" s="411" t="str">
        <f>_xlfn.IFNA(VLOOKUP($AH52,Programma!$F$3:$T$1101,15,0),"")</f>
        <v>2j</v>
      </c>
      <c r="AW52" s="411" t="str">
        <f>_xlfn.IFNA(VLOOKUP($AH52,Programma!$F$3:$U$1101,16,0),"")</f>
        <v>1j</v>
      </c>
      <c r="AX52" s="411" t="str">
        <f>_xlfn.IFNA(VLOOKUP($AH52,Programma!$F$3:$V$1101,17,0),"")</f>
        <v>_</v>
      </c>
      <c r="AY52" s="411" t="str">
        <f>_xlfn.IFNA(VLOOKUP($AH52,Programma!$F$3:$W$1101,18,0),"")</f>
        <v>_</v>
      </c>
      <c r="AZ52" s="411" t="str">
        <f>_xlfn.IFNA(VLOOKUP($AH52,Programma!$F$3:$X$1101,19,0),"")</f>
        <v>_</v>
      </c>
      <c r="BA52" s="411" t="str">
        <f>_xlfn.IFNA(VLOOKUP($AH52,Programma!$F$3:$Y$1101,20,0),"")</f>
        <v>_</v>
      </c>
      <c r="BB52" s="412"/>
      <c r="BC52" s="410" t="str">
        <f>IF(Ruimtestaat[[#This Row],[Frequentie weekend]]="","",_xlfn.CONCAT(Ruimtestaat[[#This Row],[Ruimte code]],"-",Ruimtestaat[[#This Row],[Frequentie weekend]]," ",Ruimtestaat[[#This Row],[Vloer code]]))</f>
        <v/>
      </c>
      <c r="BD52" s="411" t="str">
        <f>_xlfn.IFNA(VLOOKUP($BC52,Programma!$F$3:$G$1101,2,0),"")</f>
        <v/>
      </c>
      <c r="BE52" s="411" t="str">
        <f>_xlfn.IFNA(VLOOKUP($BC52,Programma!$F$3:$H$1101,3,0),"")</f>
        <v/>
      </c>
      <c r="BF52" s="411" t="str">
        <f>_xlfn.IFNA(VLOOKUP($BC52,Programma!$F$3:$I$1101,4,0),"")</f>
        <v/>
      </c>
      <c r="BG52" s="411" t="str">
        <f>_xlfn.IFNA(VLOOKUP($BC52,Programma!$F$3:$J$1101,5,0),"")</f>
        <v/>
      </c>
      <c r="BH52" s="411" t="str">
        <f>_xlfn.IFNA(VLOOKUP($BC52,Programma!$F$3:$K$1101,6,0),"")</f>
        <v/>
      </c>
      <c r="BI52" s="411" t="str">
        <f>_xlfn.IFNA(VLOOKUP($BC52,Programma!$F$3:$L$1101,7,0),"")</f>
        <v/>
      </c>
      <c r="BJ52" s="411" t="str">
        <f>_xlfn.IFNA(VLOOKUP($BC52,Programma!$F$3:$M$1101,8,0),"")</f>
        <v/>
      </c>
      <c r="BK52" s="411" t="str">
        <f>_xlfn.IFNA(VLOOKUP($BC52,Programma!$F$3:$N$1101,9,0),"")</f>
        <v/>
      </c>
      <c r="BL52" s="411" t="str">
        <f>_xlfn.IFNA(VLOOKUP($BC52,Programma!$F$3:$O$1101,10,0),"")</f>
        <v/>
      </c>
      <c r="BM52" s="411" t="str">
        <f>_xlfn.IFNA(VLOOKUP($BC52,Programma!$F$3:$P$1101,11,0),"")</f>
        <v/>
      </c>
      <c r="BN52" s="411" t="str">
        <f>_xlfn.IFNA(VLOOKUP($BC52,Programma!$F$3:$Q$1101,12,0),"")</f>
        <v/>
      </c>
      <c r="BO52" s="411" t="str">
        <f>_xlfn.IFNA(VLOOKUP($BC52,Programma!$F$3:$R$1101,13,0),"")</f>
        <v/>
      </c>
      <c r="BP52" s="411" t="str">
        <f>_xlfn.IFNA(VLOOKUP($BC52,Programma!$F$3:$S$1101,14,0),"")</f>
        <v/>
      </c>
      <c r="BQ52" s="411" t="str">
        <f>_xlfn.IFNA(VLOOKUP($BC52,Programma!$F$3:$T$1101,15,0),"")</f>
        <v/>
      </c>
      <c r="BR52" s="411" t="str">
        <f>_xlfn.IFNA(VLOOKUP($BC52,Programma!$F$3:$U$1101,16,0),"")</f>
        <v/>
      </c>
      <c r="BS52" s="411" t="str">
        <f>_xlfn.IFNA(VLOOKUP($BC52,Programma!$F$3:$V$1101,17,0),"")</f>
        <v/>
      </c>
      <c r="BT52" s="411" t="str">
        <f>_xlfn.IFNA(VLOOKUP($BC52,Programma!$F$3:$W$1101,18,0),"")</f>
        <v/>
      </c>
      <c r="BU52" s="411" t="str">
        <f>_xlfn.IFNA(VLOOKUP($BC52,Programma!$F$3:$X$1101,19,0),"")</f>
        <v/>
      </c>
      <c r="BV52" s="411" t="str">
        <f>_xlfn.IFNA(VLOOKUP($BC52,Programma!$F$3:$Y$1101,20,0),"")</f>
        <v/>
      </c>
    </row>
    <row r="53" spans="1:74" s="28" customFormat="1" ht="15" customHeight="1">
      <c r="A53" s="399">
        <v>1</v>
      </c>
      <c r="B53" s="400" t="str">
        <f>VLOOKUP(Ruimtestaat[[#This Row],[Code]],Locaties[[Code]:[Locatie]],2,FALSE)</f>
        <v>Jansstraat en Janskerk</v>
      </c>
      <c r="C53" s="400" t="str">
        <f>VLOOKUP(Ruimtestaat[[#This Row],[Code]],Locaties[[#All],[Code]:[Adres]],4,FALSE)</f>
        <v>Jansstraat 40</v>
      </c>
      <c r="D53" s="400" t="str">
        <f>VLOOKUP(Ruimtestaat[[#This Row],[Code]],Locaties[[#All],[Code]:[Postcode]],5,FALSE)</f>
        <v>2011 RX</v>
      </c>
      <c r="E53" s="400" t="str">
        <f>VLOOKUP(Ruimtestaat[[#This Row],[Code]],Locaties[#All],6,FALSE)</f>
        <v>Haarlem</v>
      </c>
      <c r="F53" s="399"/>
      <c r="G53" s="399" t="s">
        <v>1655</v>
      </c>
      <c r="H53" s="401">
        <v>11</v>
      </c>
      <c r="I53" s="402" t="s">
        <v>1646</v>
      </c>
      <c r="J53" s="399">
        <v>2</v>
      </c>
      <c r="K53" s="414" t="str">
        <f>VLOOKUP(Ruimtestaat[[#This Row],[Ruimte code]],Ruimtegroepen[[#All],[Code]:[Ruimte omschrijving]],2,FALSE)</f>
        <v>Kantoren</v>
      </c>
      <c r="L53" s="399" t="s">
        <v>99</v>
      </c>
      <c r="M53" s="402" t="s">
        <v>36</v>
      </c>
      <c r="N53" s="404">
        <v>10.7</v>
      </c>
      <c r="O53" s="413"/>
      <c r="P53" s="405" t="str">
        <f>VLOOKUP(Ruimtestaat[[#This Row],[Ruimte code]],Ruimtegroepen[],4,FALSE)</f>
        <v>Bu</v>
      </c>
      <c r="Q53" s="399">
        <v>51</v>
      </c>
      <c r="R53" s="399" t="s">
        <v>18</v>
      </c>
      <c r="S53" s="399">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53" s="399">
        <f>IF(S53&gt;0,VLOOKUP($J53,Ruimtegroepen[],3,FALSE)*VLOOKUP($L53,Vloersoorten[],3,FALSE)*VLOOKUP($R53,Frequenties[],3,FALSE)*VLOOKUP($A53,Locaties[],3,FALSE),0)</f>
        <v>0</v>
      </c>
      <c r="U53" s="399">
        <f>Ruimtestaat[[#This Row],[Uitvoeringen werkdagen]]*Ruimtestaat[[#This Row],[Oppervlak (netto)]]</f>
        <v>1637.1</v>
      </c>
      <c r="V53" s="406">
        <f>IF(T53&gt;0,Ruimtestaat[[#This Row],[Prest. (m2 /jaar) werkdagen]]/Ruimtestaat[[#This Row],[Norm (m2/uur) werkdagen]],0)</f>
        <v>0</v>
      </c>
      <c r="W53" s="407">
        <f>Ruimtestaat[[#This Row],[uren / jaar werkdagen]]*Tariefsopbouw!$E$35</f>
        <v>0</v>
      </c>
      <c r="X53" s="399"/>
      <c r="Y53" s="399">
        <f>IF(Ruimtestaat[[#This Row],[Frequentie weekend]]&gt;0,VALUE(LEFT(X53,1))*Q53,0)</f>
        <v>0</v>
      </c>
      <c r="Z53" s="408">
        <f>IF($Y53&gt;0,VLOOKUP($J53,Ruimtegroepen[],3,FALSE)*VLOOKUP($L53,Vloersoorten[],3,FALSE)*VLOOKUP($X53,Frequenties[],3,FALSE)*VLOOKUP(Ruimtestaat[[#This Row],[Code]],Locaties[],3,FALSE),0)</f>
        <v>0</v>
      </c>
      <c r="AA53" s="408">
        <f>Ruimtestaat[[#This Row],[Uitvoeringen weekend]]*Ruimtestaat[[#This Row],[Oppervlak (netto)]]</f>
        <v>0</v>
      </c>
      <c r="AB53" s="408">
        <f>IF(Z53&gt;0,Ruimtestaat[[#This Row],[Prest. (m2 /jaar) weekend]]/Ruimtestaat[[#This Row],[Norm (m2/uur) weekend]],0)</f>
        <v>0</v>
      </c>
      <c r="AC53" s="407">
        <f>Ruimtestaat[[#This Row],[uren / jaar weekend]]*Tariefsopbouw!$D$40</f>
        <v>0</v>
      </c>
      <c r="AD53" s="406">
        <f>Ruimtestaat[[#This Row],[Prest. (m2 /jaar) weekend]]+Ruimtestaat[[#This Row],[Prest. (m2 /jaar) werkdagen]]</f>
        <v>1637.1</v>
      </c>
      <c r="AE53" s="406">
        <f>Ruimtestaat[[#This Row],[uren / jaar weekend]]+Ruimtestaat[[#This Row],[uren / jaar werkdagen]]</f>
        <v>0</v>
      </c>
      <c r="AF53" s="409">
        <f>Ruimtestaat[[#This Row],[kosten / jaar weekend]]+Ruimtestaat[[#This Row],[kosten / jaar werkdagen]]</f>
        <v>0</v>
      </c>
      <c r="AG53" s="409"/>
      <c r="AH53" s="410" t="str">
        <f>IF(Ruimtestaat[[#This Row],[Frequentie werkdagen]]="","",_xlfn.CONCAT(Ruimtestaat[[#This Row],[Ruimte code]],"-",Ruimtestaat[[#This Row],[Frequentie werkdagen]]," ",Ruimtestaat[[#This Row],[Vloer code]]))</f>
        <v>2-3w T</v>
      </c>
      <c r="AI53" s="411" t="str">
        <f>_xlfn.IFNA(VLOOKUP($AH53,Programma!$F$3:$G$1101,2,0),"")</f>
        <v>2w</v>
      </c>
      <c r="AJ53" s="411" t="str">
        <f>_xlfn.IFNA(VLOOKUP($AH53,Programma!$F$3:$H$1101,3,0),"")</f>
        <v>1w</v>
      </c>
      <c r="AK53" s="411" t="str">
        <f>_xlfn.IFNA(VLOOKUP($AH53,Programma!$F$3:$I$1101,4,0),"")</f>
        <v>_</v>
      </c>
      <c r="AL53" s="411" t="str">
        <f>_xlfn.IFNA(VLOOKUP($AH53,Programma!$F$3:$J$1101,5,0),"")</f>
        <v>_</v>
      </c>
      <c r="AM53" s="411" t="str">
        <f>_xlfn.IFNA(VLOOKUP($AH53,Programma!$F$3:$K$1101,6,0),"")</f>
        <v>_</v>
      </c>
      <c r="AN53" s="411" t="str">
        <f>_xlfn.IFNA(VLOOKUP($AH53,Programma!$F$3:$L$1101,7,0),"")</f>
        <v>_</v>
      </c>
      <c r="AO53" s="411" t="str">
        <f>_xlfn.IFNA(VLOOKUP($AH53,Programma!$F$3:$M$1101,8,0),"")</f>
        <v>_</v>
      </c>
      <c r="AP53" s="411" t="str">
        <f>_xlfn.IFNA(VLOOKUP($AH53,Programma!$F$3:$N$1101,9,0),"")</f>
        <v>_</v>
      </c>
      <c r="AQ53" s="411" t="str">
        <f>_xlfn.IFNA(VLOOKUP($AH53,Programma!$F$3:$O$1101,10,0),"")</f>
        <v>3w</v>
      </c>
      <c r="AR53" s="411" t="str">
        <f>_xlfn.IFNA(VLOOKUP($AH53,Programma!$F$3:$P$1101,11,0),"")</f>
        <v>3w</v>
      </c>
      <c r="AS53" s="411" t="str">
        <f>_xlfn.IFNA(VLOOKUP($AH53,Programma!$F$3:$Q$1101,12,0),"")</f>
        <v>1w</v>
      </c>
      <c r="AT53" s="411" t="str">
        <f>_xlfn.IFNA(VLOOKUP($AH53,Programma!$F$3:$R$1101,13,0),"")</f>
        <v>1w</v>
      </c>
      <c r="AU53" s="411" t="str">
        <f>_xlfn.IFNA(VLOOKUP($AH53,Programma!$F$3:$S$1101,14,0),"")</f>
        <v>1m</v>
      </c>
      <c r="AV53" s="411" t="str">
        <f>_xlfn.IFNA(VLOOKUP($AH53,Programma!$F$3:$T$1101,15,0),"")</f>
        <v>2j</v>
      </c>
      <c r="AW53" s="411" t="str">
        <f>_xlfn.IFNA(VLOOKUP($AH53,Programma!$F$3:$U$1101,16,0),"")</f>
        <v>1j</v>
      </c>
      <c r="AX53" s="411" t="str">
        <f>_xlfn.IFNA(VLOOKUP($AH53,Programma!$F$3:$V$1101,17,0),"")</f>
        <v>_</v>
      </c>
      <c r="AY53" s="411" t="str">
        <f>_xlfn.IFNA(VLOOKUP($AH53,Programma!$F$3:$W$1101,18,0),"")</f>
        <v>_</v>
      </c>
      <c r="AZ53" s="411" t="str">
        <f>_xlfn.IFNA(VLOOKUP($AH53,Programma!$F$3:$X$1101,19,0),"")</f>
        <v>_</v>
      </c>
      <c r="BA53" s="411" t="str">
        <f>_xlfn.IFNA(VLOOKUP($AH53,Programma!$F$3:$Y$1101,20,0),"")</f>
        <v>_</v>
      </c>
      <c r="BB53" s="412"/>
      <c r="BC53" s="410" t="str">
        <f>IF(Ruimtestaat[[#This Row],[Frequentie weekend]]="","",_xlfn.CONCAT(Ruimtestaat[[#This Row],[Ruimte code]],"-",Ruimtestaat[[#This Row],[Frequentie weekend]]," ",Ruimtestaat[[#This Row],[Vloer code]]))</f>
        <v/>
      </c>
      <c r="BD53" s="411" t="str">
        <f>_xlfn.IFNA(VLOOKUP($BC53,Programma!$F$3:$G$1101,2,0),"")</f>
        <v/>
      </c>
      <c r="BE53" s="411" t="str">
        <f>_xlfn.IFNA(VLOOKUP($BC53,Programma!$F$3:$H$1101,3,0),"")</f>
        <v/>
      </c>
      <c r="BF53" s="411" t="str">
        <f>_xlfn.IFNA(VLOOKUP($BC53,Programma!$F$3:$I$1101,4,0),"")</f>
        <v/>
      </c>
      <c r="BG53" s="411" t="str">
        <f>_xlfn.IFNA(VLOOKUP($BC53,Programma!$F$3:$J$1101,5,0),"")</f>
        <v/>
      </c>
      <c r="BH53" s="411" t="str">
        <f>_xlfn.IFNA(VLOOKUP($BC53,Programma!$F$3:$K$1101,6,0),"")</f>
        <v/>
      </c>
      <c r="BI53" s="411" t="str">
        <f>_xlfn.IFNA(VLOOKUP($BC53,Programma!$F$3:$L$1101,7,0),"")</f>
        <v/>
      </c>
      <c r="BJ53" s="411" t="str">
        <f>_xlfn.IFNA(VLOOKUP($BC53,Programma!$F$3:$M$1101,8,0),"")</f>
        <v/>
      </c>
      <c r="BK53" s="411" t="str">
        <f>_xlfn.IFNA(VLOOKUP($BC53,Programma!$F$3:$N$1101,9,0),"")</f>
        <v/>
      </c>
      <c r="BL53" s="411" t="str">
        <f>_xlfn.IFNA(VLOOKUP($BC53,Programma!$F$3:$O$1101,10,0),"")</f>
        <v/>
      </c>
      <c r="BM53" s="411" t="str">
        <f>_xlfn.IFNA(VLOOKUP($BC53,Programma!$F$3:$P$1101,11,0),"")</f>
        <v/>
      </c>
      <c r="BN53" s="411" t="str">
        <f>_xlfn.IFNA(VLOOKUP($BC53,Programma!$F$3:$Q$1101,12,0),"")</f>
        <v/>
      </c>
      <c r="BO53" s="411" t="str">
        <f>_xlfn.IFNA(VLOOKUP($BC53,Programma!$F$3:$R$1101,13,0),"")</f>
        <v/>
      </c>
      <c r="BP53" s="411" t="str">
        <f>_xlfn.IFNA(VLOOKUP($BC53,Programma!$F$3:$S$1101,14,0),"")</f>
        <v/>
      </c>
      <c r="BQ53" s="411" t="str">
        <f>_xlfn.IFNA(VLOOKUP($BC53,Programma!$F$3:$T$1101,15,0),"")</f>
        <v/>
      </c>
      <c r="BR53" s="411" t="str">
        <f>_xlfn.IFNA(VLOOKUP($BC53,Programma!$F$3:$U$1101,16,0),"")</f>
        <v/>
      </c>
      <c r="BS53" s="411" t="str">
        <f>_xlfn.IFNA(VLOOKUP($BC53,Programma!$F$3:$V$1101,17,0),"")</f>
        <v/>
      </c>
      <c r="BT53" s="411" t="str">
        <f>_xlfn.IFNA(VLOOKUP($BC53,Programma!$F$3:$W$1101,18,0),"")</f>
        <v/>
      </c>
      <c r="BU53" s="411" t="str">
        <f>_xlfn.IFNA(VLOOKUP($BC53,Programma!$F$3:$X$1101,19,0),"")</f>
        <v/>
      </c>
      <c r="BV53" s="411" t="str">
        <f>_xlfn.IFNA(VLOOKUP($BC53,Programma!$F$3:$Y$1101,20,0),"")</f>
        <v/>
      </c>
    </row>
    <row r="54" spans="1:74" s="28" customFormat="1" ht="15" customHeight="1">
      <c r="A54" s="399">
        <v>1</v>
      </c>
      <c r="B54" s="400" t="str">
        <f>VLOOKUP(Ruimtestaat[[#This Row],[Code]],Locaties[[Code]:[Locatie]],2,FALSE)</f>
        <v>Jansstraat en Janskerk</v>
      </c>
      <c r="C54" s="400" t="str">
        <f>VLOOKUP(Ruimtestaat[[#This Row],[Code]],Locaties[[#All],[Code]:[Adres]],4,FALSE)</f>
        <v>Jansstraat 40</v>
      </c>
      <c r="D54" s="400" t="str">
        <f>VLOOKUP(Ruimtestaat[[#This Row],[Code]],Locaties[[#All],[Code]:[Postcode]],5,FALSE)</f>
        <v>2011 RX</v>
      </c>
      <c r="E54" s="400" t="str">
        <f>VLOOKUP(Ruimtestaat[[#This Row],[Code]],Locaties[#All],6,FALSE)</f>
        <v>Haarlem</v>
      </c>
      <c r="F54" s="399"/>
      <c r="G54" s="399" t="s">
        <v>1655</v>
      </c>
      <c r="H54" s="401" t="s">
        <v>1657</v>
      </c>
      <c r="I54" s="402" t="s">
        <v>1646</v>
      </c>
      <c r="J54" s="336">
        <v>2</v>
      </c>
      <c r="K54" s="414" t="str">
        <f>VLOOKUP(Ruimtestaat[[#This Row],[Ruimte code]],Ruimtegroepen[[#All],[Code]:[Ruimte omschrijving]],2,FALSE)</f>
        <v>Kantoren</v>
      </c>
      <c r="L54" s="399" t="s">
        <v>99</v>
      </c>
      <c r="M54" s="402" t="s">
        <v>36</v>
      </c>
      <c r="N54" s="404">
        <v>23.4</v>
      </c>
      <c r="O54" s="399"/>
      <c r="P54" s="405" t="str">
        <f>VLOOKUP(Ruimtestaat[[#This Row],[Ruimte code]],Ruimtegroepen[],4,FALSE)</f>
        <v>Bu</v>
      </c>
      <c r="Q54" s="399">
        <v>51</v>
      </c>
      <c r="R54" s="399" t="s">
        <v>18</v>
      </c>
      <c r="S54" s="399">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54" s="399">
        <f>IF(S54&gt;0,VLOOKUP($J54,Ruimtegroepen[],3,FALSE)*VLOOKUP($L54,Vloersoorten[],3,FALSE)*VLOOKUP($R54,Frequenties[],3,FALSE)*VLOOKUP($A54,Locaties[],3,FALSE),0)</f>
        <v>0</v>
      </c>
      <c r="U54" s="399">
        <f>Ruimtestaat[[#This Row],[Uitvoeringen werkdagen]]*Ruimtestaat[[#This Row],[Oppervlak (netto)]]</f>
        <v>3580.2</v>
      </c>
      <c r="V54" s="406">
        <f>IF(T54&gt;0,Ruimtestaat[[#This Row],[Prest. (m2 /jaar) werkdagen]]/Ruimtestaat[[#This Row],[Norm (m2/uur) werkdagen]],0)</f>
        <v>0</v>
      </c>
      <c r="W54" s="407">
        <f>Ruimtestaat[[#This Row],[uren / jaar werkdagen]]*Tariefsopbouw!$E$35</f>
        <v>0</v>
      </c>
      <c r="X54" s="399"/>
      <c r="Y54" s="399">
        <f>IF(Ruimtestaat[[#This Row],[Frequentie weekend]]&gt;0,VALUE(LEFT(X54,1))*Q54,0)</f>
        <v>0</v>
      </c>
      <c r="Z54" s="408">
        <f>IF($Y54&gt;0,VLOOKUP($J54,Ruimtegroepen[],3,FALSE)*VLOOKUP($L54,Vloersoorten[],3,FALSE)*VLOOKUP($X54,Frequenties[],3,FALSE)*VLOOKUP(Ruimtestaat[[#This Row],[Code]],Locaties[],3,FALSE),0)</f>
        <v>0</v>
      </c>
      <c r="AA54" s="408">
        <f>Ruimtestaat[[#This Row],[Uitvoeringen weekend]]*Ruimtestaat[[#This Row],[Oppervlak (netto)]]</f>
        <v>0</v>
      </c>
      <c r="AB54" s="408">
        <f>IF(Z54&gt;0,Ruimtestaat[[#This Row],[Prest. (m2 /jaar) weekend]]/Ruimtestaat[[#This Row],[Norm (m2/uur) weekend]],0)</f>
        <v>0</v>
      </c>
      <c r="AC54" s="407">
        <f>Ruimtestaat[[#This Row],[uren / jaar weekend]]*Tariefsopbouw!$D$40</f>
        <v>0</v>
      </c>
      <c r="AD54" s="406">
        <f>Ruimtestaat[[#This Row],[Prest. (m2 /jaar) weekend]]+Ruimtestaat[[#This Row],[Prest. (m2 /jaar) werkdagen]]</f>
        <v>3580.2</v>
      </c>
      <c r="AE54" s="406">
        <f>Ruimtestaat[[#This Row],[uren / jaar weekend]]+Ruimtestaat[[#This Row],[uren / jaar werkdagen]]</f>
        <v>0</v>
      </c>
      <c r="AF54" s="409">
        <f>Ruimtestaat[[#This Row],[kosten / jaar weekend]]+Ruimtestaat[[#This Row],[kosten / jaar werkdagen]]</f>
        <v>0</v>
      </c>
      <c r="AG54" s="409"/>
      <c r="AH54" s="410" t="str">
        <f>IF(Ruimtestaat[[#This Row],[Frequentie werkdagen]]="","",_xlfn.CONCAT(Ruimtestaat[[#This Row],[Ruimte code]],"-",Ruimtestaat[[#This Row],[Frequentie werkdagen]]," ",Ruimtestaat[[#This Row],[Vloer code]]))</f>
        <v>2-3w T</v>
      </c>
      <c r="AI54" s="411" t="str">
        <f>_xlfn.IFNA(VLOOKUP($AH54,Programma!$F$3:$G$1101,2,0),"")</f>
        <v>2w</v>
      </c>
      <c r="AJ54" s="411" t="str">
        <f>_xlfn.IFNA(VLOOKUP($AH54,Programma!$F$3:$H$1101,3,0),"")</f>
        <v>1w</v>
      </c>
      <c r="AK54" s="411" t="str">
        <f>_xlfn.IFNA(VLOOKUP($AH54,Programma!$F$3:$I$1101,4,0),"")</f>
        <v>_</v>
      </c>
      <c r="AL54" s="411" t="str">
        <f>_xlfn.IFNA(VLOOKUP($AH54,Programma!$F$3:$J$1101,5,0),"")</f>
        <v>_</v>
      </c>
      <c r="AM54" s="411" t="str">
        <f>_xlfn.IFNA(VLOOKUP($AH54,Programma!$F$3:$K$1101,6,0),"")</f>
        <v>_</v>
      </c>
      <c r="AN54" s="411" t="str">
        <f>_xlfn.IFNA(VLOOKUP($AH54,Programma!$F$3:$L$1101,7,0),"")</f>
        <v>_</v>
      </c>
      <c r="AO54" s="411" t="str">
        <f>_xlfn.IFNA(VLOOKUP($AH54,Programma!$F$3:$M$1101,8,0),"")</f>
        <v>_</v>
      </c>
      <c r="AP54" s="411" t="str">
        <f>_xlfn.IFNA(VLOOKUP($AH54,Programma!$F$3:$N$1101,9,0),"")</f>
        <v>_</v>
      </c>
      <c r="AQ54" s="411" t="str">
        <f>_xlfn.IFNA(VLOOKUP($AH54,Programma!$F$3:$O$1101,10,0),"")</f>
        <v>3w</v>
      </c>
      <c r="AR54" s="411" t="str">
        <f>_xlfn.IFNA(VLOOKUP($AH54,Programma!$F$3:$P$1101,11,0),"")</f>
        <v>3w</v>
      </c>
      <c r="AS54" s="411" t="str">
        <f>_xlfn.IFNA(VLOOKUP($AH54,Programma!$F$3:$Q$1101,12,0),"")</f>
        <v>1w</v>
      </c>
      <c r="AT54" s="411" t="str">
        <f>_xlfn.IFNA(VLOOKUP($AH54,Programma!$F$3:$R$1101,13,0),"")</f>
        <v>1w</v>
      </c>
      <c r="AU54" s="411" t="str">
        <f>_xlfn.IFNA(VLOOKUP($AH54,Programma!$F$3:$S$1101,14,0),"")</f>
        <v>1m</v>
      </c>
      <c r="AV54" s="411" t="str">
        <f>_xlfn.IFNA(VLOOKUP($AH54,Programma!$F$3:$T$1101,15,0),"")</f>
        <v>2j</v>
      </c>
      <c r="AW54" s="411" t="str">
        <f>_xlfn.IFNA(VLOOKUP($AH54,Programma!$F$3:$U$1101,16,0),"")</f>
        <v>1j</v>
      </c>
      <c r="AX54" s="411" t="str">
        <f>_xlfn.IFNA(VLOOKUP($AH54,Programma!$F$3:$V$1101,17,0),"")</f>
        <v>_</v>
      </c>
      <c r="AY54" s="411" t="str">
        <f>_xlfn.IFNA(VLOOKUP($AH54,Programma!$F$3:$W$1101,18,0),"")</f>
        <v>_</v>
      </c>
      <c r="AZ54" s="411" t="str">
        <f>_xlfn.IFNA(VLOOKUP($AH54,Programma!$F$3:$X$1101,19,0),"")</f>
        <v>_</v>
      </c>
      <c r="BA54" s="411" t="str">
        <f>_xlfn.IFNA(VLOOKUP($AH54,Programma!$F$3:$Y$1101,20,0),"")</f>
        <v>_</v>
      </c>
      <c r="BB54" s="412"/>
      <c r="BC54" s="410" t="str">
        <f>IF(Ruimtestaat[[#This Row],[Frequentie weekend]]="","",_xlfn.CONCAT(Ruimtestaat[[#This Row],[Ruimte code]],"-",Ruimtestaat[[#This Row],[Frequentie weekend]]," ",Ruimtestaat[[#This Row],[Vloer code]]))</f>
        <v/>
      </c>
      <c r="BD54" s="411" t="str">
        <f>_xlfn.IFNA(VLOOKUP($BC54,Programma!$F$3:$G$1101,2,0),"")</f>
        <v/>
      </c>
      <c r="BE54" s="411" t="str">
        <f>_xlfn.IFNA(VLOOKUP($BC54,Programma!$F$3:$H$1101,3,0),"")</f>
        <v/>
      </c>
      <c r="BF54" s="411" t="str">
        <f>_xlfn.IFNA(VLOOKUP($BC54,Programma!$F$3:$I$1101,4,0),"")</f>
        <v/>
      </c>
      <c r="BG54" s="411" t="str">
        <f>_xlfn.IFNA(VLOOKUP($BC54,Programma!$F$3:$J$1101,5,0),"")</f>
        <v/>
      </c>
      <c r="BH54" s="411" t="str">
        <f>_xlfn.IFNA(VLOOKUP($BC54,Programma!$F$3:$K$1101,6,0),"")</f>
        <v/>
      </c>
      <c r="BI54" s="411" t="str">
        <f>_xlfn.IFNA(VLOOKUP($BC54,Programma!$F$3:$L$1101,7,0),"")</f>
        <v/>
      </c>
      <c r="BJ54" s="411" t="str">
        <f>_xlfn.IFNA(VLOOKUP($BC54,Programma!$F$3:$M$1101,8,0),"")</f>
        <v/>
      </c>
      <c r="BK54" s="411" t="str">
        <f>_xlfn.IFNA(VLOOKUP($BC54,Programma!$F$3:$N$1101,9,0),"")</f>
        <v/>
      </c>
      <c r="BL54" s="411" t="str">
        <f>_xlfn.IFNA(VLOOKUP($BC54,Programma!$F$3:$O$1101,10,0),"")</f>
        <v/>
      </c>
      <c r="BM54" s="411" t="str">
        <f>_xlfn.IFNA(VLOOKUP($BC54,Programma!$F$3:$P$1101,11,0),"")</f>
        <v/>
      </c>
      <c r="BN54" s="411" t="str">
        <f>_xlfn.IFNA(VLOOKUP($BC54,Programma!$F$3:$Q$1101,12,0),"")</f>
        <v/>
      </c>
      <c r="BO54" s="411" t="str">
        <f>_xlfn.IFNA(VLOOKUP($BC54,Programma!$F$3:$R$1101,13,0),"")</f>
        <v/>
      </c>
      <c r="BP54" s="411" t="str">
        <f>_xlfn.IFNA(VLOOKUP($BC54,Programma!$F$3:$S$1101,14,0),"")</f>
        <v/>
      </c>
      <c r="BQ54" s="411" t="str">
        <f>_xlfn.IFNA(VLOOKUP($BC54,Programma!$F$3:$T$1101,15,0),"")</f>
        <v/>
      </c>
      <c r="BR54" s="411" t="str">
        <f>_xlfn.IFNA(VLOOKUP($BC54,Programma!$F$3:$U$1101,16,0),"")</f>
        <v/>
      </c>
      <c r="BS54" s="411" t="str">
        <f>_xlfn.IFNA(VLOOKUP($BC54,Programma!$F$3:$V$1101,17,0),"")</f>
        <v/>
      </c>
      <c r="BT54" s="411" t="str">
        <f>_xlfn.IFNA(VLOOKUP($BC54,Programma!$F$3:$W$1101,18,0),"")</f>
        <v/>
      </c>
      <c r="BU54" s="411" t="str">
        <f>_xlfn.IFNA(VLOOKUP($BC54,Programma!$F$3:$X$1101,19,0),"")</f>
        <v/>
      </c>
      <c r="BV54" s="411" t="str">
        <f>_xlfn.IFNA(VLOOKUP($BC54,Programma!$F$3:$Y$1101,20,0),"")</f>
        <v/>
      </c>
    </row>
    <row r="55" spans="1:74" s="28" customFormat="1" ht="15" customHeight="1">
      <c r="A55" s="399">
        <v>1</v>
      </c>
      <c r="B55" s="400" t="str">
        <f>VLOOKUP(Ruimtestaat[[#This Row],[Code]],Locaties[[Code]:[Locatie]],2,FALSE)</f>
        <v>Jansstraat en Janskerk</v>
      </c>
      <c r="C55" s="400" t="str">
        <f>VLOOKUP(Ruimtestaat[[#This Row],[Code]],Locaties[[#All],[Code]:[Adres]],4,FALSE)</f>
        <v>Jansstraat 40</v>
      </c>
      <c r="D55" s="400" t="str">
        <f>VLOOKUP(Ruimtestaat[[#This Row],[Code]],Locaties[[#All],[Code]:[Postcode]],5,FALSE)</f>
        <v>2011 RX</v>
      </c>
      <c r="E55" s="400" t="str">
        <f>VLOOKUP(Ruimtestaat[[#This Row],[Code]],Locaties[#All],6,FALSE)</f>
        <v>Haarlem</v>
      </c>
      <c r="F55" s="399"/>
      <c r="G55" s="399" t="s">
        <v>1655</v>
      </c>
      <c r="H55" s="401">
        <v>13</v>
      </c>
      <c r="I55" s="402" t="s">
        <v>1646</v>
      </c>
      <c r="J55" s="336">
        <v>2</v>
      </c>
      <c r="K55" s="414" t="str">
        <f>VLOOKUP(Ruimtestaat[[#This Row],[Ruimte code]],Ruimtegroepen[[#All],[Code]:[Ruimte omschrijving]],2,FALSE)</f>
        <v>Kantoren</v>
      </c>
      <c r="L55" s="399" t="s">
        <v>99</v>
      </c>
      <c r="M55" s="402" t="s">
        <v>36</v>
      </c>
      <c r="N55" s="404">
        <v>16.399999999999999</v>
      </c>
      <c r="O55" s="413"/>
      <c r="P55" s="405" t="str">
        <f>VLOOKUP(Ruimtestaat[[#This Row],[Ruimte code]],Ruimtegroepen[],4,FALSE)</f>
        <v>Bu</v>
      </c>
      <c r="Q55" s="399">
        <v>51</v>
      </c>
      <c r="R55" s="399" t="s">
        <v>18</v>
      </c>
      <c r="S55" s="399">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55" s="399">
        <f>IF(S55&gt;0,VLOOKUP($J55,Ruimtegroepen[],3,FALSE)*VLOOKUP($L55,Vloersoorten[],3,FALSE)*VLOOKUP($R55,Frequenties[],3,FALSE)*VLOOKUP($A55,Locaties[],3,FALSE),0)</f>
        <v>0</v>
      </c>
      <c r="U55" s="399">
        <f>Ruimtestaat[[#This Row],[Uitvoeringen werkdagen]]*Ruimtestaat[[#This Row],[Oppervlak (netto)]]</f>
        <v>2509.1999999999998</v>
      </c>
      <c r="V55" s="406">
        <f>IF(T55&gt;0,Ruimtestaat[[#This Row],[Prest. (m2 /jaar) werkdagen]]/Ruimtestaat[[#This Row],[Norm (m2/uur) werkdagen]],0)</f>
        <v>0</v>
      </c>
      <c r="W55" s="407">
        <f>Ruimtestaat[[#This Row],[uren / jaar werkdagen]]*Tariefsopbouw!$E$35</f>
        <v>0</v>
      </c>
      <c r="X55" s="399"/>
      <c r="Y55" s="399">
        <f>IF(Ruimtestaat[[#This Row],[Frequentie weekend]]&gt;0,VALUE(LEFT(X55,1))*Q55,0)</f>
        <v>0</v>
      </c>
      <c r="Z55" s="408">
        <f>IF($Y55&gt;0,VLOOKUP($J55,Ruimtegroepen[],3,FALSE)*VLOOKUP($L55,Vloersoorten[],3,FALSE)*VLOOKUP($X55,Frequenties[],3,FALSE)*VLOOKUP(Ruimtestaat[[#This Row],[Code]],Locaties[],3,FALSE),0)</f>
        <v>0</v>
      </c>
      <c r="AA55" s="408">
        <f>Ruimtestaat[[#This Row],[Uitvoeringen weekend]]*Ruimtestaat[[#This Row],[Oppervlak (netto)]]</f>
        <v>0</v>
      </c>
      <c r="AB55" s="408">
        <f>IF(Z55&gt;0,Ruimtestaat[[#This Row],[Prest. (m2 /jaar) weekend]]/Ruimtestaat[[#This Row],[Norm (m2/uur) weekend]],0)</f>
        <v>0</v>
      </c>
      <c r="AC55" s="407">
        <f>Ruimtestaat[[#This Row],[uren / jaar weekend]]*Tariefsopbouw!$D$40</f>
        <v>0</v>
      </c>
      <c r="AD55" s="406">
        <f>Ruimtestaat[[#This Row],[Prest. (m2 /jaar) weekend]]+Ruimtestaat[[#This Row],[Prest. (m2 /jaar) werkdagen]]</f>
        <v>2509.1999999999998</v>
      </c>
      <c r="AE55" s="406">
        <f>Ruimtestaat[[#This Row],[uren / jaar weekend]]+Ruimtestaat[[#This Row],[uren / jaar werkdagen]]</f>
        <v>0</v>
      </c>
      <c r="AF55" s="409">
        <f>Ruimtestaat[[#This Row],[kosten / jaar weekend]]+Ruimtestaat[[#This Row],[kosten / jaar werkdagen]]</f>
        <v>0</v>
      </c>
      <c r="AG55" s="409"/>
      <c r="AH55" s="410" t="str">
        <f>IF(Ruimtestaat[[#This Row],[Frequentie werkdagen]]="","",_xlfn.CONCAT(Ruimtestaat[[#This Row],[Ruimte code]],"-",Ruimtestaat[[#This Row],[Frequentie werkdagen]]," ",Ruimtestaat[[#This Row],[Vloer code]]))</f>
        <v>2-3w T</v>
      </c>
      <c r="AI55" s="411" t="str">
        <f>_xlfn.IFNA(VLOOKUP($AH55,Programma!$F$3:$G$1101,2,0),"")</f>
        <v>2w</v>
      </c>
      <c r="AJ55" s="411" t="str">
        <f>_xlfn.IFNA(VLOOKUP($AH55,Programma!$F$3:$H$1101,3,0),"")</f>
        <v>1w</v>
      </c>
      <c r="AK55" s="411" t="str">
        <f>_xlfn.IFNA(VLOOKUP($AH55,Programma!$F$3:$I$1101,4,0),"")</f>
        <v>_</v>
      </c>
      <c r="AL55" s="411" t="str">
        <f>_xlfn.IFNA(VLOOKUP($AH55,Programma!$F$3:$J$1101,5,0),"")</f>
        <v>_</v>
      </c>
      <c r="AM55" s="411" t="str">
        <f>_xlfn.IFNA(VLOOKUP($AH55,Programma!$F$3:$K$1101,6,0),"")</f>
        <v>_</v>
      </c>
      <c r="AN55" s="411" t="str">
        <f>_xlfn.IFNA(VLOOKUP($AH55,Programma!$F$3:$L$1101,7,0),"")</f>
        <v>_</v>
      </c>
      <c r="AO55" s="411" t="str">
        <f>_xlfn.IFNA(VLOOKUP($AH55,Programma!$F$3:$M$1101,8,0),"")</f>
        <v>_</v>
      </c>
      <c r="AP55" s="411" t="str">
        <f>_xlfn.IFNA(VLOOKUP($AH55,Programma!$F$3:$N$1101,9,0),"")</f>
        <v>_</v>
      </c>
      <c r="AQ55" s="411" t="str">
        <f>_xlfn.IFNA(VLOOKUP($AH55,Programma!$F$3:$O$1101,10,0),"")</f>
        <v>3w</v>
      </c>
      <c r="AR55" s="411" t="str">
        <f>_xlfn.IFNA(VLOOKUP($AH55,Programma!$F$3:$P$1101,11,0),"")</f>
        <v>3w</v>
      </c>
      <c r="AS55" s="411" t="str">
        <f>_xlfn.IFNA(VLOOKUP($AH55,Programma!$F$3:$Q$1101,12,0),"")</f>
        <v>1w</v>
      </c>
      <c r="AT55" s="411" t="str">
        <f>_xlfn.IFNA(VLOOKUP($AH55,Programma!$F$3:$R$1101,13,0),"")</f>
        <v>1w</v>
      </c>
      <c r="AU55" s="411" t="str">
        <f>_xlfn.IFNA(VLOOKUP($AH55,Programma!$F$3:$S$1101,14,0),"")</f>
        <v>1m</v>
      </c>
      <c r="AV55" s="411" t="str">
        <f>_xlfn.IFNA(VLOOKUP($AH55,Programma!$F$3:$T$1101,15,0),"")</f>
        <v>2j</v>
      </c>
      <c r="AW55" s="411" t="str">
        <f>_xlfn.IFNA(VLOOKUP($AH55,Programma!$F$3:$U$1101,16,0),"")</f>
        <v>1j</v>
      </c>
      <c r="AX55" s="411" t="str">
        <f>_xlfn.IFNA(VLOOKUP($AH55,Programma!$F$3:$V$1101,17,0),"")</f>
        <v>_</v>
      </c>
      <c r="AY55" s="411" t="str">
        <f>_xlfn.IFNA(VLOOKUP($AH55,Programma!$F$3:$W$1101,18,0),"")</f>
        <v>_</v>
      </c>
      <c r="AZ55" s="411" t="str">
        <f>_xlfn.IFNA(VLOOKUP($AH55,Programma!$F$3:$X$1101,19,0),"")</f>
        <v>_</v>
      </c>
      <c r="BA55" s="411" t="str">
        <f>_xlfn.IFNA(VLOOKUP($AH55,Programma!$F$3:$Y$1101,20,0),"")</f>
        <v>_</v>
      </c>
      <c r="BB55" s="412"/>
      <c r="BC55" s="410" t="str">
        <f>IF(Ruimtestaat[[#This Row],[Frequentie weekend]]="","",_xlfn.CONCAT(Ruimtestaat[[#This Row],[Ruimte code]],"-",Ruimtestaat[[#This Row],[Frequentie weekend]]," ",Ruimtestaat[[#This Row],[Vloer code]]))</f>
        <v/>
      </c>
      <c r="BD55" s="411" t="str">
        <f>_xlfn.IFNA(VLOOKUP($BC55,Programma!$F$3:$G$1101,2,0),"")</f>
        <v/>
      </c>
      <c r="BE55" s="411" t="str">
        <f>_xlfn.IFNA(VLOOKUP($BC55,Programma!$F$3:$H$1101,3,0),"")</f>
        <v/>
      </c>
      <c r="BF55" s="411" t="str">
        <f>_xlfn.IFNA(VLOOKUP($BC55,Programma!$F$3:$I$1101,4,0),"")</f>
        <v/>
      </c>
      <c r="BG55" s="411" t="str">
        <f>_xlfn.IFNA(VLOOKUP($BC55,Programma!$F$3:$J$1101,5,0),"")</f>
        <v/>
      </c>
      <c r="BH55" s="411" t="str">
        <f>_xlfn.IFNA(VLOOKUP($BC55,Programma!$F$3:$K$1101,6,0),"")</f>
        <v/>
      </c>
      <c r="BI55" s="411" t="str">
        <f>_xlfn.IFNA(VLOOKUP($BC55,Programma!$F$3:$L$1101,7,0),"")</f>
        <v/>
      </c>
      <c r="BJ55" s="411" t="str">
        <f>_xlfn.IFNA(VLOOKUP($BC55,Programma!$F$3:$M$1101,8,0),"")</f>
        <v/>
      </c>
      <c r="BK55" s="411" t="str">
        <f>_xlfn.IFNA(VLOOKUP($BC55,Programma!$F$3:$N$1101,9,0),"")</f>
        <v/>
      </c>
      <c r="BL55" s="411" t="str">
        <f>_xlfn.IFNA(VLOOKUP($BC55,Programma!$F$3:$O$1101,10,0),"")</f>
        <v/>
      </c>
      <c r="BM55" s="411" t="str">
        <f>_xlfn.IFNA(VLOOKUP($BC55,Programma!$F$3:$P$1101,11,0),"")</f>
        <v/>
      </c>
      <c r="BN55" s="411" t="str">
        <f>_xlfn.IFNA(VLOOKUP($BC55,Programma!$F$3:$Q$1101,12,0),"")</f>
        <v/>
      </c>
      <c r="BO55" s="411" t="str">
        <f>_xlfn.IFNA(VLOOKUP($BC55,Programma!$F$3:$R$1101,13,0),"")</f>
        <v/>
      </c>
      <c r="BP55" s="411" t="str">
        <f>_xlfn.IFNA(VLOOKUP($BC55,Programma!$F$3:$S$1101,14,0),"")</f>
        <v/>
      </c>
      <c r="BQ55" s="411" t="str">
        <f>_xlfn.IFNA(VLOOKUP($BC55,Programma!$F$3:$T$1101,15,0),"")</f>
        <v/>
      </c>
      <c r="BR55" s="411" t="str">
        <f>_xlfn.IFNA(VLOOKUP($BC55,Programma!$F$3:$U$1101,16,0),"")</f>
        <v/>
      </c>
      <c r="BS55" s="411" t="str">
        <f>_xlfn.IFNA(VLOOKUP($BC55,Programma!$F$3:$V$1101,17,0),"")</f>
        <v/>
      </c>
      <c r="BT55" s="411" t="str">
        <f>_xlfn.IFNA(VLOOKUP($BC55,Programma!$F$3:$W$1101,18,0),"")</f>
        <v/>
      </c>
      <c r="BU55" s="411" t="str">
        <f>_xlfn.IFNA(VLOOKUP($BC55,Programma!$F$3:$X$1101,19,0),"")</f>
        <v/>
      </c>
      <c r="BV55" s="411" t="str">
        <f>_xlfn.IFNA(VLOOKUP($BC55,Programma!$F$3:$Y$1101,20,0),"")</f>
        <v/>
      </c>
    </row>
    <row r="56" spans="1:74" s="28" customFormat="1" ht="15" customHeight="1">
      <c r="A56" s="399">
        <v>1</v>
      </c>
      <c r="B56" s="400" t="str">
        <f>VLOOKUP(Ruimtestaat[[#This Row],[Code]],Locaties[[Code]:[Locatie]],2,FALSE)</f>
        <v>Jansstraat en Janskerk</v>
      </c>
      <c r="C56" s="400" t="str">
        <f>VLOOKUP(Ruimtestaat[[#This Row],[Code]],Locaties[[#All],[Code]:[Adres]],4,FALSE)</f>
        <v>Jansstraat 40</v>
      </c>
      <c r="D56" s="400" t="str">
        <f>VLOOKUP(Ruimtestaat[[#This Row],[Code]],Locaties[[#All],[Code]:[Postcode]],5,FALSE)</f>
        <v>2011 RX</v>
      </c>
      <c r="E56" s="400" t="str">
        <f>VLOOKUP(Ruimtestaat[[#This Row],[Code]],Locaties[#All],6,FALSE)</f>
        <v>Haarlem</v>
      </c>
      <c r="F56" s="399"/>
      <c r="G56" s="399" t="s">
        <v>1655</v>
      </c>
      <c r="H56" s="401">
        <v>15</v>
      </c>
      <c r="I56" s="402" t="s">
        <v>1646</v>
      </c>
      <c r="J56" s="336">
        <v>2</v>
      </c>
      <c r="K56" s="414" t="str">
        <f>VLOOKUP(Ruimtestaat[[#This Row],[Ruimte code]],Ruimtegroepen[[#All],[Code]:[Ruimte omschrijving]],2,FALSE)</f>
        <v>Kantoren</v>
      </c>
      <c r="L56" s="399" t="s">
        <v>99</v>
      </c>
      <c r="M56" s="402" t="s">
        <v>36</v>
      </c>
      <c r="N56" s="404">
        <v>16.399999999999999</v>
      </c>
      <c r="O56" s="413"/>
      <c r="P56" s="405" t="str">
        <f>VLOOKUP(Ruimtestaat[[#This Row],[Ruimte code]],Ruimtegroepen[],4,FALSE)</f>
        <v>Bu</v>
      </c>
      <c r="Q56" s="399">
        <v>51</v>
      </c>
      <c r="R56" s="399" t="s">
        <v>18</v>
      </c>
      <c r="S56" s="399">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56" s="399">
        <f>IF(S56&gt;0,VLOOKUP($J56,Ruimtegroepen[],3,FALSE)*VLOOKUP($L56,Vloersoorten[],3,FALSE)*VLOOKUP($R56,Frequenties[],3,FALSE)*VLOOKUP($A56,Locaties[],3,FALSE),0)</f>
        <v>0</v>
      </c>
      <c r="U56" s="399">
        <f>Ruimtestaat[[#This Row],[Uitvoeringen werkdagen]]*Ruimtestaat[[#This Row],[Oppervlak (netto)]]</f>
        <v>2509.1999999999998</v>
      </c>
      <c r="V56" s="406">
        <f>IF(T56&gt;0,Ruimtestaat[[#This Row],[Prest. (m2 /jaar) werkdagen]]/Ruimtestaat[[#This Row],[Norm (m2/uur) werkdagen]],0)</f>
        <v>0</v>
      </c>
      <c r="W56" s="407">
        <f>Ruimtestaat[[#This Row],[uren / jaar werkdagen]]*Tariefsopbouw!$E$35</f>
        <v>0</v>
      </c>
      <c r="X56" s="399"/>
      <c r="Y56" s="399">
        <f>IF(Ruimtestaat[[#This Row],[Frequentie weekend]]&gt;0,VALUE(LEFT(X56,1))*Q56,0)</f>
        <v>0</v>
      </c>
      <c r="Z56" s="408">
        <f>IF($Y56&gt;0,VLOOKUP($J56,Ruimtegroepen[],3,FALSE)*VLOOKUP($L56,Vloersoorten[],3,FALSE)*VLOOKUP($X56,Frequenties[],3,FALSE)*VLOOKUP(Ruimtestaat[[#This Row],[Code]],Locaties[],3,FALSE),0)</f>
        <v>0</v>
      </c>
      <c r="AA56" s="408">
        <f>Ruimtestaat[[#This Row],[Uitvoeringen weekend]]*Ruimtestaat[[#This Row],[Oppervlak (netto)]]</f>
        <v>0</v>
      </c>
      <c r="AB56" s="408">
        <f>IF(Z56&gt;0,Ruimtestaat[[#This Row],[Prest. (m2 /jaar) weekend]]/Ruimtestaat[[#This Row],[Norm (m2/uur) weekend]],0)</f>
        <v>0</v>
      </c>
      <c r="AC56" s="407">
        <f>Ruimtestaat[[#This Row],[uren / jaar weekend]]*Tariefsopbouw!$D$40</f>
        <v>0</v>
      </c>
      <c r="AD56" s="406">
        <f>Ruimtestaat[[#This Row],[Prest. (m2 /jaar) weekend]]+Ruimtestaat[[#This Row],[Prest. (m2 /jaar) werkdagen]]</f>
        <v>2509.1999999999998</v>
      </c>
      <c r="AE56" s="406">
        <f>Ruimtestaat[[#This Row],[uren / jaar weekend]]+Ruimtestaat[[#This Row],[uren / jaar werkdagen]]</f>
        <v>0</v>
      </c>
      <c r="AF56" s="409">
        <f>Ruimtestaat[[#This Row],[kosten / jaar weekend]]+Ruimtestaat[[#This Row],[kosten / jaar werkdagen]]</f>
        <v>0</v>
      </c>
      <c r="AG56" s="409"/>
      <c r="AH56" s="410" t="str">
        <f>IF(Ruimtestaat[[#This Row],[Frequentie werkdagen]]="","",_xlfn.CONCAT(Ruimtestaat[[#This Row],[Ruimte code]],"-",Ruimtestaat[[#This Row],[Frequentie werkdagen]]," ",Ruimtestaat[[#This Row],[Vloer code]]))</f>
        <v>2-3w T</v>
      </c>
      <c r="AI56" s="411" t="str">
        <f>_xlfn.IFNA(VLOOKUP($AH56,Programma!$F$3:$G$1101,2,0),"")</f>
        <v>2w</v>
      </c>
      <c r="AJ56" s="411" t="str">
        <f>_xlfn.IFNA(VLOOKUP($AH56,Programma!$F$3:$H$1101,3,0),"")</f>
        <v>1w</v>
      </c>
      <c r="AK56" s="411" t="str">
        <f>_xlfn.IFNA(VLOOKUP($AH56,Programma!$F$3:$I$1101,4,0),"")</f>
        <v>_</v>
      </c>
      <c r="AL56" s="411" t="str">
        <f>_xlfn.IFNA(VLOOKUP($AH56,Programma!$F$3:$J$1101,5,0),"")</f>
        <v>_</v>
      </c>
      <c r="AM56" s="411" t="str">
        <f>_xlfn.IFNA(VLOOKUP($AH56,Programma!$F$3:$K$1101,6,0),"")</f>
        <v>_</v>
      </c>
      <c r="AN56" s="411" t="str">
        <f>_xlfn.IFNA(VLOOKUP($AH56,Programma!$F$3:$L$1101,7,0),"")</f>
        <v>_</v>
      </c>
      <c r="AO56" s="411" t="str">
        <f>_xlfn.IFNA(VLOOKUP($AH56,Programma!$F$3:$M$1101,8,0),"")</f>
        <v>_</v>
      </c>
      <c r="AP56" s="411" t="str">
        <f>_xlfn.IFNA(VLOOKUP($AH56,Programma!$F$3:$N$1101,9,0),"")</f>
        <v>_</v>
      </c>
      <c r="AQ56" s="411" t="str">
        <f>_xlfn.IFNA(VLOOKUP($AH56,Programma!$F$3:$O$1101,10,0),"")</f>
        <v>3w</v>
      </c>
      <c r="AR56" s="411" t="str">
        <f>_xlfn.IFNA(VLOOKUP($AH56,Programma!$F$3:$P$1101,11,0),"")</f>
        <v>3w</v>
      </c>
      <c r="AS56" s="411" t="str">
        <f>_xlfn.IFNA(VLOOKUP($AH56,Programma!$F$3:$Q$1101,12,0),"")</f>
        <v>1w</v>
      </c>
      <c r="AT56" s="411" t="str">
        <f>_xlfn.IFNA(VLOOKUP($AH56,Programma!$F$3:$R$1101,13,0),"")</f>
        <v>1w</v>
      </c>
      <c r="AU56" s="411" t="str">
        <f>_xlfn.IFNA(VLOOKUP($AH56,Programma!$F$3:$S$1101,14,0),"")</f>
        <v>1m</v>
      </c>
      <c r="AV56" s="411" t="str">
        <f>_xlfn.IFNA(VLOOKUP($AH56,Programma!$F$3:$T$1101,15,0),"")</f>
        <v>2j</v>
      </c>
      <c r="AW56" s="411" t="str">
        <f>_xlfn.IFNA(VLOOKUP($AH56,Programma!$F$3:$U$1101,16,0),"")</f>
        <v>1j</v>
      </c>
      <c r="AX56" s="411" t="str">
        <f>_xlfn.IFNA(VLOOKUP($AH56,Programma!$F$3:$V$1101,17,0),"")</f>
        <v>_</v>
      </c>
      <c r="AY56" s="411" t="str">
        <f>_xlfn.IFNA(VLOOKUP($AH56,Programma!$F$3:$W$1101,18,0),"")</f>
        <v>_</v>
      </c>
      <c r="AZ56" s="411" t="str">
        <f>_xlfn.IFNA(VLOOKUP($AH56,Programma!$F$3:$X$1101,19,0),"")</f>
        <v>_</v>
      </c>
      <c r="BA56" s="411" t="str">
        <f>_xlfn.IFNA(VLOOKUP($AH56,Programma!$F$3:$Y$1101,20,0),"")</f>
        <v>_</v>
      </c>
      <c r="BB56" s="412"/>
      <c r="BC56" s="410" t="str">
        <f>IF(Ruimtestaat[[#This Row],[Frequentie weekend]]="","",_xlfn.CONCAT(Ruimtestaat[[#This Row],[Ruimte code]],"-",Ruimtestaat[[#This Row],[Frequentie weekend]]," ",Ruimtestaat[[#This Row],[Vloer code]]))</f>
        <v/>
      </c>
      <c r="BD56" s="411" t="str">
        <f>_xlfn.IFNA(VLOOKUP($BC56,Programma!$F$3:$G$1101,2,0),"")</f>
        <v/>
      </c>
      <c r="BE56" s="411" t="str">
        <f>_xlfn.IFNA(VLOOKUP($BC56,Programma!$F$3:$H$1101,3,0),"")</f>
        <v/>
      </c>
      <c r="BF56" s="411" t="str">
        <f>_xlfn.IFNA(VLOOKUP($BC56,Programma!$F$3:$I$1101,4,0),"")</f>
        <v/>
      </c>
      <c r="BG56" s="411" t="str">
        <f>_xlfn.IFNA(VLOOKUP($BC56,Programma!$F$3:$J$1101,5,0),"")</f>
        <v/>
      </c>
      <c r="BH56" s="411" t="str">
        <f>_xlfn.IFNA(VLOOKUP($BC56,Programma!$F$3:$K$1101,6,0),"")</f>
        <v/>
      </c>
      <c r="BI56" s="411" t="str">
        <f>_xlfn.IFNA(VLOOKUP($BC56,Programma!$F$3:$L$1101,7,0),"")</f>
        <v/>
      </c>
      <c r="BJ56" s="411" t="str">
        <f>_xlfn.IFNA(VLOOKUP($BC56,Programma!$F$3:$M$1101,8,0),"")</f>
        <v/>
      </c>
      <c r="BK56" s="411" t="str">
        <f>_xlfn.IFNA(VLOOKUP($BC56,Programma!$F$3:$N$1101,9,0),"")</f>
        <v/>
      </c>
      <c r="BL56" s="411" t="str">
        <f>_xlfn.IFNA(VLOOKUP($BC56,Programma!$F$3:$O$1101,10,0),"")</f>
        <v/>
      </c>
      <c r="BM56" s="411" t="str">
        <f>_xlfn.IFNA(VLOOKUP($BC56,Programma!$F$3:$P$1101,11,0),"")</f>
        <v/>
      </c>
      <c r="BN56" s="411" t="str">
        <f>_xlfn.IFNA(VLOOKUP($BC56,Programma!$F$3:$Q$1101,12,0),"")</f>
        <v/>
      </c>
      <c r="BO56" s="411" t="str">
        <f>_xlfn.IFNA(VLOOKUP($BC56,Programma!$F$3:$R$1101,13,0),"")</f>
        <v/>
      </c>
      <c r="BP56" s="411" t="str">
        <f>_xlfn.IFNA(VLOOKUP($BC56,Programma!$F$3:$S$1101,14,0),"")</f>
        <v/>
      </c>
      <c r="BQ56" s="411" t="str">
        <f>_xlfn.IFNA(VLOOKUP($BC56,Programma!$F$3:$T$1101,15,0),"")</f>
        <v/>
      </c>
      <c r="BR56" s="411" t="str">
        <f>_xlfn.IFNA(VLOOKUP($BC56,Programma!$F$3:$U$1101,16,0),"")</f>
        <v/>
      </c>
      <c r="BS56" s="411" t="str">
        <f>_xlfn.IFNA(VLOOKUP($BC56,Programma!$F$3:$V$1101,17,0),"")</f>
        <v/>
      </c>
      <c r="BT56" s="411" t="str">
        <f>_xlfn.IFNA(VLOOKUP($BC56,Programma!$F$3:$W$1101,18,0),"")</f>
        <v/>
      </c>
      <c r="BU56" s="411" t="str">
        <f>_xlfn.IFNA(VLOOKUP($BC56,Programma!$F$3:$X$1101,19,0),"")</f>
        <v/>
      </c>
      <c r="BV56" s="411" t="str">
        <f>_xlfn.IFNA(VLOOKUP($BC56,Programma!$F$3:$Y$1101,20,0),"")</f>
        <v/>
      </c>
    </row>
    <row r="57" spans="1:74" s="28" customFormat="1" ht="15" customHeight="1">
      <c r="A57" s="399">
        <v>1</v>
      </c>
      <c r="B57" s="400" t="str">
        <f>VLOOKUP(Ruimtestaat[[#This Row],[Code]],Locaties[[Code]:[Locatie]],2,FALSE)</f>
        <v>Jansstraat en Janskerk</v>
      </c>
      <c r="C57" s="400" t="str">
        <f>VLOOKUP(Ruimtestaat[[#This Row],[Code]],Locaties[[#All],[Code]:[Adres]],4,FALSE)</f>
        <v>Jansstraat 40</v>
      </c>
      <c r="D57" s="400" t="str">
        <f>VLOOKUP(Ruimtestaat[[#This Row],[Code]],Locaties[[#All],[Code]:[Postcode]],5,FALSE)</f>
        <v>2011 RX</v>
      </c>
      <c r="E57" s="400" t="str">
        <f>VLOOKUP(Ruimtestaat[[#This Row],[Code]],Locaties[#All],6,FALSE)</f>
        <v>Haarlem</v>
      </c>
      <c r="F57" s="399"/>
      <c r="G57" s="399" t="s">
        <v>1655</v>
      </c>
      <c r="H57" s="401">
        <v>16</v>
      </c>
      <c r="I57" s="402" t="s">
        <v>1659</v>
      </c>
      <c r="J57" s="336">
        <v>2</v>
      </c>
      <c r="K57" s="414" t="str">
        <f>VLOOKUP(Ruimtestaat[[#This Row],[Ruimte code]],Ruimtegroepen[[#All],[Code]:[Ruimte omschrijving]],2,FALSE)</f>
        <v>Kantoren</v>
      </c>
      <c r="L57" s="399" t="s">
        <v>99</v>
      </c>
      <c r="M57" s="402" t="s">
        <v>36</v>
      </c>
      <c r="N57" s="404">
        <v>33.200000000000003</v>
      </c>
      <c r="O57" s="399"/>
      <c r="P57" s="405" t="str">
        <f>VLOOKUP(Ruimtestaat[[#This Row],[Ruimte code]],Ruimtegroepen[],4,FALSE)</f>
        <v>Bu</v>
      </c>
      <c r="Q57" s="399">
        <v>51</v>
      </c>
      <c r="R57" s="399" t="s">
        <v>18</v>
      </c>
      <c r="S57" s="399">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57" s="399">
        <f>IF(S57&gt;0,VLOOKUP($J57,Ruimtegroepen[],3,FALSE)*VLOOKUP($L57,Vloersoorten[],3,FALSE)*VLOOKUP($R57,Frequenties[],3,FALSE)*VLOOKUP($A57,Locaties[],3,FALSE),0)</f>
        <v>0</v>
      </c>
      <c r="U57" s="399">
        <f>Ruimtestaat[[#This Row],[Uitvoeringen werkdagen]]*Ruimtestaat[[#This Row],[Oppervlak (netto)]]</f>
        <v>5079.6000000000004</v>
      </c>
      <c r="V57" s="406">
        <f>IF(T57&gt;0,Ruimtestaat[[#This Row],[Prest. (m2 /jaar) werkdagen]]/Ruimtestaat[[#This Row],[Norm (m2/uur) werkdagen]],0)</f>
        <v>0</v>
      </c>
      <c r="W57" s="407">
        <f>Ruimtestaat[[#This Row],[uren / jaar werkdagen]]*Tariefsopbouw!$E$35</f>
        <v>0</v>
      </c>
      <c r="X57" s="399"/>
      <c r="Y57" s="399">
        <f>IF(Ruimtestaat[[#This Row],[Frequentie weekend]]&gt;0,VALUE(LEFT(X57,1))*Q57,0)</f>
        <v>0</v>
      </c>
      <c r="Z57" s="408">
        <f>IF($Y57&gt;0,VLOOKUP($J57,Ruimtegroepen[],3,FALSE)*VLOOKUP($L57,Vloersoorten[],3,FALSE)*VLOOKUP($X57,Frequenties[],3,FALSE)*VLOOKUP(Ruimtestaat[[#This Row],[Code]],Locaties[],3,FALSE),0)</f>
        <v>0</v>
      </c>
      <c r="AA57" s="408">
        <f>Ruimtestaat[[#This Row],[Uitvoeringen weekend]]*Ruimtestaat[[#This Row],[Oppervlak (netto)]]</f>
        <v>0</v>
      </c>
      <c r="AB57" s="408">
        <f>IF(Z57&gt;0,Ruimtestaat[[#This Row],[Prest. (m2 /jaar) weekend]]/Ruimtestaat[[#This Row],[Norm (m2/uur) weekend]],0)</f>
        <v>0</v>
      </c>
      <c r="AC57" s="407">
        <f>Ruimtestaat[[#This Row],[uren / jaar weekend]]*Tariefsopbouw!$D$40</f>
        <v>0</v>
      </c>
      <c r="AD57" s="406">
        <f>Ruimtestaat[[#This Row],[Prest. (m2 /jaar) weekend]]+Ruimtestaat[[#This Row],[Prest. (m2 /jaar) werkdagen]]</f>
        <v>5079.6000000000004</v>
      </c>
      <c r="AE57" s="406">
        <f>Ruimtestaat[[#This Row],[uren / jaar weekend]]+Ruimtestaat[[#This Row],[uren / jaar werkdagen]]</f>
        <v>0</v>
      </c>
      <c r="AF57" s="409">
        <f>Ruimtestaat[[#This Row],[kosten / jaar weekend]]+Ruimtestaat[[#This Row],[kosten / jaar werkdagen]]</f>
        <v>0</v>
      </c>
      <c r="AG57" s="409"/>
      <c r="AH57" s="410" t="str">
        <f>IF(Ruimtestaat[[#This Row],[Frequentie werkdagen]]="","",_xlfn.CONCAT(Ruimtestaat[[#This Row],[Ruimte code]],"-",Ruimtestaat[[#This Row],[Frequentie werkdagen]]," ",Ruimtestaat[[#This Row],[Vloer code]]))</f>
        <v>2-3w T</v>
      </c>
      <c r="AI57" s="411" t="str">
        <f>_xlfn.IFNA(VLOOKUP($AH57,Programma!$F$3:$G$1101,2,0),"")</f>
        <v>2w</v>
      </c>
      <c r="AJ57" s="411" t="str">
        <f>_xlfn.IFNA(VLOOKUP($AH57,Programma!$F$3:$H$1101,3,0),"")</f>
        <v>1w</v>
      </c>
      <c r="AK57" s="411" t="str">
        <f>_xlfn.IFNA(VLOOKUP($AH57,Programma!$F$3:$I$1101,4,0),"")</f>
        <v>_</v>
      </c>
      <c r="AL57" s="411" t="str">
        <f>_xlfn.IFNA(VLOOKUP($AH57,Programma!$F$3:$J$1101,5,0),"")</f>
        <v>_</v>
      </c>
      <c r="AM57" s="411" t="str">
        <f>_xlfn.IFNA(VLOOKUP($AH57,Programma!$F$3:$K$1101,6,0),"")</f>
        <v>_</v>
      </c>
      <c r="AN57" s="411" t="str">
        <f>_xlfn.IFNA(VLOOKUP($AH57,Programma!$F$3:$L$1101,7,0),"")</f>
        <v>_</v>
      </c>
      <c r="AO57" s="411" t="str">
        <f>_xlfn.IFNA(VLOOKUP($AH57,Programma!$F$3:$M$1101,8,0),"")</f>
        <v>_</v>
      </c>
      <c r="AP57" s="411" t="str">
        <f>_xlfn.IFNA(VLOOKUP($AH57,Programma!$F$3:$N$1101,9,0),"")</f>
        <v>_</v>
      </c>
      <c r="AQ57" s="411" t="str">
        <f>_xlfn.IFNA(VLOOKUP($AH57,Programma!$F$3:$O$1101,10,0),"")</f>
        <v>3w</v>
      </c>
      <c r="AR57" s="411" t="str">
        <f>_xlfn.IFNA(VLOOKUP($AH57,Programma!$F$3:$P$1101,11,0),"")</f>
        <v>3w</v>
      </c>
      <c r="AS57" s="411" t="str">
        <f>_xlfn.IFNA(VLOOKUP($AH57,Programma!$F$3:$Q$1101,12,0),"")</f>
        <v>1w</v>
      </c>
      <c r="AT57" s="411" t="str">
        <f>_xlfn.IFNA(VLOOKUP($AH57,Programma!$F$3:$R$1101,13,0),"")</f>
        <v>1w</v>
      </c>
      <c r="AU57" s="411" t="str">
        <f>_xlfn.IFNA(VLOOKUP($AH57,Programma!$F$3:$S$1101,14,0),"")</f>
        <v>1m</v>
      </c>
      <c r="AV57" s="411" t="str">
        <f>_xlfn.IFNA(VLOOKUP($AH57,Programma!$F$3:$T$1101,15,0),"")</f>
        <v>2j</v>
      </c>
      <c r="AW57" s="411" t="str">
        <f>_xlfn.IFNA(VLOOKUP($AH57,Programma!$F$3:$U$1101,16,0),"")</f>
        <v>1j</v>
      </c>
      <c r="AX57" s="411" t="str">
        <f>_xlfn.IFNA(VLOOKUP($AH57,Programma!$F$3:$V$1101,17,0),"")</f>
        <v>_</v>
      </c>
      <c r="AY57" s="411" t="str">
        <f>_xlfn.IFNA(VLOOKUP($AH57,Programma!$F$3:$W$1101,18,0),"")</f>
        <v>_</v>
      </c>
      <c r="AZ57" s="411" t="str">
        <f>_xlfn.IFNA(VLOOKUP($AH57,Programma!$F$3:$X$1101,19,0),"")</f>
        <v>_</v>
      </c>
      <c r="BA57" s="411" t="str">
        <f>_xlfn.IFNA(VLOOKUP($AH57,Programma!$F$3:$Y$1101,20,0),"")</f>
        <v>_</v>
      </c>
      <c r="BB57" s="412"/>
      <c r="BC57" s="410" t="str">
        <f>IF(Ruimtestaat[[#This Row],[Frequentie weekend]]="","",_xlfn.CONCAT(Ruimtestaat[[#This Row],[Ruimte code]],"-",Ruimtestaat[[#This Row],[Frequentie weekend]]," ",Ruimtestaat[[#This Row],[Vloer code]]))</f>
        <v/>
      </c>
      <c r="BD57" s="411" t="str">
        <f>_xlfn.IFNA(VLOOKUP($BC57,Programma!$F$3:$G$1101,2,0),"")</f>
        <v/>
      </c>
      <c r="BE57" s="411" t="str">
        <f>_xlfn.IFNA(VLOOKUP($BC57,Programma!$F$3:$H$1101,3,0),"")</f>
        <v/>
      </c>
      <c r="BF57" s="411" t="str">
        <f>_xlfn.IFNA(VLOOKUP($BC57,Programma!$F$3:$I$1101,4,0),"")</f>
        <v/>
      </c>
      <c r="BG57" s="411" t="str">
        <f>_xlfn.IFNA(VLOOKUP($BC57,Programma!$F$3:$J$1101,5,0),"")</f>
        <v/>
      </c>
      <c r="BH57" s="411" t="str">
        <f>_xlfn.IFNA(VLOOKUP($BC57,Programma!$F$3:$K$1101,6,0),"")</f>
        <v/>
      </c>
      <c r="BI57" s="411" t="str">
        <f>_xlfn.IFNA(VLOOKUP($BC57,Programma!$F$3:$L$1101,7,0),"")</f>
        <v/>
      </c>
      <c r="BJ57" s="411" t="str">
        <f>_xlfn.IFNA(VLOOKUP($BC57,Programma!$F$3:$M$1101,8,0),"")</f>
        <v/>
      </c>
      <c r="BK57" s="411" t="str">
        <f>_xlfn.IFNA(VLOOKUP($BC57,Programma!$F$3:$N$1101,9,0),"")</f>
        <v/>
      </c>
      <c r="BL57" s="411" t="str">
        <f>_xlfn.IFNA(VLOOKUP($BC57,Programma!$F$3:$O$1101,10,0),"")</f>
        <v/>
      </c>
      <c r="BM57" s="411" t="str">
        <f>_xlfn.IFNA(VLOOKUP($BC57,Programma!$F$3:$P$1101,11,0),"")</f>
        <v/>
      </c>
      <c r="BN57" s="411" t="str">
        <f>_xlfn.IFNA(VLOOKUP($BC57,Programma!$F$3:$Q$1101,12,0),"")</f>
        <v/>
      </c>
      <c r="BO57" s="411" t="str">
        <f>_xlfn.IFNA(VLOOKUP($BC57,Programma!$F$3:$R$1101,13,0),"")</f>
        <v/>
      </c>
      <c r="BP57" s="411" t="str">
        <f>_xlfn.IFNA(VLOOKUP($BC57,Programma!$F$3:$S$1101,14,0),"")</f>
        <v/>
      </c>
      <c r="BQ57" s="411" t="str">
        <f>_xlfn.IFNA(VLOOKUP($BC57,Programma!$F$3:$T$1101,15,0),"")</f>
        <v/>
      </c>
      <c r="BR57" s="411" t="str">
        <f>_xlfn.IFNA(VLOOKUP($BC57,Programma!$F$3:$U$1101,16,0),"")</f>
        <v/>
      </c>
      <c r="BS57" s="411" t="str">
        <f>_xlfn.IFNA(VLOOKUP($BC57,Programma!$F$3:$V$1101,17,0),"")</f>
        <v/>
      </c>
      <c r="BT57" s="411" t="str">
        <f>_xlfn.IFNA(VLOOKUP($BC57,Programma!$F$3:$W$1101,18,0),"")</f>
        <v/>
      </c>
      <c r="BU57" s="411" t="str">
        <f>_xlfn.IFNA(VLOOKUP($BC57,Programma!$F$3:$X$1101,19,0),"")</f>
        <v/>
      </c>
      <c r="BV57" s="411" t="str">
        <f>_xlfn.IFNA(VLOOKUP($BC57,Programma!$F$3:$Y$1101,20,0),"")</f>
        <v/>
      </c>
    </row>
    <row r="58" spans="1:74" s="28" customFormat="1" ht="15" customHeight="1">
      <c r="A58" s="399">
        <v>1</v>
      </c>
      <c r="B58" s="400" t="str">
        <f>VLOOKUP(Ruimtestaat[[#This Row],[Code]],Locaties[[Code]:[Locatie]],2,FALSE)</f>
        <v>Jansstraat en Janskerk</v>
      </c>
      <c r="C58" s="400" t="str">
        <f>VLOOKUP(Ruimtestaat[[#This Row],[Code]],Locaties[[#All],[Code]:[Adres]],4,FALSE)</f>
        <v>Jansstraat 40</v>
      </c>
      <c r="D58" s="400" t="str">
        <f>VLOOKUP(Ruimtestaat[[#This Row],[Code]],Locaties[[#All],[Code]:[Postcode]],5,FALSE)</f>
        <v>2011 RX</v>
      </c>
      <c r="E58" s="400" t="str">
        <f>VLOOKUP(Ruimtestaat[[#This Row],[Code]],Locaties[#All],6,FALSE)</f>
        <v>Haarlem</v>
      </c>
      <c r="F58" s="399"/>
      <c r="G58" s="399" t="s">
        <v>1655</v>
      </c>
      <c r="H58" s="401" t="s">
        <v>1658</v>
      </c>
      <c r="I58" s="402" t="s">
        <v>1646</v>
      </c>
      <c r="J58" s="336">
        <v>2</v>
      </c>
      <c r="K58" s="414" t="str">
        <f>VLOOKUP(Ruimtestaat[[#This Row],[Ruimte code]],Ruimtegroepen[[#All],[Code]:[Ruimte omschrijving]],2,FALSE)</f>
        <v>Kantoren</v>
      </c>
      <c r="L58" s="399" t="s">
        <v>99</v>
      </c>
      <c r="M58" s="402" t="s">
        <v>36</v>
      </c>
      <c r="N58" s="404">
        <v>13.2</v>
      </c>
      <c r="O58" s="413"/>
      <c r="P58" s="405" t="str">
        <f>VLOOKUP(Ruimtestaat[[#This Row],[Ruimte code]],Ruimtegroepen[],4,FALSE)</f>
        <v>Bu</v>
      </c>
      <c r="Q58" s="399">
        <v>51</v>
      </c>
      <c r="R58" s="399" t="s">
        <v>18</v>
      </c>
      <c r="S58" s="399">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58" s="399">
        <f>IF(S58&gt;0,VLOOKUP($J58,Ruimtegroepen[],3,FALSE)*VLOOKUP($L58,Vloersoorten[],3,FALSE)*VLOOKUP($R58,Frequenties[],3,FALSE)*VLOOKUP($A58,Locaties[],3,FALSE),0)</f>
        <v>0</v>
      </c>
      <c r="U58" s="399">
        <f>Ruimtestaat[[#This Row],[Uitvoeringen werkdagen]]*Ruimtestaat[[#This Row],[Oppervlak (netto)]]</f>
        <v>2019.6</v>
      </c>
      <c r="V58" s="406">
        <f>IF(T58&gt;0,Ruimtestaat[[#This Row],[Prest. (m2 /jaar) werkdagen]]/Ruimtestaat[[#This Row],[Norm (m2/uur) werkdagen]],0)</f>
        <v>0</v>
      </c>
      <c r="W58" s="407">
        <f>Ruimtestaat[[#This Row],[uren / jaar werkdagen]]*Tariefsopbouw!$E$35</f>
        <v>0</v>
      </c>
      <c r="X58" s="399"/>
      <c r="Y58" s="399">
        <f>IF(Ruimtestaat[[#This Row],[Frequentie weekend]]&gt;0,VALUE(LEFT(X58,1))*Q58,0)</f>
        <v>0</v>
      </c>
      <c r="Z58" s="408">
        <f>IF($Y58&gt;0,VLOOKUP($J58,Ruimtegroepen[],3,FALSE)*VLOOKUP($L58,Vloersoorten[],3,FALSE)*VLOOKUP($X58,Frequenties[],3,FALSE)*VLOOKUP(Ruimtestaat[[#This Row],[Code]],Locaties[],3,FALSE),0)</f>
        <v>0</v>
      </c>
      <c r="AA58" s="408">
        <f>Ruimtestaat[[#This Row],[Uitvoeringen weekend]]*Ruimtestaat[[#This Row],[Oppervlak (netto)]]</f>
        <v>0</v>
      </c>
      <c r="AB58" s="408">
        <f>IF(Z58&gt;0,Ruimtestaat[[#This Row],[Prest. (m2 /jaar) weekend]]/Ruimtestaat[[#This Row],[Norm (m2/uur) weekend]],0)</f>
        <v>0</v>
      </c>
      <c r="AC58" s="407">
        <f>Ruimtestaat[[#This Row],[uren / jaar weekend]]*Tariefsopbouw!$D$40</f>
        <v>0</v>
      </c>
      <c r="AD58" s="406">
        <f>Ruimtestaat[[#This Row],[Prest. (m2 /jaar) weekend]]+Ruimtestaat[[#This Row],[Prest. (m2 /jaar) werkdagen]]</f>
        <v>2019.6</v>
      </c>
      <c r="AE58" s="406">
        <f>Ruimtestaat[[#This Row],[uren / jaar weekend]]+Ruimtestaat[[#This Row],[uren / jaar werkdagen]]</f>
        <v>0</v>
      </c>
      <c r="AF58" s="409">
        <f>Ruimtestaat[[#This Row],[kosten / jaar weekend]]+Ruimtestaat[[#This Row],[kosten / jaar werkdagen]]</f>
        <v>0</v>
      </c>
      <c r="AG58" s="409"/>
      <c r="AH58" s="410" t="str">
        <f>IF(Ruimtestaat[[#This Row],[Frequentie werkdagen]]="","",_xlfn.CONCAT(Ruimtestaat[[#This Row],[Ruimte code]],"-",Ruimtestaat[[#This Row],[Frequentie werkdagen]]," ",Ruimtestaat[[#This Row],[Vloer code]]))</f>
        <v>2-3w T</v>
      </c>
      <c r="AI58" s="411" t="str">
        <f>_xlfn.IFNA(VLOOKUP($AH58,Programma!$F$3:$G$1101,2,0),"")</f>
        <v>2w</v>
      </c>
      <c r="AJ58" s="411" t="str">
        <f>_xlfn.IFNA(VLOOKUP($AH58,Programma!$F$3:$H$1101,3,0),"")</f>
        <v>1w</v>
      </c>
      <c r="AK58" s="411" t="str">
        <f>_xlfn.IFNA(VLOOKUP($AH58,Programma!$F$3:$I$1101,4,0),"")</f>
        <v>_</v>
      </c>
      <c r="AL58" s="411" t="str">
        <f>_xlfn.IFNA(VLOOKUP($AH58,Programma!$F$3:$J$1101,5,0),"")</f>
        <v>_</v>
      </c>
      <c r="AM58" s="411" t="str">
        <f>_xlfn.IFNA(VLOOKUP($AH58,Programma!$F$3:$K$1101,6,0),"")</f>
        <v>_</v>
      </c>
      <c r="AN58" s="411" t="str">
        <f>_xlfn.IFNA(VLOOKUP($AH58,Programma!$F$3:$L$1101,7,0),"")</f>
        <v>_</v>
      </c>
      <c r="AO58" s="411" t="str">
        <f>_xlfn.IFNA(VLOOKUP($AH58,Programma!$F$3:$M$1101,8,0),"")</f>
        <v>_</v>
      </c>
      <c r="AP58" s="411" t="str">
        <f>_xlfn.IFNA(VLOOKUP($AH58,Programma!$F$3:$N$1101,9,0),"")</f>
        <v>_</v>
      </c>
      <c r="AQ58" s="411" t="str">
        <f>_xlfn.IFNA(VLOOKUP($AH58,Programma!$F$3:$O$1101,10,0),"")</f>
        <v>3w</v>
      </c>
      <c r="AR58" s="411" t="str">
        <f>_xlfn.IFNA(VLOOKUP($AH58,Programma!$F$3:$P$1101,11,0),"")</f>
        <v>3w</v>
      </c>
      <c r="AS58" s="411" t="str">
        <f>_xlfn.IFNA(VLOOKUP($AH58,Programma!$F$3:$Q$1101,12,0),"")</f>
        <v>1w</v>
      </c>
      <c r="AT58" s="411" t="str">
        <f>_xlfn.IFNA(VLOOKUP($AH58,Programma!$F$3:$R$1101,13,0),"")</f>
        <v>1w</v>
      </c>
      <c r="AU58" s="411" t="str">
        <f>_xlfn.IFNA(VLOOKUP($AH58,Programma!$F$3:$S$1101,14,0),"")</f>
        <v>1m</v>
      </c>
      <c r="AV58" s="411" t="str">
        <f>_xlfn.IFNA(VLOOKUP($AH58,Programma!$F$3:$T$1101,15,0),"")</f>
        <v>2j</v>
      </c>
      <c r="AW58" s="411" t="str">
        <f>_xlfn.IFNA(VLOOKUP($AH58,Programma!$F$3:$U$1101,16,0),"")</f>
        <v>1j</v>
      </c>
      <c r="AX58" s="411" t="str">
        <f>_xlfn.IFNA(VLOOKUP($AH58,Programma!$F$3:$V$1101,17,0),"")</f>
        <v>_</v>
      </c>
      <c r="AY58" s="411" t="str">
        <f>_xlfn.IFNA(VLOOKUP($AH58,Programma!$F$3:$W$1101,18,0),"")</f>
        <v>_</v>
      </c>
      <c r="AZ58" s="411" t="str">
        <f>_xlfn.IFNA(VLOOKUP($AH58,Programma!$F$3:$X$1101,19,0),"")</f>
        <v>_</v>
      </c>
      <c r="BA58" s="411" t="str">
        <f>_xlfn.IFNA(VLOOKUP($AH58,Programma!$F$3:$Y$1101,20,0),"")</f>
        <v>_</v>
      </c>
      <c r="BB58" s="412"/>
      <c r="BC58" s="410" t="str">
        <f>IF(Ruimtestaat[[#This Row],[Frequentie weekend]]="","",_xlfn.CONCAT(Ruimtestaat[[#This Row],[Ruimte code]],"-",Ruimtestaat[[#This Row],[Frequentie weekend]]," ",Ruimtestaat[[#This Row],[Vloer code]]))</f>
        <v/>
      </c>
      <c r="BD58" s="411" t="str">
        <f>_xlfn.IFNA(VLOOKUP($BC58,Programma!$F$3:$G$1101,2,0),"")</f>
        <v/>
      </c>
      <c r="BE58" s="411" t="str">
        <f>_xlfn.IFNA(VLOOKUP($BC58,Programma!$F$3:$H$1101,3,0),"")</f>
        <v/>
      </c>
      <c r="BF58" s="411" t="str">
        <f>_xlfn.IFNA(VLOOKUP($BC58,Programma!$F$3:$I$1101,4,0),"")</f>
        <v/>
      </c>
      <c r="BG58" s="411" t="str">
        <f>_xlfn.IFNA(VLOOKUP($BC58,Programma!$F$3:$J$1101,5,0),"")</f>
        <v/>
      </c>
      <c r="BH58" s="411" t="str">
        <f>_xlfn.IFNA(VLOOKUP($BC58,Programma!$F$3:$K$1101,6,0),"")</f>
        <v/>
      </c>
      <c r="BI58" s="411" t="str">
        <f>_xlfn.IFNA(VLOOKUP($BC58,Programma!$F$3:$L$1101,7,0),"")</f>
        <v/>
      </c>
      <c r="BJ58" s="411" t="str">
        <f>_xlfn.IFNA(VLOOKUP($BC58,Programma!$F$3:$M$1101,8,0),"")</f>
        <v/>
      </c>
      <c r="BK58" s="411" t="str">
        <f>_xlfn.IFNA(VLOOKUP($BC58,Programma!$F$3:$N$1101,9,0),"")</f>
        <v/>
      </c>
      <c r="BL58" s="411" t="str">
        <f>_xlfn.IFNA(VLOOKUP($BC58,Programma!$F$3:$O$1101,10,0),"")</f>
        <v/>
      </c>
      <c r="BM58" s="411" t="str">
        <f>_xlfn.IFNA(VLOOKUP($BC58,Programma!$F$3:$P$1101,11,0),"")</f>
        <v/>
      </c>
      <c r="BN58" s="411" t="str">
        <f>_xlfn.IFNA(VLOOKUP($BC58,Programma!$F$3:$Q$1101,12,0),"")</f>
        <v/>
      </c>
      <c r="BO58" s="411" t="str">
        <f>_xlfn.IFNA(VLOOKUP($BC58,Programma!$F$3:$R$1101,13,0),"")</f>
        <v/>
      </c>
      <c r="BP58" s="411" t="str">
        <f>_xlfn.IFNA(VLOOKUP($BC58,Programma!$F$3:$S$1101,14,0),"")</f>
        <v/>
      </c>
      <c r="BQ58" s="411" t="str">
        <f>_xlfn.IFNA(VLOOKUP($BC58,Programma!$F$3:$T$1101,15,0),"")</f>
        <v/>
      </c>
      <c r="BR58" s="411" t="str">
        <f>_xlfn.IFNA(VLOOKUP($BC58,Programma!$F$3:$U$1101,16,0),"")</f>
        <v/>
      </c>
      <c r="BS58" s="411" t="str">
        <f>_xlfn.IFNA(VLOOKUP($BC58,Programma!$F$3:$V$1101,17,0),"")</f>
        <v/>
      </c>
      <c r="BT58" s="411" t="str">
        <f>_xlfn.IFNA(VLOOKUP($BC58,Programma!$F$3:$W$1101,18,0),"")</f>
        <v/>
      </c>
      <c r="BU58" s="411" t="str">
        <f>_xlfn.IFNA(VLOOKUP($BC58,Programma!$F$3:$X$1101,19,0),"")</f>
        <v/>
      </c>
      <c r="BV58" s="411" t="str">
        <f>_xlfn.IFNA(VLOOKUP($BC58,Programma!$F$3:$Y$1101,20,0),"")</f>
        <v/>
      </c>
    </row>
    <row r="59" spans="1:74" s="28" customFormat="1" ht="15" customHeight="1">
      <c r="A59" s="399">
        <v>1</v>
      </c>
      <c r="B59" s="400" t="str">
        <f>VLOOKUP(Ruimtestaat[[#This Row],[Code]],Locaties[[Code]:[Locatie]],2,FALSE)</f>
        <v>Jansstraat en Janskerk</v>
      </c>
      <c r="C59" s="400" t="str">
        <f>VLOOKUP(Ruimtestaat[[#This Row],[Code]],Locaties[[#All],[Code]:[Adres]],4,FALSE)</f>
        <v>Jansstraat 40</v>
      </c>
      <c r="D59" s="400" t="str">
        <f>VLOOKUP(Ruimtestaat[[#This Row],[Code]],Locaties[[#All],[Code]:[Postcode]],5,FALSE)</f>
        <v>2011 RX</v>
      </c>
      <c r="E59" s="400" t="str">
        <f>VLOOKUP(Ruimtestaat[[#This Row],[Code]],Locaties[#All],6,FALSE)</f>
        <v>Haarlem</v>
      </c>
      <c r="F59" s="399"/>
      <c r="G59" s="399" t="s">
        <v>1655</v>
      </c>
      <c r="H59" s="401">
        <v>17</v>
      </c>
      <c r="I59" s="402" t="s">
        <v>1646</v>
      </c>
      <c r="J59" s="336">
        <v>2</v>
      </c>
      <c r="K59" s="414" t="str">
        <f>VLOOKUP(Ruimtestaat[[#This Row],[Ruimte code]],Ruimtegroepen[[#All],[Code]:[Ruimte omschrijving]],2,FALSE)</f>
        <v>Kantoren</v>
      </c>
      <c r="L59" s="399" t="s">
        <v>99</v>
      </c>
      <c r="M59" s="402" t="s">
        <v>36</v>
      </c>
      <c r="N59" s="404">
        <v>16.399999999999999</v>
      </c>
      <c r="O59" s="413"/>
      <c r="P59" s="405" t="str">
        <f>VLOOKUP(Ruimtestaat[[#This Row],[Ruimte code]],Ruimtegroepen[],4,FALSE)</f>
        <v>Bu</v>
      </c>
      <c r="Q59" s="399">
        <v>51</v>
      </c>
      <c r="R59" s="399" t="s">
        <v>18</v>
      </c>
      <c r="S59" s="399">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59" s="399">
        <f>IF(S59&gt;0,VLOOKUP($J59,Ruimtegroepen[],3,FALSE)*VLOOKUP($L59,Vloersoorten[],3,FALSE)*VLOOKUP($R59,Frequenties[],3,FALSE)*VLOOKUP($A59,Locaties[],3,FALSE),0)</f>
        <v>0</v>
      </c>
      <c r="U59" s="399">
        <f>Ruimtestaat[[#This Row],[Uitvoeringen werkdagen]]*Ruimtestaat[[#This Row],[Oppervlak (netto)]]</f>
        <v>2509.1999999999998</v>
      </c>
      <c r="V59" s="406">
        <f>IF(T59&gt;0,Ruimtestaat[[#This Row],[Prest. (m2 /jaar) werkdagen]]/Ruimtestaat[[#This Row],[Norm (m2/uur) werkdagen]],0)</f>
        <v>0</v>
      </c>
      <c r="W59" s="407">
        <f>Ruimtestaat[[#This Row],[uren / jaar werkdagen]]*Tariefsopbouw!$E$35</f>
        <v>0</v>
      </c>
      <c r="X59" s="399"/>
      <c r="Y59" s="399">
        <f>IF(Ruimtestaat[[#This Row],[Frequentie weekend]]&gt;0,VALUE(LEFT(X59,1))*Q59,0)</f>
        <v>0</v>
      </c>
      <c r="Z59" s="408">
        <f>IF($Y59&gt;0,VLOOKUP($J59,Ruimtegroepen[],3,FALSE)*VLOOKUP($L59,Vloersoorten[],3,FALSE)*VLOOKUP($X59,Frequenties[],3,FALSE)*VLOOKUP(Ruimtestaat[[#This Row],[Code]],Locaties[],3,FALSE),0)</f>
        <v>0</v>
      </c>
      <c r="AA59" s="408">
        <f>Ruimtestaat[[#This Row],[Uitvoeringen weekend]]*Ruimtestaat[[#This Row],[Oppervlak (netto)]]</f>
        <v>0</v>
      </c>
      <c r="AB59" s="408">
        <f>IF(Z59&gt;0,Ruimtestaat[[#This Row],[Prest. (m2 /jaar) weekend]]/Ruimtestaat[[#This Row],[Norm (m2/uur) weekend]],0)</f>
        <v>0</v>
      </c>
      <c r="AC59" s="407">
        <f>Ruimtestaat[[#This Row],[uren / jaar weekend]]*Tariefsopbouw!$D$40</f>
        <v>0</v>
      </c>
      <c r="AD59" s="406">
        <f>Ruimtestaat[[#This Row],[Prest. (m2 /jaar) weekend]]+Ruimtestaat[[#This Row],[Prest. (m2 /jaar) werkdagen]]</f>
        <v>2509.1999999999998</v>
      </c>
      <c r="AE59" s="406">
        <f>Ruimtestaat[[#This Row],[uren / jaar weekend]]+Ruimtestaat[[#This Row],[uren / jaar werkdagen]]</f>
        <v>0</v>
      </c>
      <c r="AF59" s="409">
        <f>Ruimtestaat[[#This Row],[kosten / jaar weekend]]+Ruimtestaat[[#This Row],[kosten / jaar werkdagen]]</f>
        <v>0</v>
      </c>
      <c r="AG59" s="409"/>
      <c r="AH59" s="410" t="str">
        <f>IF(Ruimtestaat[[#This Row],[Frequentie werkdagen]]="","",_xlfn.CONCAT(Ruimtestaat[[#This Row],[Ruimte code]],"-",Ruimtestaat[[#This Row],[Frequentie werkdagen]]," ",Ruimtestaat[[#This Row],[Vloer code]]))</f>
        <v>2-3w T</v>
      </c>
      <c r="AI59" s="411" t="str">
        <f>_xlfn.IFNA(VLOOKUP($AH59,Programma!$F$3:$G$1101,2,0),"")</f>
        <v>2w</v>
      </c>
      <c r="AJ59" s="411" t="str">
        <f>_xlfn.IFNA(VLOOKUP($AH59,Programma!$F$3:$H$1101,3,0),"")</f>
        <v>1w</v>
      </c>
      <c r="AK59" s="411" t="str">
        <f>_xlfn.IFNA(VLOOKUP($AH59,Programma!$F$3:$I$1101,4,0),"")</f>
        <v>_</v>
      </c>
      <c r="AL59" s="411" t="str">
        <f>_xlfn.IFNA(VLOOKUP($AH59,Programma!$F$3:$J$1101,5,0),"")</f>
        <v>_</v>
      </c>
      <c r="AM59" s="411" t="str">
        <f>_xlfn.IFNA(VLOOKUP($AH59,Programma!$F$3:$K$1101,6,0),"")</f>
        <v>_</v>
      </c>
      <c r="AN59" s="411" t="str">
        <f>_xlfn.IFNA(VLOOKUP($AH59,Programma!$F$3:$L$1101,7,0),"")</f>
        <v>_</v>
      </c>
      <c r="AO59" s="411" t="str">
        <f>_xlfn.IFNA(VLOOKUP($AH59,Programma!$F$3:$M$1101,8,0),"")</f>
        <v>_</v>
      </c>
      <c r="AP59" s="411" t="str">
        <f>_xlfn.IFNA(VLOOKUP($AH59,Programma!$F$3:$N$1101,9,0),"")</f>
        <v>_</v>
      </c>
      <c r="AQ59" s="411" t="str">
        <f>_xlfn.IFNA(VLOOKUP($AH59,Programma!$F$3:$O$1101,10,0),"")</f>
        <v>3w</v>
      </c>
      <c r="AR59" s="411" t="str">
        <f>_xlfn.IFNA(VLOOKUP($AH59,Programma!$F$3:$P$1101,11,0),"")</f>
        <v>3w</v>
      </c>
      <c r="AS59" s="411" t="str">
        <f>_xlfn.IFNA(VLOOKUP($AH59,Programma!$F$3:$Q$1101,12,0),"")</f>
        <v>1w</v>
      </c>
      <c r="AT59" s="411" t="str">
        <f>_xlfn.IFNA(VLOOKUP($AH59,Programma!$F$3:$R$1101,13,0),"")</f>
        <v>1w</v>
      </c>
      <c r="AU59" s="411" t="str">
        <f>_xlfn.IFNA(VLOOKUP($AH59,Programma!$F$3:$S$1101,14,0),"")</f>
        <v>1m</v>
      </c>
      <c r="AV59" s="411" t="str">
        <f>_xlfn.IFNA(VLOOKUP($AH59,Programma!$F$3:$T$1101,15,0),"")</f>
        <v>2j</v>
      </c>
      <c r="AW59" s="411" t="str">
        <f>_xlfn.IFNA(VLOOKUP($AH59,Programma!$F$3:$U$1101,16,0),"")</f>
        <v>1j</v>
      </c>
      <c r="AX59" s="411" t="str">
        <f>_xlfn.IFNA(VLOOKUP($AH59,Programma!$F$3:$V$1101,17,0),"")</f>
        <v>_</v>
      </c>
      <c r="AY59" s="411" t="str">
        <f>_xlfn.IFNA(VLOOKUP($AH59,Programma!$F$3:$W$1101,18,0),"")</f>
        <v>_</v>
      </c>
      <c r="AZ59" s="411" t="str">
        <f>_xlfn.IFNA(VLOOKUP($AH59,Programma!$F$3:$X$1101,19,0),"")</f>
        <v>_</v>
      </c>
      <c r="BA59" s="411" t="str">
        <f>_xlfn.IFNA(VLOOKUP($AH59,Programma!$F$3:$Y$1101,20,0),"")</f>
        <v>_</v>
      </c>
      <c r="BB59" s="412"/>
      <c r="BC59" s="410" t="str">
        <f>IF(Ruimtestaat[[#This Row],[Frequentie weekend]]="","",_xlfn.CONCAT(Ruimtestaat[[#This Row],[Ruimte code]],"-",Ruimtestaat[[#This Row],[Frequentie weekend]]," ",Ruimtestaat[[#This Row],[Vloer code]]))</f>
        <v/>
      </c>
      <c r="BD59" s="411" t="str">
        <f>_xlfn.IFNA(VLOOKUP($BC59,Programma!$F$3:$G$1101,2,0),"")</f>
        <v/>
      </c>
      <c r="BE59" s="411" t="str">
        <f>_xlfn.IFNA(VLOOKUP($BC59,Programma!$F$3:$H$1101,3,0),"")</f>
        <v/>
      </c>
      <c r="BF59" s="411" t="str">
        <f>_xlfn.IFNA(VLOOKUP($BC59,Programma!$F$3:$I$1101,4,0),"")</f>
        <v/>
      </c>
      <c r="BG59" s="411" t="str">
        <f>_xlfn.IFNA(VLOOKUP($BC59,Programma!$F$3:$J$1101,5,0),"")</f>
        <v/>
      </c>
      <c r="BH59" s="411" t="str">
        <f>_xlfn.IFNA(VLOOKUP($BC59,Programma!$F$3:$K$1101,6,0),"")</f>
        <v/>
      </c>
      <c r="BI59" s="411" t="str">
        <f>_xlfn.IFNA(VLOOKUP($BC59,Programma!$F$3:$L$1101,7,0),"")</f>
        <v/>
      </c>
      <c r="BJ59" s="411" t="str">
        <f>_xlfn.IFNA(VLOOKUP($BC59,Programma!$F$3:$M$1101,8,0),"")</f>
        <v/>
      </c>
      <c r="BK59" s="411" t="str">
        <f>_xlfn.IFNA(VLOOKUP($BC59,Programma!$F$3:$N$1101,9,0),"")</f>
        <v/>
      </c>
      <c r="BL59" s="411" t="str">
        <f>_xlfn.IFNA(VLOOKUP($BC59,Programma!$F$3:$O$1101,10,0),"")</f>
        <v/>
      </c>
      <c r="BM59" s="411" t="str">
        <f>_xlfn.IFNA(VLOOKUP($BC59,Programma!$F$3:$P$1101,11,0),"")</f>
        <v/>
      </c>
      <c r="BN59" s="411" t="str">
        <f>_xlfn.IFNA(VLOOKUP($BC59,Programma!$F$3:$Q$1101,12,0),"")</f>
        <v/>
      </c>
      <c r="BO59" s="411" t="str">
        <f>_xlfn.IFNA(VLOOKUP($BC59,Programma!$F$3:$R$1101,13,0),"")</f>
        <v/>
      </c>
      <c r="BP59" s="411" t="str">
        <f>_xlfn.IFNA(VLOOKUP($BC59,Programma!$F$3:$S$1101,14,0),"")</f>
        <v/>
      </c>
      <c r="BQ59" s="411" t="str">
        <f>_xlfn.IFNA(VLOOKUP($BC59,Programma!$F$3:$T$1101,15,0),"")</f>
        <v/>
      </c>
      <c r="BR59" s="411" t="str">
        <f>_xlfn.IFNA(VLOOKUP($BC59,Programma!$F$3:$U$1101,16,0),"")</f>
        <v/>
      </c>
      <c r="BS59" s="411" t="str">
        <f>_xlfn.IFNA(VLOOKUP($BC59,Programma!$F$3:$V$1101,17,0),"")</f>
        <v/>
      </c>
      <c r="BT59" s="411" t="str">
        <f>_xlfn.IFNA(VLOOKUP($BC59,Programma!$F$3:$W$1101,18,0),"")</f>
        <v/>
      </c>
      <c r="BU59" s="411" t="str">
        <f>_xlfn.IFNA(VLOOKUP($BC59,Programma!$F$3:$X$1101,19,0),"")</f>
        <v/>
      </c>
      <c r="BV59" s="411" t="str">
        <f>_xlfn.IFNA(VLOOKUP($BC59,Programma!$F$3:$Y$1101,20,0),"")</f>
        <v/>
      </c>
    </row>
    <row r="60" spans="1:74" s="28" customFormat="1" ht="15" customHeight="1">
      <c r="A60" s="399">
        <v>1</v>
      </c>
      <c r="B60" s="400" t="str">
        <f>VLOOKUP(Ruimtestaat[[#This Row],[Code]],Locaties[[Code]:[Locatie]],2,FALSE)</f>
        <v>Jansstraat en Janskerk</v>
      </c>
      <c r="C60" s="400" t="str">
        <f>VLOOKUP(Ruimtestaat[[#This Row],[Code]],Locaties[[#All],[Code]:[Adres]],4,FALSE)</f>
        <v>Jansstraat 40</v>
      </c>
      <c r="D60" s="400" t="str">
        <f>VLOOKUP(Ruimtestaat[[#This Row],[Code]],Locaties[[#All],[Code]:[Postcode]],5,FALSE)</f>
        <v>2011 RX</v>
      </c>
      <c r="E60" s="400" t="str">
        <f>VLOOKUP(Ruimtestaat[[#This Row],[Code]],Locaties[#All],6,FALSE)</f>
        <v>Haarlem</v>
      </c>
      <c r="F60" s="399"/>
      <c r="G60" s="399" t="s">
        <v>1655</v>
      </c>
      <c r="H60" s="401">
        <v>18</v>
      </c>
      <c r="I60" s="402" t="s">
        <v>1646</v>
      </c>
      <c r="J60" s="336">
        <v>2</v>
      </c>
      <c r="K60" s="414" t="str">
        <f>VLOOKUP(Ruimtestaat[[#This Row],[Ruimte code]],Ruimtegroepen[[#All],[Code]:[Ruimte omschrijving]],2,FALSE)</f>
        <v>Kantoren</v>
      </c>
      <c r="L60" s="399" t="s">
        <v>99</v>
      </c>
      <c r="M60" s="402" t="s">
        <v>36</v>
      </c>
      <c r="N60" s="404">
        <v>16.899999999999999</v>
      </c>
      <c r="O60" s="399"/>
      <c r="P60" s="405" t="str">
        <f>VLOOKUP(Ruimtestaat[[#This Row],[Ruimte code]],Ruimtegroepen[],4,FALSE)</f>
        <v>Bu</v>
      </c>
      <c r="Q60" s="399">
        <v>51</v>
      </c>
      <c r="R60" s="399" t="s">
        <v>18</v>
      </c>
      <c r="S60" s="399">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60" s="399">
        <f>IF(S60&gt;0,VLOOKUP($J60,Ruimtegroepen[],3,FALSE)*VLOOKUP($L60,Vloersoorten[],3,FALSE)*VLOOKUP($R60,Frequenties[],3,FALSE)*VLOOKUP($A60,Locaties[],3,FALSE),0)</f>
        <v>0</v>
      </c>
      <c r="U60" s="399">
        <f>Ruimtestaat[[#This Row],[Uitvoeringen werkdagen]]*Ruimtestaat[[#This Row],[Oppervlak (netto)]]</f>
        <v>2585.6999999999998</v>
      </c>
      <c r="V60" s="406">
        <f>IF(T60&gt;0,Ruimtestaat[[#This Row],[Prest. (m2 /jaar) werkdagen]]/Ruimtestaat[[#This Row],[Norm (m2/uur) werkdagen]],0)</f>
        <v>0</v>
      </c>
      <c r="W60" s="407">
        <f>Ruimtestaat[[#This Row],[uren / jaar werkdagen]]*Tariefsopbouw!$E$35</f>
        <v>0</v>
      </c>
      <c r="X60" s="399"/>
      <c r="Y60" s="399">
        <f>IF(Ruimtestaat[[#This Row],[Frequentie weekend]]&gt;0,VALUE(LEFT(X60,1))*Q60,0)</f>
        <v>0</v>
      </c>
      <c r="Z60" s="408">
        <f>IF($Y60&gt;0,VLOOKUP($J60,Ruimtegroepen[],3,FALSE)*VLOOKUP($L60,Vloersoorten[],3,FALSE)*VLOOKUP($X60,Frequenties[],3,FALSE)*VLOOKUP(Ruimtestaat[[#This Row],[Code]],Locaties[],3,FALSE),0)</f>
        <v>0</v>
      </c>
      <c r="AA60" s="408">
        <f>Ruimtestaat[[#This Row],[Uitvoeringen weekend]]*Ruimtestaat[[#This Row],[Oppervlak (netto)]]</f>
        <v>0</v>
      </c>
      <c r="AB60" s="408">
        <f>IF(Z60&gt;0,Ruimtestaat[[#This Row],[Prest. (m2 /jaar) weekend]]/Ruimtestaat[[#This Row],[Norm (m2/uur) weekend]],0)</f>
        <v>0</v>
      </c>
      <c r="AC60" s="407">
        <f>Ruimtestaat[[#This Row],[uren / jaar weekend]]*Tariefsopbouw!$D$40</f>
        <v>0</v>
      </c>
      <c r="AD60" s="406">
        <f>Ruimtestaat[[#This Row],[Prest. (m2 /jaar) weekend]]+Ruimtestaat[[#This Row],[Prest. (m2 /jaar) werkdagen]]</f>
        <v>2585.6999999999998</v>
      </c>
      <c r="AE60" s="406">
        <f>Ruimtestaat[[#This Row],[uren / jaar weekend]]+Ruimtestaat[[#This Row],[uren / jaar werkdagen]]</f>
        <v>0</v>
      </c>
      <c r="AF60" s="409">
        <f>Ruimtestaat[[#This Row],[kosten / jaar weekend]]+Ruimtestaat[[#This Row],[kosten / jaar werkdagen]]</f>
        <v>0</v>
      </c>
      <c r="AG60" s="409"/>
      <c r="AH60" s="410" t="str">
        <f>IF(Ruimtestaat[[#This Row],[Frequentie werkdagen]]="","",_xlfn.CONCAT(Ruimtestaat[[#This Row],[Ruimte code]],"-",Ruimtestaat[[#This Row],[Frequentie werkdagen]]," ",Ruimtestaat[[#This Row],[Vloer code]]))</f>
        <v>2-3w T</v>
      </c>
      <c r="AI60" s="411" t="str">
        <f>_xlfn.IFNA(VLOOKUP($AH60,Programma!$F$3:$G$1101,2,0),"")</f>
        <v>2w</v>
      </c>
      <c r="AJ60" s="411" t="str">
        <f>_xlfn.IFNA(VLOOKUP($AH60,Programma!$F$3:$H$1101,3,0),"")</f>
        <v>1w</v>
      </c>
      <c r="AK60" s="411" t="str">
        <f>_xlfn.IFNA(VLOOKUP($AH60,Programma!$F$3:$I$1101,4,0),"")</f>
        <v>_</v>
      </c>
      <c r="AL60" s="411" t="str">
        <f>_xlfn.IFNA(VLOOKUP($AH60,Programma!$F$3:$J$1101,5,0),"")</f>
        <v>_</v>
      </c>
      <c r="AM60" s="411" t="str">
        <f>_xlfn.IFNA(VLOOKUP($AH60,Programma!$F$3:$K$1101,6,0),"")</f>
        <v>_</v>
      </c>
      <c r="AN60" s="411" t="str">
        <f>_xlfn.IFNA(VLOOKUP($AH60,Programma!$F$3:$L$1101,7,0),"")</f>
        <v>_</v>
      </c>
      <c r="AO60" s="411" t="str">
        <f>_xlfn.IFNA(VLOOKUP($AH60,Programma!$F$3:$M$1101,8,0),"")</f>
        <v>_</v>
      </c>
      <c r="AP60" s="411" t="str">
        <f>_xlfn.IFNA(VLOOKUP($AH60,Programma!$F$3:$N$1101,9,0),"")</f>
        <v>_</v>
      </c>
      <c r="AQ60" s="411" t="str">
        <f>_xlfn.IFNA(VLOOKUP($AH60,Programma!$F$3:$O$1101,10,0),"")</f>
        <v>3w</v>
      </c>
      <c r="AR60" s="411" t="str">
        <f>_xlfn.IFNA(VLOOKUP($AH60,Programma!$F$3:$P$1101,11,0),"")</f>
        <v>3w</v>
      </c>
      <c r="AS60" s="411" t="str">
        <f>_xlfn.IFNA(VLOOKUP($AH60,Programma!$F$3:$Q$1101,12,0),"")</f>
        <v>1w</v>
      </c>
      <c r="AT60" s="411" t="str">
        <f>_xlfn.IFNA(VLOOKUP($AH60,Programma!$F$3:$R$1101,13,0),"")</f>
        <v>1w</v>
      </c>
      <c r="AU60" s="411" t="str">
        <f>_xlfn.IFNA(VLOOKUP($AH60,Programma!$F$3:$S$1101,14,0),"")</f>
        <v>1m</v>
      </c>
      <c r="AV60" s="411" t="str">
        <f>_xlfn.IFNA(VLOOKUP($AH60,Programma!$F$3:$T$1101,15,0),"")</f>
        <v>2j</v>
      </c>
      <c r="AW60" s="411" t="str">
        <f>_xlfn.IFNA(VLOOKUP($AH60,Programma!$F$3:$U$1101,16,0),"")</f>
        <v>1j</v>
      </c>
      <c r="AX60" s="411" t="str">
        <f>_xlfn.IFNA(VLOOKUP($AH60,Programma!$F$3:$V$1101,17,0),"")</f>
        <v>_</v>
      </c>
      <c r="AY60" s="411" t="str">
        <f>_xlfn.IFNA(VLOOKUP($AH60,Programma!$F$3:$W$1101,18,0),"")</f>
        <v>_</v>
      </c>
      <c r="AZ60" s="411" t="str">
        <f>_xlfn.IFNA(VLOOKUP($AH60,Programma!$F$3:$X$1101,19,0),"")</f>
        <v>_</v>
      </c>
      <c r="BA60" s="411" t="str">
        <f>_xlfn.IFNA(VLOOKUP($AH60,Programma!$F$3:$Y$1101,20,0),"")</f>
        <v>_</v>
      </c>
      <c r="BB60" s="412"/>
      <c r="BC60" s="410" t="str">
        <f>IF(Ruimtestaat[[#This Row],[Frequentie weekend]]="","",_xlfn.CONCAT(Ruimtestaat[[#This Row],[Ruimte code]],"-",Ruimtestaat[[#This Row],[Frequentie weekend]]," ",Ruimtestaat[[#This Row],[Vloer code]]))</f>
        <v/>
      </c>
      <c r="BD60" s="411" t="str">
        <f>_xlfn.IFNA(VLOOKUP($BC60,Programma!$F$3:$G$1101,2,0),"")</f>
        <v/>
      </c>
      <c r="BE60" s="411" t="str">
        <f>_xlfn.IFNA(VLOOKUP($BC60,Programma!$F$3:$H$1101,3,0),"")</f>
        <v/>
      </c>
      <c r="BF60" s="411" t="str">
        <f>_xlfn.IFNA(VLOOKUP($BC60,Programma!$F$3:$I$1101,4,0),"")</f>
        <v/>
      </c>
      <c r="BG60" s="411" t="str">
        <f>_xlfn.IFNA(VLOOKUP($BC60,Programma!$F$3:$J$1101,5,0),"")</f>
        <v/>
      </c>
      <c r="BH60" s="411" t="str">
        <f>_xlfn.IFNA(VLOOKUP($BC60,Programma!$F$3:$K$1101,6,0),"")</f>
        <v/>
      </c>
      <c r="BI60" s="411" t="str">
        <f>_xlfn.IFNA(VLOOKUP($BC60,Programma!$F$3:$L$1101,7,0),"")</f>
        <v/>
      </c>
      <c r="BJ60" s="411" t="str">
        <f>_xlfn.IFNA(VLOOKUP($BC60,Programma!$F$3:$M$1101,8,0),"")</f>
        <v/>
      </c>
      <c r="BK60" s="411" t="str">
        <f>_xlfn.IFNA(VLOOKUP($BC60,Programma!$F$3:$N$1101,9,0),"")</f>
        <v/>
      </c>
      <c r="BL60" s="411" t="str">
        <f>_xlfn.IFNA(VLOOKUP($BC60,Programma!$F$3:$O$1101,10,0),"")</f>
        <v/>
      </c>
      <c r="BM60" s="411" t="str">
        <f>_xlfn.IFNA(VLOOKUP($BC60,Programma!$F$3:$P$1101,11,0),"")</f>
        <v/>
      </c>
      <c r="BN60" s="411" t="str">
        <f>_xlfn.IFNA(VLOOKUP($BC60,Programma!$F$3:$Q$1101,12,0),"")</f>
        <v/>
      </c>
      <c r="BO60" s="411" t="str">
        <f>_xlfn.IFNA(VLOOKUP($BC60,Programma!$F$3:$R$1101,13,0),"")</f>
        <v/>
      </c>
      <c r="BP60" s="411" t="str">
        <f>_xlfn.IFNA(VLOOKUP($BC60,Programma!$F$3:$S$1101,14,0),"")</f>
        <v/>
      </c>
      <c r="BQ60" s="411" t="str">
        <f>_xlfn.IFNA(VLOOKUP($BC60,Programma!$F$3:$T$1101,15,0),"")</f>
        <v/>
      </c>
      <c r="BR60" s="411" t="str">
        <f>_xlfn.IFNA(VLOOKUP($BC60,Programma!$F$3:$U$1101,16,0),"")</f>
        <v/>
      </c>
      <c r="BS60" s="411" t="str">
        <f>_xlfn.IFNA(VLOOKUP($BC60,Programma!$F$3:$V$1101,17,0),"")</f>
        <v/>
      </c>
      <c r="BT60" s="411" t="str">
        <f>_xlfn.IFNA(VLOOKUP($BC60,Programma!$F$3:$W$1101,18,0),"")</f>
        <v/>
      </c>
      <c r="BU60" s="411" t="str">
        <f>_xlfn.IFNA(VLOOKUP($BC60,Programma!$F$3:$X$1101,19,0),"")</f>
        <v/>
      </c>
      <c r="BV60" s="411" t="str">
        <f>_xlfn.IFNA(VLOOKUP($BC60,Programma!$F$3:$Y$1101,20,0),"")</f>
        <v/>
      </c>
    </row>
    <row r="61" spans="1:74" s="28" customFormat="1" ht="15" customHeight="1">
      <c r="A61" s="399">
        <v>1</v>
      </c>
      <c r="B61" s="400" t="str">
        <f>VLOOKUP(Ruimtestaat[[#This Row],[Code]],Locaties[[Code]:[Locatie]],2,FALSE)</f>
        <v>Jansstraat en Janskerk</v>
      </c>
      <c r="C61" s="400" t="str">
        <f>VLOOKUP(Ruimtestaat[[#This Row],[Code]],Locaties[[#All],[Code]:[Adres]],4,FALSE)</f>
        <v>Jansstraat 40</v>
      </c>
      <c r="D61" s="400" t="str">
        <f>VLOOKUP(Ruimtestaat[[#This Row],[Code]],Locaties[[#All],[Code]:[Postcode]],5,FALSE)</f>
        <v>2011 RX</v>
      </c>
      <c r="E61" s="400" t="str">
        <f>VLOOKUP(Ruimtestaat[[#This Row],[Code]],Locaties[#All],6,FALSE)</f>
        <v>Haarlem</v>
      </c>
      <c r="F61" s="399"/>
      <c r="G61" s="399" t="s">
        <v>1655</v>
      </c>
      <c r="H61" s="401">
        <v>19</v>
      </c>
      <c r="I61" s="402" t="s">
        <v>1646</v>
      </c>
      <c r="J61" s="336">
        <v>2</v>
      </c>
      <c r="K61" s="414" t="str">
        <f>VLOOKUP(Ruimtestaat[[#This Row],[Ruimte code]],Ruimtegroepen[[#All],[Code]:[Ruimte omschrijving]],2,FALSE)</f>
        <v>Kantoren</v>
      </c>
      <c r="L61" s="399" t="s">
        <v>99</v>
      </c>
      <c r="M61" s="402" t="s">
        <v>36</v>
      </c>
      <c r="N61" s="404">
        <v>16.899999999999999</v>
      </c>
      <c r="O61" s="413"/>
      <c r="P61" s="405" t="str">
        <f>VLOOKUP(Ruimtestaat[[#This Row],[Ruimte code]],Ruimtegroepen[],4,FALSE)</f>
        <v>Bu</v>
      </c>
      <c r="Q61" s="399">
        <v>51</v>
      </c>
      <c r="R61" s="399" t="s">
        <v>18</v>
      </c>
      <c r="S61" s="399">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61" s="399">
        <f>IF(S61&gt;0,VLOOKUP($J61,Ruimtegroepen[],3,FALSE)*VLOOKUP($L61,Vloersoorten[],3,FALSE)*VLOOKUP($R61,Frequenties[],3,FALSE)*VLOOKUP($A61,Locaties[],3,FALSE),0)</f>
        <v>0</v>
      </c>
      <c r="U61" s="399">
        <f>Ruimtestaat[[#This Row],[Uitvoeringen werkdagen]]*Ruimtestaat[[#This Row],[Oppervlak (netto)]]</f>
        <v>2585.6999999999998</v>
      </c>
      <c r="V61" s="406">
        <f>IF(T61&gt;0,Ruimtestaat[[#This Row],[Prest. (m2 /jaar) werkdagen]]/Ruimtestaat[[#This Row],[Norm (m2/uur) werkdagen]],0)</f>
        <v>0</v>
      </c>
      <c r="W61" s="407">
        <f>Ruimtestaat[[#This Row],[uren / jaar werkdagen]]*Tariefsopbouw!$E$35</f>
        <v>0</v>
      </c>
      <c r="X61" s="399"/>
      <c r="Y61" s="399">
        <f>IF(Ruimtestaat[[#This Row],[Frequentie weekend]]&gt;0,VALUE(LEFT(X61,1))*Q61,0)</f>
        <v>0</v>
      </c>
      <c r="Z61" s="408">
        <f>IF($Y61&gt;0,VLOOKUP($J61,Ruimtegroepen[],3,FALSE)*VLOOKUP($L61,Vloersoorten[],3,FALSE)*VLOOKUP($X61,Frequenties[],3,FALSE)*VLOOKUP(Ruimtestaat[[#This Row],[Code]],Locaties[],3,FALSE),0)</f>
        <v>0</v>
      </c>
      <c r="AA61" s="408">
        <f>Ruimtestaat[[#This Row],[Uitvoeringen weekend]]*Ruimtestaat[[#This Row],[Oppervlak (netto)]]</f>
        <v>0</v>
      </c>
      <c r="AB61" s="408">
        <f>IF(Z61&gt;0,Ruimtestaat[[#This Row],[Prest. (m2 /jaar) weekend]]/Ruimtestaat[[#This Row],[Norm (m2/uur) weekend]],0)</f>
        <v>0</v>
      </c>
      <c r="AC61" s="407">
        <f>Ruimtestaat[[#This Row],[uren / jaar weekend]]*Tariefsopbouw!$D$40</f>
        <v>0</v>
      </c>
      <c r="AD61" s="406">
        <f>Ruimtestaat[[#This Row],[Prest. (m2 /jaar) weekend]]+Ruimtestaat[[#This Row],[Prest. (m2 /jaar) werkdagen]]</f>
        <v>2585.6999999999998</v>
      </c>
      <c r="AE61" s="406">
        <f>Ruimtestaat[[#This Row],[uren / jaar weekend]]+Ruimtestaat[[#This Row],[uren / jaar werkdagen]]</f>
        <v>0</v>
      </c>
      <c r="AF61" s="409">
        <f>Ruimtestaat[[#This Row],[kosten / jaar weekend]]+Ruimtestaat[[#This Row],[kosten / jaar werkdagen]]</f>
        <v>0</v>
      </c>
      <c r="AG61" s="409"/>
      <c r="AH61" s="410" t="str">
        <f>IF(Ruimtestaat[[#This Row],[Frequentie werkdagen]]="","",_xlfn.CONCAT(Ruimtestaat[[#This Row],[Ruimte code]],"-",Ruimtestaat[[#This Row],[Frequentie werkdagen]]," ",Ruimtestaat[[#This Row],[Vloer code]]))</f>
        <v>2-3w T</v>
      </c>
      <c r="AI61" s="411" t="str">
        <f>_xlfn.IFNA(VLOOKUP($AH61,Programma!$F$3:$G$1101,2,0),"")</f>
        <v>2w</v>
      </c>
      <c r="AJ61" s="411" t="str">
        <f>_xlfn.IFNA(VLOOKUP($AH61,Programma!$F$3:$H$1101,3,0),"")</f>
        <v>1w</v>
      </c>
      <c r="AK61" s="411" t="str">
        <f>_xlfn.IFNA(VLOOKUP($AH61,Programma!$F$3:$I$1101,4,0),"")</f>
        <v>_</v>
      </c>
      <c r="AL61" s="411" t="str">
        <f>_xlfn.IFNA(VLOOKUP($AH61,Programma!$F$3:$J$1101,5,0),"")</f>
        <v>_</v>
      </c>
      <c r="AM61" s="411" t="str">
        <f>_xlfn.IFNA(VLOOKUP($AH61,Programma!$F$3:$K$1101,6,0),"")</f>
        <v>_</v>
      </c>
      <c r="AN61" s="411" t="str">
        <f>_xlfn.IFNA(VLOOKUP($AH61,Programma!$F$3:$L$1101,7,0),"")</f>
        <v>_</v>
      </c>
      <c r="AO61" s="411" t="str">
        <f>_xlfn.IFNA(VLOOKUP($AH61,Programma!$F$3:$M$1101,8,0),"")</f>
        <v>_</v>
      </c>
      <c r="AP61" s="411" t="str">
        <f>_xlfn.IFNA(VLOOKUP($AH61,Programma!$F$3:$N$1101,9,0),"")</f>
        <v>_</v>
      </c>
      <c r="AQ61" s="411" t="str">
        <f>_xlfn.IFNA(VLOOKUP($AH61,Programma!$F$3:$O$1101,10,0),"")</f>
        <v>3w</v>
      </c>
      <c r="AR61" s="411" t="str">
        <f>_xlfn.IFNA(VLOOKUP($AH61,Programma!$F$3:$P$1101,11,0),"")</f>
        <v>3w</v>
      </c>
      <c r="AS61" s="411" t="str">
        <f>_xlfn.IFNA(VLOOKUP($AH61,Programma!$F$3:$Q$1101,12,0),"")</f>
        <v>1w</v>
      </c>
      <c r="AT61" s="411" t="str">
        <f>_xlfn.IFNA(VLOOKUP($AH61,Programma!$F$3:$R$1101,13,0),"")</f>
        <v>1w</v>
      </c>
      <c r="AU61" s="411" t="str">
        <f>_xlfn.IFNA(VLOOKUP($AH61,Programma!$F$3:$S$1101,14,0),"")</f>
        <v>1m</v>
      </c>
      <c r="AV61" s="411" t="str">
        <f>_xlfn.IFNA(VLOOKUP($AH61,Programma!$F$3:$T$1101,15,0),"")</f>
        <v>2j</v>
      </c>
      <c r="AW61" s="411" t="str">
        <f>_xlfn.IFNA(VLOOKUP($AH61,Programma!$F$3:$U$1101,16,0),"")</f>
        <v>1j</v>
      </c>
      <c r="AX61" s="411" t="str">
        <f>_xlfn.IFNA(VLOOKUP($AH61,Programma!$F$3:$V$1101,17,0),"")</f>
        <v>_</v>
      </c>
      <c r="AY61" s="411" t="str">
        <f>_xlfn.IFNA(VLOOKUP($AH61,Programma!$F$3:$W$1101,18,0),"")</f>
        <v>_</v>
      </c>
      <c r="AZ61" s="411" t="str">
        <f>_xlfn.IFNA(VLOOKUP($AH61,Programma!$F$3:$X$1101,19,0),"")</f>
        <v>_</v>
      </c>
      <c r="BA61" s="411" t="str">
        <f>_xlfn.IFNA(VLOOKUP($AH61,Programma!$F$3:$Y$1101,20,0),"")</f>
        <v>_</v>
      </c>
      <c r="BB61" s="412"/>
      <c r="BC61" s="410" t="str">
        <f>IF(Ruimtestaat[[#This Row],[Frequentie weekend]]="","",_xlfn.CONCAT(Ruimtestaat[[#This Row],[Ruimte code]],"-",Ruimtestaat[[#This Row],[Frequentie weekend]]," ",Ruimtestaat[[#This Row],[Vloer code]]))</f>
        <v/>
      </c>
      <c r="BD61" s="411" t="str">
        <f>_xlfn.IFNA(VLOOKUP($BC61,Programma!$F$3:$G$1101,2,0),"")</f>
        <v/>
      </c>
      <c r="BE61" s="411" t="str">
        <f>_xlfn.IFNA(VLOOKUP($BC61,Programma!$F$3:$H$1101,3,0),"")</f>
        <v/>
      </c>
      <c r="BF61" s="411" t="str">
        <f>_xlfn.IFNA(VLOOKUP($BC61,Programma!$F$3:$I$1101,4,0),"")</f>
        <v/>
      </c>
      <c r="BG61" s="411" t="str">
        <f>_xlfn.IFNA(VLOOKUP($BC61,Programma!$F$3:$J$1101,5,0),"")</f>
        <v/>
      </c>
      <c r="BH61" s="411" t="str">
        <f>_xlfn.IFNA(VLOOKUP($BC61,Programma!$F$3:$K$1101,6,0),"")</f>
        <v/>
      </c>
      <c r="BI61" s="411" t="str">
        <f>_xlfn.IFNA(VLOOKUP($BC61,Programma!$F$3:$L$1101,7,0),"")</f>
        <v/>
      </c>
      <c r="BJ61" s="411" t="str">
        <f>_xlfn.IFNA(VLOOKUP($BC61,Programma!$F$3:$M$1101,8,0),"")</f>
        <v/>
      </c>
      <c r="BK61" s="411" t="str">
        <f>_xlfn.IFNA(VLOOKUP($BC61,Programma!$F$3:$N$1101,9,0),"")</f>
        <v/>
      </c>
      <c r="BL61" s="411" t="str">
        <f>_xlfn.IFNA(VLOOKUP($BC61,Programma!$F$3:$O$1101,10,0),"")</f>
        <v/>
      </c>
      <c r="BM61" s="411" t="str">
        <f>_xlfn.IFNA(VLOOKUP($BC61,Programma!$F$3:$P$1101,11,0),"")</f>
        <v/>
      </c>
      <c r="BN61" s="411" t="str">
        <f>_xlfn.IFNA(VLOOKUP($BC61,Programma!$F$3:$Q$1101,12,0),"")</f>
        <v/>
      </c>
      <c r="BO61" s="411" t="str">
        <f>_xlfn.IFNA(VLOOKUP($BC61,Programma!$F$3:$R$1101,13,0),"")</f>
        <v/>
      </c>
      <c r="BP61" s="411" t="str">
        <f>_xlfn.IFNA(VLOOKUP($BC61,Programma!$F$3:$S$1101,14,0),"")</f>
        <v/>
      </c>
      <c r="BQ61" s="411" t="str">
        <f>_xlfn.IFNA(VLOOKUP($BC61,Programma!$F$3:$T$1101,15,0),"")</f>
        <v/>
      </c>
      <c r="BR61" s="411" t="str">
        <f>_xlfn.IFNA(VLOOKUP($BC61,Programma!$F$3:$U$1101,16,0),"")</f>
        <v/>
      </c>
      <c r="BS61" s="411" t="str">
        <f>_xlfn.IFNA(VLOOKUP($BC61,Programma!$F$3:$V$1101,17,0),"")</f>
        <v/>
      </c>
      <c r="BT61" s="411" t="str">
        <f>_xlfn.IFNA(VLOOKUP($BC61,Programma!$F$3:$W$1101,18,0),"")</f>
        <v/>
      </c>
      <c r="BU61" s="411" t="str">
        <f>_xlfn.IFNA(VLOOKUP($BC61,Programma!$F$3:$X$1101,19,0),"")</f>
        <v/>
      </c>
      <c r="BV61" s="411" t="str">
        <f>_xlfn.IFNA(VLOOKUP($BC61,Programma!$F$3:$Y$1101,20,0),"")</f>
        <v/>
      </c>
    </row>
    <row r="62" spans="1:74" s="28" customFormat="1" ht="15" customHeight="1">
      <c r="A62" s="399">
        <v>1</v>
      </c>
      <c r="B62" s="400" t="str">
        <f>VLOOKUP(Ruimtestaat[[#This Row],[Code]],Locaties[[Code]:[Locatie]],2,FALSE)</f>
        <v>Jansstraat en Janskerk</v>
      </c>
      <c r="C62" s="400" t="str">
        <f>VLOOKUP(Ruimtestaat[[#This Row],[Code]],Locaties[[#All],[Code]:[Adres]],4,FALSE)</f>
        <v>Jansstraat 40</v>
      </c>
      <c r="D62" s="400" t="str">
        <f>VLOOKUP(Ruimtestaat[[#This Row],[Code]],Locaties[[#All],[Code]:[Postcode]],5,FALSE)</f>
        <v>2011 RX</v>
      </c>
      <c r="E62" s="400" t="str">
        <f>VLOOKUP(Ruimtestaat[[#This Row],[Code]],Locaties[#All],6,FALSE)</f>
        <v>Haarlem</v>
      </c>
      <c r="F62" s="399"/>
      <c r="G62" s="399" t="s">
        <v>1655</v>
      </c>
      <c r="H62" s="401">
        <v>20</v>
      </c>
      <c r="I62" s="402" t="s">
        <v>1646</v>
      </c>
      <c r="J62" s="336">
        <v>2</v>
      </c>
      <c r="K62" s="414" t="str">
        <f>VLOOKUP(Ruimtestaat[[#This Row],[Ruimte code]],Ruimtegroepen[[#All],[Code]:[Ruimte omschrijving]],2,FALSE)</f>
        <v>Kantoren</v>
      </c>
      <c r="L62" s="399" t="s">
        <v>99</v>
      </c>
      <c r="M62" s="402" t="s">
        <v>36</v>
      </c>
      <c r="N62" s="404">
        <v>16.899999999999999</v>
      </c>
      <c r="O62" s="413"/>
      <c r="P62" s="405" t="str">
        <f>VLOOKUP(Ruimtestaat[[#This Row],[Ruimte code]],Ruimtegroepen[],4,FALSE)</f>
        <v>Bu</v>
      </c>
      <c r="Q62" s="399">
        <v>51</v>
      </c>
      <c r="R62" s="399" t="s">
        <v>18</v>
      </c>
      <c r="S62" s="399">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62" s="399">
        <f>IF(S62&gt;0,VLOOKUP($J62,Ruimtegroepen[],3,FALSE)*VLOOKUP($L62,Vloersoorten[],3,FALSE)*VLOOKUP($R62,Frequenties[],3,FALSE)*VLOOKUP($A62,Locaties[],3,FALSE),0)</f>
        <v>0</v>
      </c>
      <c r="U62" s="399">
        <f>Ruimtestaat[[#This Row],[Uitvoeringen werkdagen]]*Ruimtestaat[[#This Row],[Oppervlak (netto)]]</f>
        <v>2585.6999999999998</v>
      </c>
      <c r="V62" s="406">
        <f>IF(T62&gt;0,Ruimtestaat[[#This Row],[Prest. (m2 /jaar) werkdagen]]/Ruimtestaat[[#This Row],[Norm (m2/uur) werkdagen]],0)</f>
        <v>0</v>
      </c>
      <c r="W62" s="407">
        <f>Ruimtestaat[[#This Row],[uren / jaar werkdagen]]*Tariefsopbouw!$E$35</f>
        <v>0</v>
      </c>
      <c r="X62" s="399"/>
      <c r="Y62" s="399">
        <f>IF(Ruimtestaat[[#This Row],[Frequentie weekend]]&gt;0,VALUE(LEFT(X62,1))*Q62,0)</f>
        <v>0</v>
      </c>
      <c r="Z62" s="408">
        <f>IF($Y62&gt;0,VLOOKUP($J62,Ruimtegroepen[],3,FALSE)*VLOOKUP($L62,Vloersoorten[],3,FALSE)*VLOOKUP($X62,Frequenties[],3,FALSE)*VLOOKUP(Ruimtestaat[[#This Row],[Code]],Locaties[],3,FALSE),0)</f>
        <v>0</v>
      </c>
      <c r="AA62" s="408">
        <f>Ruimtestaat[[#This Row],[Uitvoeringen weekend]]*Ruimtestaat[[#This Row],[Oppervlak (netto)]]</f>
        <v>0</v>
      </c>
      <c r="AB62" s="408">
        <f>IF(Z62&gt;0,Ruimtestaat[[#This Row],[Prest. (m2 /jaar) weekend]]/Ruimtestaat[[#This Row],[Norm (m2/uur) weekend]],0)</f>
        <v>0</v>
      </c>
      <c r="AC62" s="407">
        <f>Ruimtestaat[[#This Row],[uren / jaar weekend]]*Tariefsopbouw!$D$40</f>
        <v>0</v>
      </c>
      <c r="AD62" s="406">
        <f>Ruimtestaat[[#This Row],[Prest. (m2 /jaar) weekend]]+Ruimtestaat[[#This Row],[Prest. (m2 /jaar) werkdagen]]</f>
        <v>2585.6999999999998</v>
      </c>
      <c r="AE62" s="406">
        <f>Ruimtestaat[[#This Row],[uren / jaar weekend]]+Ruimtestaat[[#This Row],[uren / jaar werkdagen]]</f>
        <v>0</v>
      </c>
      <c r="AF62" s="409">
        <f>Ruimtestaat[[#This Row],[kosten / jaar weekend]]+Ruimtestaat[[#This Row],[kosten / jaar werkdagen]]</f>
        <v>0</v>
      </c>
      <c r="AG62" s="409"/>
      <c r="AH62" s="410" t="str">
        <f>IF(Ruimtestaat[[#This Row],[Frequentie werkdagen]]="","",_xlfn.CONCAT(Ruimtestaat[[#This Row],[Ruimte code]],"-",Ruimtestaat[[#This Row],[Frequentie werkdagen]]," ",Ruimtestaat[[#This Row],[Vloer code]]))</f>
        <v>2-3w T</v>
      </c>
      <c r="AI62" s="411" t="str">
        <f>_xlfn.IFNA(VLOOKUP($AH62,Programma!$F$3:$G$1101,2,0),"")</f>
        <v>2w</v>
      </c>
      <c r="AJ62" s="411" t="str">
        <f>_xlfn.IFNA(VLOOKUP($AH62,Programma!$F$3:$H$1101,3,0),"")</f>
        <v>1w</v>
      </c>
      <c r="AK62" s="411" t="str">
        <f>_xlfn.IFNA(VLOOKUP($AH62,Programma!$F$3:$I$1101,4,0),"")</f>
        <v>_</v>
      </c>
      <c r="AL62" s="411" t="str">
        <f>_xlfn.IFNA(VLOOKUP($AH62,Programma!$F$3:$J$1101,5,0),"")</f>
        <v>_</v>
      </c>
      <c r="AM62" s="411" t="str">
        <f>_xlfn.IFNA(VLOOKUP($AH62,Programma!$F$3:$K$1101,6,0),"")</f>
        <v>_</v>
      </c>
      <c r="AN62" s="411" t="str">
        <f>_xlfn.IFNA(VLOOKUP($AH62,Programma!$F$3:$L$1101,7,0),"")</f>
        <v>_</v>
      </c>
      <c r="AO62" s="411" t="str">
        <f>_xlfn.IFNA(VLOOKUP($AH62,Programma!$F$3:$M$1101,8,0),"")</f>
        <v>_</v>
      </c>
      <c r="AP62" s="411" t="str">
        <f>_xlfn.IFNA(VLOOKUP($AH62,Programma!$F$3:$N$1101,9,0),"")</f>
        <v>_</v>
      </c>
      <c r="AQ62" s="411" t="str">
        <f>_xlfn.IFNA(VLOOKUP($AH62,Programma!$F$3:$O$1101,10,0),"")</f>
        <v>3w</v>
      </c>
      <c r="AR62" s="411" t="str">
        <f>_xlfn.IFNA(VLOOKUP($AH62,Programma!$F$3:$P$1101,11,0),"")</f>
        <v>3w</v>
      </c>
      <c r="AS62" s="411" t="str">
        <f>_xlfn.IFNA(VLOOKUP($AH62,Programma!$F$3:$Q$1101,12,0),"")</f>
        <v>1w</v>
      </c>
      <c r="AT62" s="411" t="str">
        <f>_xlfn.IFNA(VLOOKUP($AH62,Programma!$F$3:$R$1101,13,0),"")</f>
        <v>1w</v>
      </c>
      <c r="AU62" s="411" t="str">
        <f>_xlfn.IFNA(VLOOKUP($AH62,Programma!$F$3:$S$1101,14,0),"")</f>
        <v>1m</v>
      </c>
      <c r="AV62" s="411" t="str">
        <f>_xlfn.IFNA(VLOOKUP($AH62,Programma!$F$3:$T$1101,15,0),"")</f>
        <v>2j</v>
      </c>
      <c r="AW62" s="411" t="str">
        <f>_xlfn.IFNA(VLOOKUP($AH62,Programma!$F$3:$U$1101,16,0),"")</f>
        <v>1j</v>
      </c>
      <c r="AX62" s="411" t="str">
        <f>_xlfn.IFNA(VLOOKUP($AH62,Programma!$F$3:$V$1101,17,0),"")</f>
        <v>_</v>
      </c>
      <c r="AY62" s="411" t="str">
        <f>_xlfn.IFNA(VLOOKUP($AH62,Programma!$F$3:$W$1101,18,0),"")</f>
        <v>_</v>
      </c>
      <c r="AZ62" s="411" t="str">
        <f>_xlfn.IFNA(VLOOKUP($AH62,Programma!$F$3:$X$1101,19,0),"")</f>
        <v>_</v>
      </c>
      <c r="BA62" s="411" t="str">
        <f>_xlfn.IFNA(VLOOKUP($AH62,Programma!$F$3:$Y$1101,20,0),"")</f>
        <v>_</v>
      </c>
      <c r="BB62" s="412"/>
      <c r="BC62" s="410" t="str">
        <f>IF(Ruimtestaat[[#This Row],[Frequentie weekend]]="","",_xlfn.CONCAT(Ruimtestaat[[#This Row],[Ruimte code]],"-",Ruimtestaat[[#This Row],[Frequentie weekend]]," ",Ruimtestaat[[#This Row],[Vloer code]]))</f>
        <v/>
      </c>
      <c r="BD62" s="411" t="str">
        <f>_xlfn.IFNA(VLOOKUP($BC62,Programma!$F$3:$G$1101,2,0),"")</f>
        <v/>
      </c>
      <c r="BE62" s="411" t="str">
        <f>_xlfn.IFNA(VLOOKUP($BC62,Programma!$F$3:$H$1101,3,0),"")</f>
        <v/>
      </c>
      <c r="BF62" s="411" t="str">
        <f>_xlfn.IFNA(VLOOKUP($BC62,Programma!$F$3:$I$1101,4,0),"")</f>
        <v/>
      </c>
      <c r="BG62" s="411" t="str">
        <f>_xlfn.IFNA(VLOOKUP($BC62,Programma!$F$3:$J$1101,5,0),"")</f>
        <v/>
      </c>
      <c r="BH62" s="411" t="str">
        <f>_xlfn.IFNA(VLOOKUP($BC62,Programma!$F$3:$K$1101,6,0),"")</f>
        <v/>
      </c>
      <c r="BI62" s="411" t="str">
        <f>_xlfn.IFNA(VLOOKUP($BC62,Programma!$F$3:$L$1101,7,0),"")</f>
        <v/>
      </c>
      <c r="BJ62" s="411" t="str">
        <f>_xlfn.IFNA(VLOOKUP($BC62,Programma!$F$3:$M$1101,8,0),"")</f>
        <v/>
      </c>
      <c r="BK62" s="411" t="str">
        <f>_xlfn.IFNA(VLOOKUP($BC62,Programma!$F$3:$N$1101,9,0),"")</f>
        <v/>
      </c>
      <c r="BL62" s="411" t="str">
        <f>_xlfn.IFNA(VLOOKUP($BC62,Programma!$F$3:$O$1101,10,0),"")</f>
        <v/>
      </c>
      <c r="BM62" s="411" t="str">
        <f>_xlfn.IFNA(VLOOKUP($BC62,Programma!$F$3:$P$1101,11,0),"")</f>
        <v/>
      </c>
      <c r="BN62" s="411" t="str">
        <f>_xlfn.IFNA(VLOOKUP($BC62,Programma!$F$3:$Q$1101,12,0),"")</f>
        <v/>
      </c>
      <c r="BO62" s="411" t="str">
        <f>_xlfn.IFNA(VLOOKUP($BC62,Programma!$F$3:$R$1101,13,0),"")</f>
        <v/>
      </c>
      <c r="BP62" s="411" t="str">
        <f>_xlfn.IFNA(VLOOKUP($BC62,Programma!$F$3:$S$1101,14,0),"")</f>
        <v/>
      </c>
      <c r="BQ62" s="411" t="str">
        <f>_xlfn.IFNA(VLOOKUP($BC62,Programma!$F$3:$T$1101,15,0),"")</f>
        <v/>
      </c>
      <c r="BR62" s="411" t="str">
        <f>_xlfn.IFNA(VLOOKUP($BC62,Programma!$F$3:$U$1101,16,0),"")</f>
        <v/>
      </c>
      <c r="BS62" s="411" t="str">
        <f>_xlfn.IFNA(VLOOKUP($BC62,Programma!$F$3:$V$1101,17,0),"")</f>
        <v/>
      </c>
      <c r="BT62" s="411" t="str">
        <f>_xlfn.IFNA(VLOOKUP($BC62,Programma!$F$3:$W$1101,18,0),"")</f>
        <v/>
      </c>
      <c r="BU62" s="411" t="str">
        <f>_xlfn.IFNA(VLOOKUP($BC62,Programma!$F$3:$X$1101,19,0),"")</f>
        <v/>
      </c>
      <c r="BV62" s="411" t="str">
        <f>_xlfn.IFNA(VLOOKUP($BC62,Programma!$F$3:$Y$1101,20,0),"")</f>
        <v/>
      </c>
    </row>
    <row r="63" spans="1:74" s="28" customFormat="1" ht="15" customHeight="1">
      <c r="A63" s="399">
        <v>1</v>
      </c>
      <c r="B63" s="400" t="str">
        <f>VLOOKUP(Ruimtestaat[[#This Row],[Code]],Locaties[[Code]:[Locatie]],2,FALSE)</f>
        <v>Jansstraat en Janskerk</v>
      </c>
      <c r="C63" s="400" t="str">
        <f>VLOOKUP(Ruimtestaat[[#This Row],[Code]],Locaties[[#All],[Code]:[Adres]],4,FALSE)</f>
        <v>Jansstraat 40</v>
      </c>
      <c r="D63" s="400" t="str">
        <f>VLOOKUP(Ruimtestaat[[#This Row],[Code]],Locaties[[#All],[Code]:[Postcode]],5,FALSE)</f>
        <v>2011 RX</v>
      </c>
      <c r="E63" s="400" t="str">
        <f>VLOOKUP(Ruimtestaat[[#This Row],[Code]],Locaties[#All],6,FALSE)</f>
        <v>Haarlem</v>
      </c>
      <c r="F63" s="399"/>
      <c r="G63" s="399" t="s">
        <v>1655</v>
      </c>
      <c r="H63" s="401">
        <v>21</v>
      </c>
      <c r="I63" s="402" t="s">
        <v>1646</v>
      </c>
      <c r="J63" s="336">
        <v>2</v>
      </c>
      <c r="K63" s="414" t="str">
        <f>VLOOKUP(Ruimtestaat[[#This Row],[Ruimte code]],Ruimtegroepen[[#All],[Code]:[Ruimte omschrijving]],2,FALSE)</f>
        <v>Kantoren</v>
      </c>
      <c r="L63" s="399" t="s">
        <v>99</v>
      </c>
      <c r="M63" s="402" t="s">
        <v>36</v>
      </c>
      <c r="N63" s="404">
        <v>16.899999999999999</v>
      </c>
      <c r="O63" s="399"/>
      <c r="P63" s="405" t="str">
        <f>VLOOKUP(Ruimtestaat[[#This Row],[Ruimte code]],Ruimtegroepen[],4,FALSE)</f>
        <v>Bu</v>
      </c>
      <c r="Q63" s="399">
        <v>51</v>
      </c>
      <c r="R63" s="399" t="s">
        <v>18</v>
      </c>
      <c r="S63" s="399">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63" s="399">
        <f>IF(S63&gt;0,VLOOKUP($J63,Ruimtegroepen[],3,FALSE)*VLOOKUP($L63,Vloersoorten[],3,FALSE)*VLOOKUP($R63,Frequenties[],3,FALSE)*VLOOKUP($A63,Locaties[],3,FALSE),0)</f>
        <v>0</v>
      </c>
      <c r="U63" s="399">
        <f>Ruimtestaat[[#This Row],[Uitvoeringen werkdagen]]*Ruimtestaat[[#This Row],[Oppervlak (netto)]]</f>
        <v>2585.6999999999998</v>
      </c>
      <c r="V63" s="406">
        <f>IF(T63&gt;0,Ruimtestaat[[#This Row],[Prest. (m2 /jaar) werkdagen]]/Ruimtestaat[[#This Row],[Norm (m2/uur) werkdagen]],0)</f>
        <v>0</v>
      </c>
      <c r="W63" s="407">
        <f>Ruimtestaat[[#This Row],[uren / jaar werkdagen]]*Tariefsopbouw!$E$35</f>
        <v>0</v>
      </c>
      <c r="X63" s="399"/>
      <c r="Y63" s="399">
        <f>IF(Ruimtestaat[[#This Row],[Frequentie weekend]]&gt;0,VALUE(LEFT(X63,1))*Q63,0)</f>
        <v>0</v>
      </c>
      <c r="Z63" s="408">
        <f>IF($Y63&gt;0,VLOOKUP($J63,Ruimtegroepen[],3,FALSE)*VLOOKUP($L63,Vloersoorten[],3,FALSE)*VLOOKUP($X63,Frequenties[],3,FALSE)*VLOOKUP(Ruimtestaat[[#This Row],[Code]],Locaties[],3,FALSE),0)</f>
        <v>0</v>
      </c>
      <c r="AA63" s="408">
        <f>Ruimtestaat[[#This Row],[Uitvoeringen weekend]]*Ruimtestaat[[#This Row],[Oppervlak (netto)]]</f>
        <v>0</v>
      </c>
      <c r="AB63" s="408">
        <f>IF(Z63&gt;0,Ruimtestaat[[#This Row],[Prest. (m2 /jaar) weekend]]/Ruimtestaat[[#This Row],[Norm (m2/uur) weekend]],0)</f>
        <v>0</v>
      </c>
      <c r="AC63" s="407">
        <f>Ruimtestaat[[#This Row],[uren / jaar weekend]]*Tariefsopbouw!$D$40</f>
        <v>0</v>
      </c>
      <c r="AD63" s="406">
        <f>Ruimtestaat[[#This Row],[Prest. (m2 /jaar) weekend]]+Ruimtestaat[[#This Row],[Prest. (m2 /jaar) werkdagen]]</f>
        <v>2585.6999999999998</v>
      </c>
      <c r="AE63" s="406">
        <f>Ruimtestaat[[#This Row],[uren / jaar weekend]]+Ruimtestaat[[#This Row],[uren / jaar werkdagen]]</f>
        <v>0</v>
      </c>
      <c r="AF63" s="409">
        <f>Ruimtestaat[[#This Row],[kosten / jaar weekend]]+Ruimtestaat[[#This Row],[kosten / jaar werkdagen]]</f>
        <v>0</v>
      </c>
      <c r="AG63" s="409"/>
      <c r="AH63" s="410" t="str">
        <f>IF(Ruimtestaat[[#This Row],[Frequentie werkdagen]]="","",_xlfn.CONCAT(Ruimtestaat[[#This Row],[Ruimte code]],"-",Ruimtestaat[[#This Row],[Frequentie werkdagen]]," ",Ruimtestaat[[#This Row],[Vloer code]]))</f>
        <v>2-3w T</v>
      </c>
      <c r="AI63" s="411" t="str">
        <f>_xlfn.IFNA(VLOOKUP($AH63,Programma!$F$3:$G$1101,2,0),"")</f>
        <v>2w</v>
      </c>
      <c r="AJ63" s="411" t="str">
        <f>_xlfn.IFNA(VLOOKUP($AH63,Programma!$F$3:$H$1101,3,0),"")</f>
        <v>1w</v>
      </c>
      <c r="AK63" s="411" t="str">
        <f>_xlfn.IFNA(VLOOKUP($AH63,Programma!$F$3:$I$1101,4,0),"")</f>
        <v>_</v>
      </c>
      <c r="AL63" s="411" t="str">
        <f>_xlfn.IFNA(VLOOKUP($AH63,Programma!$F$3:$J$1101,5,0),"")</f>
        <v>_</v>
      </c>
      <c r="AM63" s="411" t="str">
        <f>_xlfn.IFNA(VLOOKUP($AH63,Programma!$F$3:$K$1101,6,0),"")</f>
        <v>_</v>
      </c>
      <c r="AN63" s="411" t="str">
        <f>_xlfn.IFNA(VLOOKUP($AH63,Programma!$F$3:$L$1101,7,0),"")</f>
        <v>_</v>
      </c>
      <c r="AO63" s="411" t="str">
        <f>_xlfn.IFNA(VLOOKUP($AH63,Programma!$F$3:$M$1101,8,0),"")</f>
        <v>_</v>
      </c>
      <c r="AP63" s="411" t="str">
        <f>_xlfn.IFNA(VLOOKUP($AH63,Programma!$F$3:$N$1101,9,0),"")</f>
        <v>_</v>
      </c>
      <c r="AQ63" s="411" t="str">
        <f>_xlfn.IFNA(VLOOKUP($AH63,Programma!$F$3:$O$1101,10,0),"")</f>
        <v>3w</v>
      </c>
      <c r="AR63" s="411" t="str">
        <f>_xlfn.IFNA(VLOOKUP($AH63,Programma!$F$3:$P$1101,11,0),"")</f>
        <v>3w</v>
      </c>
      <c r="AS63" s="411" t="str">
        <f>_xlfn.IFNA(VLOOKUP($AH63,Programma!$F$3:$Q$1101,12,0),"")</f>
        <v>1w</v>
      </c>
      <c r="AT63" s="411" t="str">
        <f>_xlfn.IFNA(VLOOKUP($AH63,Programma!$F$3:$R$1101,13,0),"")</f>
        <v>1w</v>
      </c>
      <c r="AU63" s="411" t="str">
        <f>_xlfn.IFNA(VLOOKUP($AH63,Programma!$F$3:$S$1101,14,0),"")</f>
        <v>1m</v>
      </c>
      <c r="AV63" s="411" t="str">
        <f>_xlfn.IFNA(VLOOKUP($AH63,Programma!$F$3:$T$1101,15,0),"")</f>
        <v>2j</v>
      </c>
      <c r="AW63" s="411" t="str">
        <f>_xlfn.IFNA(VLOOKUP($AH63,Programma!$F$3:$U$1101,16,0),"")</f>
        <v>1j</v>
      </c>
      <c r="AX63" s="411" t="str">
        <f>_xlfn.IFNA(VLOOKUP($AH63,Programma!$F$3:$V$1101,17,0),"")</f>
        <v>_</v>
      </c>
      <c r="AY63" s="411" t="str">
        <f>_xlfn.IFNA(VLOOKUP($AH63,Programma!$F$3:$W$1101,18,0),"")</f>
        <v>_</v>
      </c>
      <c r="AZ63" s="411" t="str">
        <f>_xlfn.IFNA(VLOOKUP($AH63,Programma!$F$3:$X$1101,19,0),"")</f>
        <v>_</v>
      </c>
      <c r="BA63" s="411" t="str">
        <f>_xlfn.IFNA(VLOOKUP($AH63,Programma!$F$3:$Y$1101,20,0),"")</f>
        <v>_</v>
      </c>
      <c r="BB63" s="412"/>
      <c r="BC63" s="410" t="str">
        <f>IF(Ruimtestaat[[#This Row],[Frequentie weekend]]="","",_xlfn.CONCAT(Ruimtestaat[[#This Row],[Ruimte code]],"-",Ruimtestaat[[#This Row],[Frequentie weekend]]," ",Ruimtestaat[[#This Row],[Vloer code]]))</f>
        <v/>
      </c>
      <c r="BD63" s="411" t="str">
        <f>_xlfn.IFNA(VLOOKUP($BC63,Programma!$F$3:$G$1101,2,0),"")</f>
        <v/>
      </c>
      <c r="BE63" s="411" t="str">
        <f>_xlfn.IFNA(VLOOKUP($BC63,Programma!$F$3:$H$1101,3,0),"")</f>
        <v/>
      </c>
      <c r="BF63" s="411" t="str">
        <f>_xlfn.IFNA(VLOOKUP($BC63,Programma!$F$3:$I$1101,4,0),"")</f>
        <v/>
      </c>
      <c r="BG63" s="411" t="str">
        <f>_xlfn.IFNA(VLOOKUP($BC63,Programma!$F$3:$J$1101,5,0),"")</f>
        <v/>
      </c>
      <c r="BH63" s="411" t="str">
        <f>_xlfn.IFNA(VLOOKUP($BC63,Programma!$F$3:$K$1101,6,0),"")</f>
        <v/>
      </c>
      <c r="BI63" s="411" t="str">
        <f>_xlfn.IFNA(VLOOKUP($BC63,Programma!$F$3:$L$1101,7,0),"")</f>
        <v/>
      </c>
      <c r="BJ63" s="411" t="str">
        <f>_xlfn.IFNA(VLOOKUP($BC63,Programma!$F$3:$M$1101,8,0),"")</f>
        <v/>
      </c>
      <c r="BK63" s="411" t="str">
        <f>_xlfn.IFNA(VLOOKUP($BC63,Programma!$F$3:$N$1101,9,0),"")</f>
        <v/>
      </c>
      <c r="BL63" s="411" t="str">
        <f>_xlfn.IFNA(VLOOKUP($BC63,Programma!$F$3:$O$1101,10,0),"")</f>
        <v/>
      </c>
      <c r="BM63" s="411" t="str">
        <f>_xlfn.IFNA(VLOOKUP($BC63,Programma!$F$3:$P$1101,11,0),"")</f>
        <v/>
      </c>
      <c r="BN63" s="411" t="str">
        <f>_xlfn.IFNA(VLOOKUP($BC63,Programma!$F$3:$Q$1101,12,0),"")</f>
        <v/>
      </c>
      <c r="BO63" s="411" t="str">
        <f>_xlfn.IFNA(VLOOKUP($BC63,Programma!$F$3:$R$1101,13,0),"")</f>
        <v/>
      </c>
      <c r="BP63" s="411" t="str">
        <f>_xlfn.IFNA(VLOOKUP($BC63,Programma!$F$3:$S$1101,14,0),"")</f>
        <v/>
      </c>
      <c r="BQ63" s="411" t="str">
        <f>_xlfn.IFNA(VLOOKUP($BC63,Programma!$F$3:$T$1101,15,0),"")</f>
        <v/>
      </c>
      <c r="BR63" s="411" t="str">
        <f>_xlfn.IFNA(VLOOKUP($BC63,Programma!$F$3:$U$1101,16,0),"")</f>
        <v/>
      </c>
      <c r="BS63" s="411" t="str">
        <f>_xlfn.IFNA(VLOOKUP($BC63,Programma!$F$3:$V$1101,17,0),"")</f>
        <v/>
      </c>
      <c r="BT63" s="411" t="str">
        <f>_xlfn.IFNA(VLOOKUP($BC63,Programma!$F$3:$W$1101,18,0),"")</f>
        <v/>
      </c>
      <c r="BU63" s="411" t="str">
        <f>_xlfn.IFNA(VLOOKUP($BC63,Programma!$F$3:$X$1101,19,0),"")</f>
        <v/>
      </c>
      <c r="BV63" s="411" t="str">
        <f>_xlfn.IFNA(VLOOKUP($BC63,Programma!$F$3:$Y$1101,20,0),"")</f>
        <v/>
      </c>
    </row>
    <row r="64" spans="1:74" s="28" customFormat="1" ht="15" customHeight="1">
      <c r="A64" s="399">
        <v>1</v>
      </c>
      <c r="B64" s="400" t="str">
        <f>VLOOKUP(Ruimtestaat[[#This Row],[Code]],Locaties[[Code]:[Locatie]],2,FALSE)</f>
        <v>Jansstraat en Janskerk</v>
      </c>
      <c r="C64" s="400" t="str">
        <f>VLOOKUP(Ruimtestaat[[#This Row],[Code]],Locaties[[#All],[Code]:[Adres]],4,FALSE)</f>
        <v>Jansstraat 40</v>
      </c>
      <c r="D64" s="400" t="str">
        <f>VLOOKUP(Ruimtestaat[[#This Row],[Code]],Locaties[[#All],[Code]:[Postcode]],5,FALSE)</f>
        <v>2011 RX</v>
      </c>
      <c r="E64" s="400" t="str">
        <f>VLOOKUP(Ruimtestaat[[#This Row],[Code]],Locaties[#All],6,FALSE)</f>
        <v>Haarlem</v>
      </c>
      <c r="F64" s="399"/>
      <c r="G64" s="399" t="s">
        <v>1655</v>
      </c>
      <c r="H64" s="401">
        <v>22</v>
      </c>
      <c r="I64" s="402" t="s">
        <v>1651</v>
      </c>
      <c r="J64" s="336">
        <v>4</v>
      </c>
      <c r="K64" s="414" t="str">
        <f>VLOOKUP(Ruimtestaat[[#This Row],[Ruimte code]],Ruimtegroepen[[#All],[Code]:[Ruimte omschrijving]],2,FALSE)</f>
        <v>Vergader/spreekkamers</v>
      </c>
      <c r="L64" s="399" t="s">
        <v>99</v>
      </c>
      <c r="M64" s="402" t="s">
        <v>36</v>
      </c>
      <c r="N64" s="404">
        <v>36.1</v>
      </c>
      <c r="O64" s="413"/>
      <c r="P64" s="405" t="str">
        <f>VLOOKUP(Ruimtestaat[[#This Row],[Ruimte code]],Ruimtegroepen[],4,FALSE)</f>
        <v>Bu</v>
      </c>
      <c r="Q64" s="399">
        <v>51</v>
      </c>
      <c r="R64" s="399" t="s">
        <v>18</v>
      </c>
      <c r="S64" s="399">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64" s="399">
        <f>IF(S64&gt;0,VLOOKUP($J64,Ruimtegroepen[],3,FALSE)*VLOOKUP($L64,Vloersoorten[],3,FALSE)*VLOOKUP($R64,Frequenties[],3,FALSE)*VLOOKUP($A64,Locaties[],3,FALSE),0)</f>
        <v>0</v>
      </c>
      <c r="U64" s="399">
        <f>Ruimtestaat[[#This Row],[Uitvoeringen werkdagen]]*Ruimtestaat[[#This Row],[Oppervlak (netto)]]</f>
        <v>5523.3</v>
      </c>
      <c r="V64" s="406">
        <f>IF(T64&gt;0,Ruimtestaat[[#This Row],[Prest. (m2 /jaar) werkdagen]]/Ruimtestaat[[#This Row],[Norm (m2/uur) werkdagen]],0)</f>
        <v>0</v>
      </c>
      <c r="W64" s="407">
        <f>Ruimtestaat[[#This Row],[uren / jaar werkdagen]]*Tariefsopbouw!$E$35</f>
        <v>0</v>
      </c>
      <c r="X64" s="399"/>
      <c r="Y64" s="399">
        <f>IF(Ruimtestaat[[#This Row],[Frequentie weekend]]&gt;0,VALUE(LEFT(X64,1))*Q64,0)</f>
        <v>0</v>
      </c>
      <c r="Z64" s="408">
        <f>IF($Y64&gt;0,VLOOKUP($J64,Ruimtegroepen[],3,FALSE)*VLOOKUP($L64,Vloersoorten[],3,FALSE)*VLOOKUP($X64,Frequenties[],3,FALSE)*VLOOKUP(Ruimtestaat[[#This Row],[Code]],Locaties[],3,FALSE),0)</f>
        <v>0</v>
      </c>
      <c r="AA64" s="408">
        <f>Ruimtestaat[[#This Row],[Uitvoeringen weekend]]*Ruimtestaat[[#This Row],[Oppervlak (netto)]]</f>
        <v>0</v>
      </c>
      <c r="AB64" s="408">
        <f>IF(Z64&gt;0,Ruimtestaat[[#This Row],[Prest. (m2 /jaar) weekend]]/Ruimtestaat[[#This Row],[Norm (m2/uur) weekend]],0)</f>
        <v>0</v>
      </c>
      <c r="AC64" s="407">
        <f>Ruimtestaat[[#This Row],[uren / jaar weekend]]*Tariefsopbouw!$D$40</f>
        <v>0</v>
      </c>
      <c r="AD64" s="406">
        <f>Ruimtestaat[[#This Row],[Prest. (m2 /jaar) weekend]]+Ruimtestaat[[#This Row],[Prest. (m2 /jaar) werkdagen]]</f>
        <v>5523.3</v>
      </c>
      <c r="AE64" s="406">
        <f>Ruimtestaat[[#This Row],[uren / jaar weekend]]+Ruimtestaat[[#This Row],[uren / jaar werkdagen]]</f>
        <v>0</v>
      </c>
      <c r="AF64" s="409">
        <f>Ruimtestaat[[#This Row],[kosten / jaar weekend]]+Ruimtestaat[[#This Row],[kosten / jaar werkdagen]]</f>
        <v>0</v>
      </c>
      <c r="AG64" s="409"/>
      <c r="AH64" s="410" t="str">
        <f>IF(Ruimtestaat[[#This Row],[Frequentie werkdagen]]="","",_xlfn.CONCAT(Ruimtestaat[[#This Row],[Ruimte code]],"-",Ruimtestaat[[#This Row],[Frequentie werkdagen]]," ",Ruimtestaat[[#This Row],[Vloer code]]))</f>
        <v>4-3w T</v>
      </c>
      <c r="AI64" s="411" t="str">
        <f>_xlfn.IFNA(VLOOKUP($AH64,Programma!$F$3:$G$1101,2,0),"")</f>
        <v>2w</v>
      </c>
      <c r="AJ64" s="411" t="str">
        <f>_xlfn.IFNA(VLOOKUP($AH64,Programma!$F$3:$H$1101,3,0),"")</f>
        <v>1w</v>
      </c>
      <c r="AK64" s="411" t="str">
        <f>_xlfn.IFNA(VLOOKUP($AH64,Programma!$F$3:$I$1101,4,0),"")</f>
        <v>_</v>
      </c>
      <c r="AL64" s="411" t="str">
        <f>_xlfn.IFNA(VLOOKUP($AH64,Programma!$F$3:$J$1101,5,0),"")</f>
        <v>_</v>
      </c>
      <c r="AM64" s="411" t="str">
        <f>_xlfn.IFNA(VLOOKUP($AH64,Programma!$F$3:$K$1101,6,0),"")</f>
        <v>_</v>
      </c>
      <c r="AN64" s="411" t="str">
        <f>_xlfn.IFNA(VLOOKUP($AH64,Programma!$F$3:$L$1101,7,0),"")</f>
        <v>_</v>
      </c>
      <c r="AO64" s="411" t="str">
        <f>_xlfn.IFNA(VLOOKUP($AH64,Programma!$F$3:$M$1101,8,0),"")</f>
        <v>_</v>
      </c>
      <c r="AP64" s="411" t="str">
        <f>_xlfn.IFNA(VLOOKUP($AH64,Programma!$F$3:$N$1101,9,0),"")</f>
        <v>_</v>
      </c>
      <c r="AQ64" s="411" t="str">
        <f>_xlfn.IFNA(VLOOKUP($AH64,Programma!$F$3:$O$1101,10,0),"")</f>
        <v>3w</v>
      </c>
      <c r="AR64" s="411" t="str">
        <f>_xlfn.IFNA(VLOOKUP($AH64,Programma!$F$3:$P$1101,11,0),"")</f>
        <v>3w</v>
      </c>
      <c r="AS64" s="411" t="str">
        <f>_xlfn.IFNA(VLOOKUP($AH64,Programma!$F$3:$Q$1101,12,0),"")</f>
        <v>1w</v>
      </c>
      <c r="AT64" s="411" t="str">
        <f>_xlfn.IFNA(VLOOKUP($AH64,Programma!$F$3:$R$1101,13,0),"")</f>
        <v>1w</v>
      </c>
      <c r="AU64" s="411" t="str">
        <f>_xlfn.IFNA(VLOOKUP($AH64,Programma!$F$3:$S$1101,14,0),"")</f>
        <v>1m</v>
      </c>
      <c r="AV64" s="411" t="str">
        <f>_xlfn.IFNA(VLOOKUP($AH64,Programma!$F$3:$T$1101,15,0),"")</f>
        <v>2j</v>
      </c>
      <c r="AW64" s="411" t="str">
        <f>_xlfn.IFNA(VLOOKUP($AH64,Programma!$F$3:$U$1101,16,0),"")</f>
        <v>1j</v>
      </c>
      <c r="AX64" s="411" t="str">
        <f>_xlfn.IFNA(VLOOKUP($AH64,Programma!$F$3:$V$1101,17,0),"")</f>
        <v>_</v>
      </c>
      <c r="AY64" s="411" t="str">
        <f>_xlfn.IFNA(VLOOKUP($AH64,Programma!$F$3:$W$1101,18,0),"")</f>
        <v>_</v>
      </c>
      <c r="AZ64" s="411" t="str">
        <f>_xlfn.IFNA(VLOOKUP($AH64,Programma!$F$3:$X$1101,19,0),"")</f>
        <v>_</v>
      </c>
      <c r="BA64" s="411" t="str">
        <f>_xlfn.IFNA(VLOOKUP($AH64,Programma!$F$3:$Y$1101,20,0),"")</f>
        <v>_</v>
      </c>
      <c r="BB64" s="412"/>
      <c r="BC64" s="410" t="str">
        <f>IF(Ruimtestaat[[#This Row],[Frequentie weekend]]="","",_xlfn.CONCAT(Ruimtestaat[[#This Row],[Ruimte code]],"-",Ruimtestaat[[#This Row],[Frequentie weekend]]," ",Ruimtestaat[[#This Row],[Vloer code]]))</f>
        <v/>
      </c>
      <c r="BD64" s="411" t="str">
        <f>_xlfn.IFNA(VLOOKUP($BC64,Programma!$F$3:$G$1101,2,0),"")</f>
        <v/>
      </c>
      <c r="BE64" s="411" t="str">
        <f>_xlfn.IFNA(VLOOKUP($BC64,Programma!$F$3:$H$1101,3,0),"")</f>
        <v/>
      </c>
      <c r="BF64" s="411" t="str">
        <f>_xlfn.IFNA(VLOOKUP($BC64,Programma!$F$3:$I$1101,4,0),"")</f>
        <v/>
      </c>
      <c r="BG64" s="411" t="str">
        <f>_xlfn.IFNA(VLOOKUP($BC64,Programma!$F$3:$J$1101,5,0),"")</f>
        <v/>
      </c>
      <c r="BH64" s="411" t="str">
        <f>_xlfn.IFNA(VLOOKUP($BC64,Programma!$F$3:$K$1101,6,0),"")</f>
        <v/>
      </c>
      <c r="BI64" s="411" t="str">
        <f>_xlfn.IFNA(VLOOKUP($BC64,Programma!$F$3:$L$1101,7,0),"")</f>
        <v/>
      </c>
      <c r="BJ64" s="411" t="str">
        <f>_xlfn.IFNA(VLOOKUP($BC64,Programma!$F$3:$M$1101,8,0),"")</f>
        <v/>
      </c>
      <c r="BK64" s="411" t="str">
        <f>_xlfn.IFNA(VLOOKUP($BC64,Programma!$F$3:$N$1101,9,0),"")</f>
        <v/>
      </c>
      <c r="BL64" s="411" t="str">
        <f>_xlfn.IFNA(VLOOKUP($BC64,Programma!$F$3:$O$1101,10,0),"")</f>
        <v/>
      </c>
      <c r="BM64" s="411" t="str">
        <f>_xlfn.IFNA(VLOOKUP($BC64,Programma!$F$3:$P$1101,11,0),"")</f>
        <v/>
      </c>
      <c r="BN64" s="411" t="str">
        <f>_xlfn.IFNA(VLOOKUP($BC64,Programma!$F$3:$Q$1101,12,0),"")</f>
        <v/>
      </c>
      <c r="BO64" s="411" t="str">
        <f>_xlfn.IFNA(VLOOKUP($BC64,Programma!$F$3:$R$1101,13,0),"")</f>
        <v/>
      </c>
      <c r="BP64" s="411" t="str">
        <f>_xlfn.IFNA(VLOOKUP($BC64,Programma!$F$3:$S$1101,14,0),"")</f>
        <v/>
      </c>
      <c r="BQ64" s="411" t="str">
        <f>_xlfn.IFNA(VLOOKUP($BC64,Programma!$F$3:$T$1101,15,0),"")</f>
        <v/>
      </c>
      <c r="BR64" s="411" t="str">
        <f>_xlfn.IFNA(VLOOKUP($BC64,Programma!$F$3:$U$1101,16,0),"")</f>
        <v/>
      </c>
      <c r="BS64" s="411" t="str">
        <f>_xlfn.IFNA(VLOOKUP($BC64,Programma!$F$3:$V$1101,17,0),"")</f>
        <v/>
      </c>
      <c r="BT64" s="411" t="str">
        <f>_xlfn.IFNA(VLOOKUP($BC64,Programma!$F$3:$W$1101,18,0),"")</f>
        <v/>
      </c>
      <c r="BU64" s="411" t="str">
        <f>_xlfn.IFNA(VLOOKUP($BC64,Programma!$F$3:$X$1101,19,0),"")</f>
        <v/>
      </c>
      <c r="BV64" s="411" t="str">
        <f>_xlfn.IFNA(VLOOKUP($BC64,Programma!$F$3:$Y$1101,20,0),"")</f>
        <v/>
      </c>
    </row>
    <row r="65" spans="1:219" ht="15" customHeight="1">
      <c r="A65" s="399">
        <v>1</v>
      </c>
      <c r="B65" s="400" t="str">
        <f>VLOOKUP(Ruimtestaat[[#This Row],[Code]],Locaties[[Code]:[Locatie]],2,FALSE)</f>
        <v>Jansstraat en Janskerk</v>
      </c>
      <c r="C65" s="400" t="str">
        <f>VLOOKUP(Ruimtestaat[[#This Row],[Code]],Locaties[[#All],[Code]:[Adres]],4,FALSE)</f>
        <v>Jansstraat 40</v>
      </c>
      <c r="D65" s="400" t="str">
        <f>VLOOKUP(Ruimtestaat[[#This Row],[Code]],Locaties[[#All],[Code]:[Postcode]],5,FALSE)</f>
        <v>2011 RX</v>
      </c>
      <c r="E65" s="400" t="str">
        <f>VLOOKUP(Ruimtestaat[[#This Row],[Code]],Locaties[#All],6,FALSE)</f>
        <v>Haarlem</v>
      </c>
      <c r="F65" s="399"/>
      <c r="G65" s="399" t="s">
        <v>1655</v>
      </c>
      <c r="H65" s="401">
        <v>23</v>
      </c>
      <c r="I65" s="402" t="s">
        <v>1637</v>
      </c>
      <c r="J65" s="336">
        <v>5</v>
      </c>
      <c r="K65" s="414" t="str">
        <f>VLOOKUP(Ruimtestaat[[#This Row],[Ruimte code]],Ruimtegroepen[[#All],[Code]:[Ruimte omschrijving]],2,FALSE)</f>
        <v>Sanitair</v>
      </c>
      <c r="L65" s="399" t="s">
        <v>101</v>
      </c>
      <c r="M65" s="402" t="s">
        <v>1635</v>
      </c>
      <c r="N65" s="404">
        <v>4.4000000000000004</v>
      </c>
      <c r="O65" s="413"/>
      <c r="P65" s="405" t="str">
        <f>VLOOKUP(Ruimtestaat[[#This Row],[Ruimte code]],Ruimtegroepen[],4,FALSE)</f>
        <v>Sa</v>
      </c>
      <c r="Q65" s="399">
        <v>51</v>
      </c>
      <c r="R65" s="399" t="s">
        <v>2</v>
      </c>
      <c r="S65" s="399">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5" s="399">
        <f>IF(S65&gt;0,VLOOKUP($J65,Ruimtegroepen[],3,FALSE)*VLOOKUP($L65,Vloersoorten[],3,FALSE)*VLOOKUP($R65,Frequenties[],3,FALSE)*VLOOKUP($A65,Locaties[],3,FALSE),0)</f>
        <v>0</v>
      </c>
      <c r="U65" s="399">
        <f>Ruimtestaat[[#This Row],[Uitvoeringen werkdagen]]*Ruimtestaat[[#This Row],[Oppervlak (netto)]]</f>
        <v>1122</v>
      </c>
      <c r="V65" s="406">
        <f>IF(T65&gt;0,Ruimtestaat[[#This Row],[Prest. (m2 /jaar) werkdagen]]/Ruimtestaat[[#This Row],[Norm (m2/uur) werkdagen]],0)</f>
        <v>0</v>
      </c>
      <c r="W65" s="407">
        <f>Ruimtestaat[[#This Row],[uren / jaar werkdagen]]*Tariefsopbouw!$E$35</f>
        <v>0</v>
      </c>
      <c r="X65" s="399"/>
      <c r="Y65" s="399">
        <f>IF(Ruimtestaat[[#This Row],[Frequentie weekend]]&gt;0,VALUE(LEFT(X65,1))*Q65,0)</f>
        <v>0</v>
      </c>
      <c r="Z65" s="408">
        <f>IF($Y65&gt;0,VLOOKUP($J65,Ruimtegroepen[],3,FALSE)*VLOOKUP($L65,Vloersoorten[],3,FALSE)*VLOOKUP($X65,Frequenties[],3,FALSE)*VLOOKUP(Ruimtestaat[[#This Row],[Code]],Locaties[],3,FALSE),0)</f>
        <v>0</v>
      </c>
      <c r="AA65" s="408">
        <f>Ruimtestaat[[#This Row],[Uitvoeringen weekend]]*Ruimtestaat[[#This Row],[Oppervlak (netto)]]</f>
        <v>0</v>
      </c>
      <c r="AB65" s="408">
        <f>IF(Z65&gt;0,Ruimtestaat[[#This Row],[Prest. (m2 /jaar) weekend]]/Ruimtestaat[[#This Row],[Norm (m2/uur) weekend]],0)</f>
        <v>0</v>
      </c>
      <c r="AC65" s="407">
        <f>Ruimtestaat[[#This Row],[uren / jaar weekend]]*Tariefsopbouw!$D$40</f>
        <v>0</v>
      </c>
      <c r="AD65" s="406">
        <f>Ruimtestaat[[#This Row],[Prest. (m2 /jaar) weekend]]+Ruimtestaat[[#This Row],[Prest. (m2 /jaar) werkdagen]]</f>
        <v>1122</v>
      </c>
      <c r="AE65" s="406">
        <f>Ruimtestaat[[#This Row],[uren / jaar weekend]]+Ruimtestaat[[#This Row],[uren / jaar werkdagen]]</f>
        <v>0</v>
      </c>
      <c r="AF65" s="409">
        <f>Ruimtestaat[[#This Row],[kosten / jaar weekend]]+Ruimtestaat[[#This Row],[kosten / jaar werkdagen]]</f>
        <v>0</v>
      </c>
      <c r="AG65" s="409"/>
      <c r="AH65" s="410" t="str">
        <f>IF(Ruimtestaat[[#This Row],[Frequentie werkdagen]]="","",_xlfn.CONCAT(Ruimtestaat[[#This Row],[Ruimte code]],"-",Ruimtestaat[[#This Row],[Frequentie werkdagen]]," ",Ruimtestaat[[#This Row],[Vloer code]]))</f>
        <v>5-5w S</v>
      </c>
      <c r="AI65" s="411" t="str">
        <f>_xlfn.IFNA(VLOOKUP($AH65,Programma!$F$3:$G$1101,2,0),"")</f>
        <v>_</v>
      </c>
      <c r="AJ65" s="411" t="str">
        <f>_xlfn.IFNA(VLOOKUP($AH65,Programma!$F$3:$H$1101,3,0),"")</f>
        <v>_</v>
      </c>
      <c r="AK65" s="411" t="str">
        <f>_xlfn.IFNA(VLOOKUP($AH65,Programma!$F$3:$I$1101,4,0),"")</f>
        <v>_</v>
      </c>
      <c r="AL65" s="411" t="str">
        <f>_xlfn.IFNA(VLOOKUP($AH65,Programma!$F$3:$J$1101,5,0),"")</f>
        <v>4w</v>
      </c>
      <c r="AM65" s="411" t="str">
        <f>_xlfn.IFNA(VLOOKUP($AH65,Programma!$F$3:$K$1101,6,0),"")</f>
        <v>1w</v>
      </c>
      <c r="AN65" s="411" t="str">
        <f>_xlfn.IFNA(VLOOKUP($AH65,Programma!$F$3:$L$1101,7,0),"")</f>
        <v>_</v>
      </c>
      <c r="AO65" s="411" t="str">
        <f>_xlfn.IFNA(VLOOKUP($AH65,Programma!$F$3:$M$1101,8,0),"")</f>
        <v>_</v>
      </c>
      <c r="AP65" s="411" t="str">
        <f>_xlfn.IFNA(VLOOKUP($AH65,Programma!$F$3:$N$1101,9,0),"")</f>
        <v>_</v>
      </c>
      <c r="AQ65" s="411" t="str">
        <f>_xlfn.IFNA(VLOOKUP($AH65,Programma!$F$3:$O$1101,10,0),"")</f>
        <v>_</v>
      </c>
      <c r="AR65" s="411" t="str">
        <f>_xlfn.IFNA(VLOOKUP($AH65,Programma!$F$3:$P$1101,11,0),"")</f>
        <v>_</v>
      </c>
      <c r="AS65" s="411" t="str">
        <f>_xlfn.IFNA(VLOOKUP($AH65,Programma!$F$3:$Q$1101,12,0),"")</f>
        <v>_</v>
      </c>
      <c r="AT65" s="411" t="str">
        <f>_xlfn.IFNA(VLOOKUP($AH65,Programma!$F$3:$R$1101,13,0),"")</f>
        <v>_</v>
      </c>
      <c r="AU65" s="411" t="str">
        <f>_xlfn.IFNA(VLOOKUP($AH65,Programma!$F$3:$S$1101,14,0),"")</f>
        <v>_</v>
      </c>
      <c r="AV65" s="411" t="str">
        <f>_xlfn.IFNA(VLOOKUP($AH65,Programma!$F$3:$T$1101,15,0),"")</f>
        <v>_</v>
      </c>
      <c r="AW65" s="411" t="str">
        <f>_xlfn.IFNA(VLOOKUP($AH65,Programma!$F$3:$U$1101,16,0),"")</f>
        <v>_</v>
      </c>
      <c r="AX65" s="411" t="str">
        <f>_xlfn.IFNA(VLOOKUP($AH65,Programma!$F$3:$V$1101,17,0),"")</f>
        <v>_</v>
      </c>
      <c r="AY65" s="411" t="str">
        <f>_xlfn.IFNA(VLOOKUP($AH65,Programma!$F$3:$W$1101,18,0),"")</f>
        <v>4w</v>
      </c>
      <c r="AZ65" s="411" t="str">
        <f>_xlfn.IFNA(VLOOKUP($AH65,Programma!$F$3:$X$1101,19,0),"")</f>
        <v>1w</v>
      </c>
      <c r="BA65" s="411" t="str">
        <f>_xlfn.IFNA(VLOOKUP($AH65,Programma!$F$3:$Y$1101,20,0),"")</f>
        <v>_</v>
      </c>
      <c r="BB65" s="412"/>
      <c r="BC65" s="410" t="str">
        <f>IF(Ruimtestaat[[#This Row],[Frequentie weekend]]="","",_xlfn.CONCAT(Ruimtestaat[[#This Row],[Ruimte code]],"-",Ruimtestaat[[#This Row],[Frequentie weekend]]," ",Ruimtestaat[[#This Row],[Vloer code]]))</f>
        <v/>
      </c>
      <c r="BD65" s="411" t="str">
        <f>_xlfn.IFNA(VLOOKUP($BC65,Programma!$F$3:$G$1101,2,0),"")</f>
        <v/>
      </c>
      <c r="BE65" s="411" t="str">
        <f>_xlfn.IFNA(VLOOKUP($BC65,Programma!$F$3:$H$1101,3,0),"")</f>
        <v/>
      </c>
      <c r="BF65" s="411" t="str">
        <f>_xlfn.IFNA(VLOOKUP($BC65,Programma!$F$3:$I$1101,4,0),"")</f>
        <v/>
      </c>
      <c r="BG65" s="411" t="str">
        <f>_xlfn.IFNA(VLOOKUP($BC65,Programma!$F$3:$J$1101,5,0),"")</f>
        <v/>
      </c>
      <c r="BH65" s="411" t="str">
        <f>_xlfn.IFNA(VLOOKUP($BC65,Programma!$F$3:$K$1101,6,0),"")</f>
        <v/>
      </c>
      <c r="BI65" s="411" t="str">
        <f>_xlfn.IFNA(VLOOKUP($BC65,Programma!$F$3:$L$1101,7,0),"")</f>
        <v/>
      </c>
      <c r="BJ65" s="411" t="str">
        <f>_xlfn.IFNA(VLOOKUP($BC65,Programma!$F$3:$M$1101,8,0),"")</f>
        <v/>
      </c>
      <c r="BK65" s="411" t="str">
        <f>_xlfn.IFNA(VLOOKUP($BC65,Programma!$F$3:$N$1101,9,0),"")</f>
        <v/>
      </c>
      <c r="BL65" s="411" t="str">
        <f>_xlfn.IFNA(VLOOKUP($BC65,Programma!$F$3:$O$1101,10,0),"")</f>
        <v/>
      </c>
      <c r="BM65" s="411" t="str">
        <f>_xlfn.IFNA(VLOOKUP($BC65,Programma!$F$3:$P$1101,11,0),"")</f>
        <v/>
      </c>
      <c r="BN65" s="411" t="str">
        <f>_xlfn.IFNA(VLOOKUP($BC65,Programma!$F$3:$Q$1101,12,0),"")</f>
        <v/>
      </c>
      <c r="BO65" s="411" t="str">
        <f>_xlfn.IFNA(VLOOKUP($BC65,Programma!$F$3:$R$1101,13,0),"")</f>
        <v/>
      </c>
      <c r="BP65" s="411" t="str">
        <f>_xlfn.IFNA(VLOOKUP($BC65,Programma!$F$3:$S$1101,14,0),"")</f>
        <v/>
      </c>
      <c r="BQ65" s="411" t="str">
        <f>_xlfn.IFNA(VLOOKUP($BC65,Programma!$F$3:$T$1101,15,0),"")</f>
        <v/>
      </c>
      <c r="BR65" s="411" t="str">
        <f>_xlfn.IFNA(VLOOKUP($BC65,Programma!$F$3:$U$1101,16,0),"")</f>
        <v/>
      </c>
      <c r="BS65" s="411" t="str">
        <f>_xlfn.IFNA(VLOOKUP($BC65,Programma!$F$3:$V$1101,17,0),"")</f>
        <v/>
      </c>
      <c r="BT65" s="411" t="str">
        <f>_xlfn.IFNA(VLOOKUP($BC65,Programma!$F$3:$W$1101,18,0),"")</f>
        <v/>
      </c>
      <c r="BU65" s="411" t="str">
        <f>_xlfn.IFNA(VLOOKUP($BC65,Programma!$F$3:$X$1101,19,0),"")</f>
        <v/>
      </c>
      <c r="BV65" s="411" t="str">
        <f>_xlfn.IFNA(VLOOKUP($BC65,Programma!$F$3:$Y$1101,20,0),"")</f>
        <v/>
      </c>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c r="ET65" s="28"/>
      <c r="EU65" s="28"/>
      <c r="EV65" s="28"/>
      <c r="EW65" s="28"/>
      <c r="EX65" s="28"/>
      <c r="EY65" s="28"/>
      <c r="EZ65" s="28"/>
      <c r="FA65" s="28"/>
      <c r="FB65" s="28"/>
      <c r="FC65" s="28"/>
      <c r="FD65" s="28"/>
      <c r="FE65" s="28"/>
      <c r="FF65" s="28"/>
      <c r="FG65" s="28"/>
      <c r="FH65" s="28"/>
      <c r="FI65" s="28"/>
      <c r="FJ65" s="28"/>
      <c r="FK65" s="28"/>
      <c r="FL65" s="28"/>
      <c r="FM65" s="28"/>
      <c r="FN65" s="28"/>
      <c r="FO65" s="28"/>
      <c r="FP65" s="28"/>
      <c r="FQ65" s="28"/>
      <c r="FR65" s="28"/>
      <c r="FS65" s="28"/>
      <c r="FT65" s="28"/>
      <c r="FU65" s="28"/>
      <c r="FV65" s="28"/>
      <c r="FW65" s="28"/>
      <c r="FX65" s="28"/>
      <c r="FY65" s="28"/>
      <c r="FZ65" s="28"/>
      <c r="GA65" s="28"/>
      <c r="GB65" s="28"/>
      <c r="GC65" s="28"/>
      <c r="GD65" s="28"/>
      <c r="GE65" s="28"/>
      <c r="GF65" s="28"/>
      <c r="GG65" s="28"/>
      <c r="GH65" s="28"/>
      <c r="GI65" s="28"/>
      <c r="GJ65" s="28"/>
      <c r="GK65" s="28"/>
      <c r="GL65" s="28"/>
      <c r="GM65" s="28"/>
      <c r="GN65" s="28"/>
      <c r="GO65" s="28"/>
      <c r="GP65" s="28"/>
      <c r="GQ65" s="28"/>
      <c r="GR65" s="28"/>
      <c r="GS65" s="28"/>
      <c r="GT65" s="28"/>
      <c r="GU65" s="28"/>
      <c r="GV65" s="28"/>
      <c r="GW65" s="28"/>
      <c r="GX65" s="28"/>
      <c r="GY65" s="28"/>
      <c r="GZ65" s="28"/>
      <c r="HA65" s="28"/>
      <c r="HB65" s="28"/>
      <c r="HC65" s="28"/>
      <c r="HD65" s="28"/>
      <c r="HE65" s="28"/>
      <c r="HF65" s="28"/>
      <c r="HG65" s="28"/>
      <c r="HH65" s="28"/>
      <c r="HI65" s="28"/>
      <c r="HJ65" s="28"/>
      <c r="HK65" s="28"/>
    </row>
    <row r="66" spans="1:219" ht="15" customHeight="1">
      <c r="A66" s="399">
        <v>1</v>
      </c>
      <c r="B66" s="400" t="str">
        <f>VLOOKUP(Ruimtestaat[[#This Row],[Code]],Locaties[[Code]:[Locatie]],2,FALSE)</f>
        <v>Jansstraat en Janskerk</v>
      </c>
      <c r="C66" s="400" t="str">
        <f>VLOOKUP(Ruimtestaat[[#This Row],[Code]],Locaties[[#All],[Code]:[Adres]],4,FALSE)</f>
        <v>Jansstraat 40</v>
      </c>
      <c r="D66" s="400" t="str">
        <f>VLOOKUP(Ruimtestaat[[#This Row],[Code]],Locaties[[#All],[Code]:[Postcode]],5,FALSE)</f>
        <v>2011 RX</v>
      </c>
      <c r="E66" s="400" t="str">
        <f>VLOOKUP(Ruimtestaat[[#This Row],[Code]],Locaties[#All],6,FALSE)</f>
        <v>Haarlem</v>
      </c>
      <c r="F66" s="399"/>
      <c r="G66" s="399" t="s">
        <v>1655</v>
      </c>
      <c r="H66" s="401">
        <v>24</v>
      </c>
      <c r="I66" s="402" t="s">
        <v>22</v>
      </c>
      <c r="J66" s="336">
        <v>5</v>
      </c>
      <c r="K66" s="414" t="str">
        <f>VLOOKUP(Ruimtestaat[[#This Row],[Ruimte code]],Ruimtegroepen[[#All],[Code]:[Ruimte omschrijving]],2,FALSE)</f>
        <v>Sanitair</v>
      </c>
      <c r="L66" s="399" t="s">
        <v>101</v>
      </c>
      <c r="M66" s="402" t="s">
        <v>1635</v>
      </c>
      <c r="N66" s="404">
        <v>3.5</v>
      </c>
      <c r="O66" s="399"/>
      <c r="P66" s="405" t="str">
        <f>VLOOKUP(Ruimtestaat[[#This Row],[Ruimte code]],Ruimtegroepen[],4,FALSE)</f>
        <v>Sa</v>
      </c>
      <c r="Q66" s="399">
        <v>51</v>
      </c>
      <c r="R66" s="399" t="s">
        <v>2</v>
      </c>
      <c r="S66" s="399">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6" s="399">
        <f>IF(S66&gt;0,VLOOKUP($J66,Ruimtegroepen[],3,FALSE)*VLOOKUP($L66,Vloersoorten[],3,FALSE)*VLOOKUP($R66,Frequenties[],3,FALSE)*VLOOKUP($A66,Locaties[],3,FALSE),0)</f>
        <v>0</v>
      </c>
      <c r="U66" s="399">
        <f>Ruimtestaat[[#This Row],[Uitvoeringen werkdagen]]*Ruimtestaat[[#This Row],[Oppervlak (netto)]]</f>
        <v>892.5</v>
      </c>
      <c r="V66" s="406">
        <f>IF(T66&gt;0,Ruimtestaat[[#This Row],[Prest. (m2 /jaar) werkdagen]]/Ruimtestaat[[#This Row],[Norm (m2/uur) werkdagen]],0)</f>
        <v>0</v>
      </c>
      <c r="W66" s="407">
        <f>Ruimtestaat[[#This Row],[uren / jaar werkdagen]]*Tariefsopbouw!$E$35</f>
        <v>0</v>
      </c>
      <c r="X66" s="399"/>
      <c r="Y66" s="399">
        <f>IF(Ruimtestaat[[#This Row],[Frequentie weekend]]&gt;0,VALUE(LEFT(X66,1))*Q66,0)</f>
        <v>0</v>
      </c>
      <c r="Z66" s="408">
        <f>IF($Y66&gt;0,VLOOKUP($J66,Ruimtegroepen[],3,FALSE)*VLOOKUP($L66,Vloersoorten[],3,FALSE)*VLOOKUP($X66,Frequenties[],3,FALSE)*VLOOKUP(Ruimtestaat[[#This Row],[Code]],Locaties[],3,FALSE),0)</f>
        <v>0</v>
      </c>
      <c r="AA66" s="408">
        <f>Ruimtestaat[[#This Row],[Uitvoeringen weekend]]*Ruimtestaat[[#This Row],[Oppervlak (netto)]]</f>
        <v>0</v>
      </c>
      <c r="AB66" s="408">
        <f>IF(Z66&gt;0,Ruimtestaat[[#This Row],[Prest. (m2 /jaar) weekend]]/Ruimtestaat[[#This Row],[Norm (m2/uur) weekend]],0)</f>
        <v>0</v>
      </c>
      <c r="AC66" s="407">
        <f>Ruimtestaat[[#This Row],[uren / jaar weekend]]*Tariefsopbouw!$D$40</f>
        <v>0</v>
      </c>
      <c r="AD66" s="406">
        <f>Ruimtestaat[[#This Row],[Prest. (m2 /jaar) weekend]]+Ruimtestaat[[#This Row],[Prest. (m2 /jaar) werkdagen]]</f>
        <v>892.5</v>
      </c>
      <c r="AE66" s="406">
        <f>Ruimtestaat[[#This Row],[uren / jaar weekend]]+Ruimtestaat[[#This Row],[uren / jaar werkdagen]]</f>
        <v>0</v>
      </c>
      <c r="AF66" s="409">
        <f>Ruimtestaat[[#This Row],[kosten / jaar weekend]]+Ruimtestaat[[#This Row],[kosten / jaar werkdagen]]</f>
        <v>0</v>
      </c>
      <c r="AG66" s="409"/>
      <c r="AH66" s="410" t="str">
        <f>IF(Ruimtestaat[[#This Row],[Frequentie werkdagen]]="","",_xlfn.CONCAT(Ruimtestaat[[#This Row],[Ruimte code]],"-",Ruimtestaat[[#This Row],[Frequentie werkdagen]]," ",Ruimtestaat[[#This Row],[Vloer code]]))</f>
        <v>5-5w S</v>
      </c>
      <c r="AI66" s="411" t="str">
        <f>_xlfn.IFNA(VLOOKUP($AH66,Programma!$F$3:$G$1101,2,0),"")</f>
        <v>_</v>
      </c>
      <c r="AJ66" s="411" t="str">
        <f>_xlfn.IFNA(VLOOKUP($AH66,Programma!$F$3:$H$1101,3,0),"")</f>
        <v>_</v>
      </c>
      <c r="AK66" s="411" t="str">
        <f>_xlfn.IFNA(VLOOKUP($AH66,Programma!$F$3:$I$1101,4,0),"")</f>
        <v>_</v>
      </c>
      <c r="AL66" s="411" t="str">
        <f>_xlfn.IFNA(VLOOKUP($AH66,Programma!$F$3:$J$1101,5,0),"")</f>
        <v>4w</v>
      </c>
      <c r="AM66" s="411" t="str">
        <f>_xlfn.IFNA(VLOOKUP($AH66,Programma!$F$3:$K$1101,6,0),"")</f>
        <v>1w</v>
      </c>
      <c r="AN66" s="411" t="str">
        <f>_xlfn.IFNA(VLOOKUP($AH66,Programma!$F$3:$L$1101,7,0),"")</f>
        <v>_</v>
      </c>
      <c r="AO66" s="411" t="str">
        <f>_xlfn.IFNA(VLOOKUP($AH66,Programma!$F$3:$M$1101,8,0),"")</f>
        <v>_</v>
      </c>
      <c r="AP66" s="411" t="str">
        <f>_xlfn.IFNA(VLOOKUP($AH66,Programma!$F$3:$N$1101,9,0),"")</f>
        <v>_</v>
      </c>
      <c r="AQ66" s="411" t="str">
        <f>_xlfn.IFNA(VLOOKUP($AH66,Programma!$F$3:$O$1101,10,0),"")</f>
        <v>_</v>
      </c>
      <c r="AR66" s="411" t="str">
        <f>_xlfn.IFNA(VLOOKUP($AH66,Programma!$F$3:$P$1101,11,0),"")</f>
        <v>_</v>
      </c>
      <c r="AS66" s="411" t="str">
        <f>_xlfn.IFNA(VLOOKUP($AH66,Programma!$F$3:$Q$1101,12,0),"")</f>
        <v>_</v>
      </c>
      <c r="AT66" s="411" t="str">
        <f>_xlfn.IFNA(VLOOKUP($AH66,Programma!$F$3:$R$1101,13,0),"")</f>
        <v>_</v>
      </c>
      <c r="AU66" s="411" t="str">
        <f>_xlfn.IFNA(VLOOKUP($AH66,Programma!$F$3:$S$1101,14,0),"")</f>
        <v>_</v>
      </c>
      <c r="AV66" s="411" t="str">
        <f>_xlfn.IFNA(VLOOKUP($AH66,Programma!$F$3:$T$1101,15,0),"")</f>
        <v>_</v>
      </c>
      <c r="AW66" s="411" t="str">
        <f>_xlfn.IFNA(VLOOKUP($AH66,Programma!$F$3:$U$1101,16,0),"")</f>
        <v>_</v>
      </c>
      <c r="AX66" s="411" t="str">
        <f>_xlfn.IFNA(VLOOKUP($AH66,Programma!$F$3:$V$1101,17,0),"")</f>
        <v>_</v>
      </c>
      <c r="AY66" s="411" t="str">
        <f>_xlfn.IFNA(VLOOKUP($AH66,Programma!$F$3:$W$1101,18,0),"")</f>
        <v>4w</v>
      </c>
      <c r="AZ66" s="411" t="str">
        <f>_xlfn.IFNA(VLOOKUP($AH66,Programma!$F$3:$X$1101,19,0),"")</f>
        <v>1w</v>
      </c>
      <c r="BA66" s="411" t="str">
        <f>_xlfn.IFNA(VLOOKUP($AH66,Programma!$F$3:$Y$1101,20,0),"")</f>
        <v>_</v>
      </c>
      <c r="BB66" s="412"/>
      <c r="BC66" s="410" t="str">
        <f>IF(Ruimtestaat[[#This Row],[Frequentie weekend]]="","",_xlfn.CONCAT(Ruimtestaat[[#This Row],[Ruimte code]],"-",Ruimtestaat[[#This Row],[Frequentie weekend]]," ",Ruimtestaat[[#This Row],[Vloer code]]))</f>
        <v/>
      </c>
      <c r="BD66" s="411" t="str">
        <f>_xlfn.IFNA(VLOOKUP($BC66,Programma!$F$3:$G$1101,2,0),"")</f>
        <v/>
      </c>
      <c r="BE66" s="411" t="str">
        <f>_xlfn.IFNA(VLOOKUP($BC66,Programma!$F$3:$H$1101,3,0),"")</f>
        <v/>
      </c>
      <c r="BF66" s="411" t="str">
        <f>_xlfn.IFNA(VLOOKUP($BC66,Programma!$F$3:$I$1101,4,0),"")</f>
        <v/>
      </c>
      <c r="BG66" s="411" t="str">
        <f>_xlfn.IFNA(VLOOKUP($BC66,Programma!$F$3:$J$1101,5,0),"")</f>
        <v/>
      </c>
      <c r="BH66" s="411" t="str">
        <f>_xlfn.IFNA(VLOOKUP($BC66,Programma!$F$3:$K$1101,6,0),"")</f>
        <v/>
      </c>
      <c r="BI66" s="411" t="str">
        <f>_xlfn.IFNA(VLOOKUP($BC66,Programma!$F$3:$L$1101,7,0),"")</f>
        <v/>
      </c>
      <c r="BJ66" s="411" t="str">
        <f>_xlfn.IFNA(VLOOKUP($BC66,Programma!$F$3:$M$1101,8,0),"")</f>
        <v/>
      </c>
      <c r="BK66" s="411" t="str">
        <f>_xlfn.IFNA(VLOOKUP($BC66,Programma!$F$3:$N$1101,9,0),"")</f>
        <v/>
      </c>
      <c r="BL66" s="411" t="str">
        <f>_xlfn.IFNA(VLOOKUP($BC66,Programma!$F$3:$O$1101,10,0),"")</f>
        <v/>
      </c>
      <c r="BM66" s="411" t="str">
        <f>_xlfn.IFNA(VLOOKUP($BC66,Programma!$F$3:$P$1101,11,0),"")</f>
        <v/>
      </c>
      <c r="BN66" s="411" t="str">
        <f>_xlfn.IFNA(VLOOKUP($BC66,Programma!$F$3:$Q$1101,12,0),"")</f>
        <v/>
      </c>
      <c r="BO66" s="411" t="str">
        <f>_xlfn.IFNA(VLOOKUP($BC66,Programma!$F$3:$R$1101,13,0),"")</f>
        <v/>
      </c>
      <c r="BP66" s="411" t="str">
        <f>_xlfn.IFNA(VLOOKUP($BC66,Programma!$F$3:$S$1101,14,0),"")</f>
        <v/>
      </c>
      <c r="BQ66" s="411" t="str">
        <f>_xlfn.IFNA(VLOOKUP($BC66,Programma!$F$3:$T$1101,15,0),"")</f>
        <v/>
      </c>
      <c r="BR66" s="411" t="str">
        <f>_xlfn.IFNA(VLOOKUP($BC66,Programma!$F$3:$U$1101,16,0),"")</f>
        <v/>
      </c>
      <c r="BS66" s="411" t="str">
        <f>_xlfn.IFNA(VLOOKUP($BC66,Programma!$F$3:$V$1101,17,0),"")</f>
        <v/>
      </c>
      <c r="BT66" s="411" t="str">
        <f>_xlfn.IFNA(VLOOKUP($BC66,Programma!$F$3:$W$1101,18,0),"")</f>
        <v/>
      </c>
      <c r="BU66" s="411" t="str">
        <f>_xlfn.IFNA(VLOOKUP($BC66,Programma!$F$3:$X$1101,19,0),"")</f>
        <v/>
      </c>
      <c r="BV66" s="411" t="str">
        <f>_xlfn.IFNA(VLOOKUP($BC66,Programma!$F$3:$Y$1101,20,0),"")</f>
        <v/>
      </c>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8"/>
      <c r="FJ66" s="28"/>
      <c r="FK66" s="28"/>
      <c r="FL66" s="28"/>
      <c r="FM66" s="28"/>
      <c r="FN66" s="28"/>
      <c r="FO66" s="28"/>
      <c r="FP66" s="28"/>
      <c r="FQ66" s="28"/>
      <c r="FR66" s="28"/>
      <c r="FS66" s="28"/>
      <c r="FT66" s="28"/>
      <c r="FU66" s="28"/>
      <c r="FV66" s="28"/>
      <c r="FW66" s="28"/>
      <c r="FX66" s="28"/>
      <c r="FY66" s="28"/>
      <c r="FZ66" s="28"/>
      <c r="GA66" s="28"/>
      <c r="GB66" s="28"/>
      <c r="GC66" s="28"/>
      <c r="GD66" s="28"/>
      <c r="GE66" s="28"/>
      <c r="GF66" s="28"/>
      <c r="GG66" s="28"/>
      <c r="GH66" s="28"/>
      <c r="GI66" s="28"/>
      <c r="GJ66" s="28"/>
      <c r="GK66" s="28"/>
      <c r="GL66" s="28"/>
      <c r="GM66" s="28"/>
      <c r="GN66" s="28"/>
      <c r="GO66" s="28"/>
      <c r="GP66" s="28"/>
      <c r="GQ66" s="28"/>
      <c r="GR66" s="28"/>
      <c r="GS66" s="28"/>
      <c r="GT66" s="28"/>
      <c r="GU66" s="28"/>
      <c r="GV66" s="28"/>
      <c r="GW66" s="28"/>
      <c r="GX66" s="28"/>
      <c r="GY66" s="28"/>
      <c r="GZ66" s="28"/>
      <c r="HA66" s="28"/>
      <c r="HB66" s="28"/>
      <c r="HC66" s="28"/>
      <c r="HD66" s="28"/>
      <c r="HE66" s="28"/>
      <c r="HF66" s="28"/>
      <c r="HG66" s="28"/>
      <c r="HH66" s="28"/>
      <c r="HI66" s="28"/>
      <c r="HJ66" s="28"/>
      <c r="HK66" s="28"/>
    </row>
    <row r="67" spans="1:219" ht="15" customHeight="1">
      <c r="A67" s="399">
        <v>1</v>
      </c>
      <c r="B67" s="400" t="str">
        <f>VLOOKUP(Ruimtestaat[[#This Row],[Code]],Locaties[[Code]:[Locatie]],2,FALSE)</f>
        <v>Jansstraat en Janskerk</v>
      </c>
      <c r="C67" s="400" t="str">
        <f>VLOOKUP(Ruimtestaat[[#This Row],[Code]],Locaties[[#All],[Code]:[Adres]],4,FALSE)</f>
        <v>Jansstraat 40</v>
      </c>
      <c r="D67" s="400" t="str">
        <f>VLOOKUP(Ruimtestaat[[#This Row],[Code]],Locaties[[#All],[Code]:[Postcode]],5,FALSE)</f>
        <v>2011 RX</v>
      </c>
      <c r="E67" s="400" t="str">
        <f>VLOOKUP(Ruimtestaat[[#This Row],[Code]],Locaties[#All],6,FALSE)</f>
        <v>Haarlem</v>
      </c>
      <c r="F67" s="399"/>
      <c r="G67" s="399" t="s">
        <v>1655</v>
      </c>
      <c r="H67" s="401">
        <v>25</v>
      </c>
      <c r="I67" s="402" t="s">
        <v>22</v>
      </c>
      <c r="J67" s="336">
        <v>5</v>
      </c>
      <c r="K67" s="414" t="str">
        <f>VLOOKUP(Ruimtestaat[[#This Row],[Ruimte code]],Ruimtegroepen[[#All],[Code]:[Ruimte omschrijving]],2,FALSE)</f>
        <v>Sanitair</v>
      </c>
      <c r="L67" s="399" t="s">
        <v>101</v>
      </c>
      <c r="M67" s="402" t="s">
        <v>1635</v>
      </c>
      <c r="N67" s="404">
        <v>3.5</v>
      </c>
      <c r="O67" s="413"/>
      <c r="P67" s="405" t="str">
        <f>VLOOKUP(Ruimtestaat[[#This Row],[Ruimte code]],Ruimtegroepen[],4,FALSE)</f>
        <v>Sa</v>
      </c>
      <c r="Q67" s="399">
        <v>51</v>
      </c>
      <c r="R67" s="399" t="s">
        <v>2</v>
      </c>
      <c r="S67" s="399">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7" s="399">
        <f>IF(S67&gt;0,VLOOKUP($J67,Ruimtegroepen[],3,FALSE)*VLOOKUP($L67,Vloersoorten[],3,FALSE)*VLOOKUP($R67,Frequenties[],3,FALSE)*VLOOKUP($A67,Locaties[],3,FALSE),0)</f>
        <v>0</v>
      </c>
      <c r="U67" s="399">
        <f>Ruimtestaat[[#This Row],[Uitvoeringen werkdagen]]*Ruimtestaat[[#This Row],[Oppervlak (netto)]]</f>
        <v>892.5</v>
      </c>
      <c r="V67" s="406">
        <f>IF(T67&gt;0,Ruimtestaat[[#This Row],[Prest. (m2 /jaar) werkdagen]]/Ruimtestaat[[#This Row],[Norm (m2/uur) werkdagen]],0)</f>
        <v>0</v>
      </c>
      <c r="W67" s="407">
        <f>Ruimtestaat[[#This Row],[uren / jaar werkdagen]]*Tariefsopbouw!$E$35</f>
        <v>0</v>
      </c>
      <c r="X67" s="399"/>
      <c r="Y67" s="399">
        <f>IF(Ruimtestaat[[#This Row],[Frequentie weekend]]&gt;0,VALUE(LEFT(X67,1))*Q67,0)</f>
        <v>0</v>
      </c>
      <c r="Z67" s="408">
        <f>IF($Y67&gt;0,VLOOKUP($J67,Ruimtegroepen[],3,FALSE)*VLOOKUP($L67,Vloersoorten[],3,FALSE)*VLOOKUP($X67,Frequenties[],3,FALSE)*VLOOKUP(Ruimtestaat[[#This Row],[Code]],Locaties[],3,FALSE),0)</f>
        <v>0</v>
      </c>
      <c r="AA67" s="408">
        <f>Ruimtestaat[[#This Row],[Uitvoeringen weekend]]*Ruimtestaat[[#This Row],[Oppervlak (netto)]]</f>
        <v>0</v>
      </c>
      <c r="AB67" s="408">
        <f>IF(Z67&gt;0,Ruimtestaat[[#This Row],[Prest. (m2 /jaar) weekend]]/Ruimtestaat[[#This Row],[Norm (m2/uur) weekend]],0)</f>
        <v>0</v>
      </c>
      <c r="AC67" s="407">
        <f>Ruimtestaat[[#This Row],[uren / jaar weekend]]*Tariefsopbouw!$D$40</f>
        <v>0</v>
      </c>
      <c r="AD67" s="406">
        <f>Ruimtestaat[[#This Row],[Prest. (m2 /jaar) weekend]]+Ruimtestaat[[#This Row],[Prest. (m2 /jaar) werkdagen]]</f>
        <v>892.5</v>
      </c>
      <c r="AE67" s="406">
        <f>Ruimtestaat[[#This Row],[uren / jaar weekend]]+Ruimtestaat[[#This Row],[uren / jaar werkdagen]]</f>
        <v>0</v>
      </c>
      <c r="AF67" s="409">
        <f>Ruimtestaat[[#This Row],[kosten / jaar weekend]]+Ruimtestaat[[#This Row],[kosten / jaar werkdagen]]</f>
        <v>0</v>
      </c>
      <c r="AG67" s="409"/>
      <c r="AH67" s="410" t="str">
        <f>IF(Ruimtestaat[[#This Row],[Frequentie werkdagen]]="","",_xlfn.CONCAT(Ruimtestaat[[#This Row],[Ruimte code]],"-",Ruimtestaat[[#This Row],[Frequentie werkdagen]]," ",Ruimtestaat[[#This Row],[Vloer code]]))</f>
        <v>5-5w S</v>
      </c>
      <c r="AI67" s="411" t="str">
        <f>_xlfn.IFNA(VLOOKUP($AH67,Programma!$F$3:$G$1101,2,0),"")</f>
        <v>_</v>
      </c>
      <c r="AJ67" s="411" t="str">
        <f>_xlfn.IFNA(VLOOKUP($AH67,Programma!$F$3:$H$1101,3,0),"")</f>
        <v>_</v>
      </c>
      <c r="AK67" s="411" t="str">
        <f>_xlfn.IFNA(VLOOKUP($AH67,Programma!$F$3:$I$1101,4,0),"")</f>
        <v>_</v>
      </c>
      <c r="AL67" s="411" t="str">
        <f>_xlfn.IFNA(VLOOKUP($AH67,Programma!$F$3:$J$1101,5,0),"")</f>
        <v>4w</v>
      </c>
      <c r="AM67" s="411" t="str">
        <f>_xlfn.IFNA(VLOOKUP($AH67,Programma!$F$3:$K$1101,6,0),"")</f>
        <v>1w</v>
      </c>
      <c r="AN67" s="411" t="str">
        <f>_xlfn.IFNA(VLOOKUP($AH67,Programma!$F$3:$L$1101,7,0),"")</f>
        <v>_</v>
      </c>
      <c r="AO67" s="411" t="str">
        <f>_xlfn.IFNA(VLOOKUP($AH67,Programma!$F$3:$M$1101,8,0),"")</f>
        <v>_</v>
      </c>
      <c r="AP67" s="411" t="str">
        <f>_xlfn.IFNA(VLOOKUP($AH67,Programma!$F$3:$N$1101,9,0),"")</f>
        <v>_</v>
      </c>
      <c r="AQ67" s="411" t="str">
        <f>_xlfn.IFNA(VLOOKUP($AH67,Programma!$F$3:$O$1101,10,0),"")</f>
        <v>_</v>
      </c>
      <c r="AR67" s="411" t="str">
        <f>_xlfn.IFNA(VLOOKUP($AH67,Programma!$F$3:$P$1101,11,0),"")</f>
        <v>_</v>
      </c>
      <c r="AS67" s="411" t="str">
        <f>_xlfn.IFNA(VLOOKUP($AH67,Programma!$F$3:$Q$1101,12,0),"")</f>
        <v>_</v>
      </c>
      <c r="AT67" s="411" t="str">
        <f>_xlfn.IFNA(VLOOKUP($AH67,Programma!$F$3:$R$1101,13,0),"")</f>
        <v>_</v>
      </c>
      <c r="AU67" s="411" t="str">
        <f>_xlfn.IFNA(VLOOKUP($AH67,Programma!$F$3:$S$1101,14,0),"")</f>
        <v>_</v>
      </c>
      <c r="AV67" s="411" t="str">
        <f>_xlfn.IFNA(VLOOKUP($AH67,Programma!$F$3:$T$1101,15,0),"")</f>
        <v>_</v>
      </c>
      <c r="AW67" s="411" t="str">
        <f>_xlfn.IFNA(VLOOKUP($AH67,Programma!$F$3:$U$1101,16,0),"")</f>
        <v>_</v>
      </c>
      <c r="AX67" s="411" t="str">
        <f>_xlfn.IFNA(VLOOKUP($AH67,Programma!$F$3:$V$1101,17,0),"")</f>
        <v>_</v>
      </c>
      <c r="AY67" s="411" t="str">
        <f>_xlfn.IFNA(VLOOKUP($AH67,Programma!$F$3:$W$1101,18,0),"")</f>
        <v>4w</v>
      </c>
      <c r="AZ67" s="411" t="str">
        <f>_xlfn.IFNA(VLOOKUP($AH67,Programma!$F$3:$X$1101,19,0),"")</f>
        <v>1w</v>
      </c>
      <c r="BA67" s="411" t="str">
        <f>_xlfn.IFNA(VLOOKUP($AH67,Programma!$F$3:$Y$1101,20,0),"")</f>
        <v>_</v>
      </c>
      <c r="BB67" s="412"/>
      <c r="BC67" s="410" t="str">
        <f>IF(Ruimtestaat[[#This Row],[Frequentie weekend]]="","",_xlfn.CONCAT(Ruimtestaat[[#This Row],[Ruimte code]],"-",Ruimtestaat[[#This Row],[Frequentie weekend]]," ",Ruimtestaat[[#This Row],[Vloer code]]))</f>
        <v/>
      </c>
      <c r="BD67" s="411" t="str">
        <f>_xlfn.IFNA(VLOOKUP($BC67,Programma!$F$3:$G$1101,2,0),"")</f>
        <v/>
      </c>
      <c r="BE67" s="411" t="str">
        <f>_xlfn.IFNA(VLOOKUP($BC67,Programma!$F$3:$H$1101,3,0),"")</f>
        <v/>
      </c>
      <c r="BF67" s="411" t="str">
        <f>_xlfn.IFNA(VLOOKUP($BC67,Programma!$F$3:$I$1101,4,0),"")</f>
        <v/>
      </c>
      <c r="BG67" s="411" t="str">
        <f>_xlfn.IFNA(VLOOKUP($BC67,Programma!$F$3:$J$1101,5,0),"")</f>
        <v/>
      </c>
      <c r="BH67" s="411" t="str">
        <f>_xlfn.IFNA(VLOOKUP($BC67,Programma!$F$3:$K$1101,6,0),"")</f>
        <v/>
      </c>
      <c r="BI67" s="411" t="str">
        <f>_xlfn.IFNA(VLOOKUP($BC67,Programma!$F$3:$L$1101,7,0),"")</f>
        <v/>
      </c>
      <c r="BJ67" s="411" t="str">
        <f>_xlfn.IFNA(VLOOKUP($BC67,Programma!$F$3:$M$1101,8,0),"")</f>
        <v/>
      </c>
      <c r="BK67" s="411" t="str">
        <f>_xlfn.IFNA(VLOOKUP($BC67,Programma!$F$3:$N$1101,9,0),"")</f>
        <v/>
      </c>
      <c r="BL67" s="411" t="str">
        <f>_xlfn.IFNA(VLOOKUP($BC67,Programma!$F$3:$O$1101,10,0),"")</f>
        <v/>
      </c>
      <c r="BM67" s="411" t="str">
        <f>_xlfn.IFNA(VLOOKUP($BC67,Programma!$F$3:$P$1101,11,0),"")</f>
        <v/>
      </c>
      <c r="BN67" s="411" t="str">
        <f>_xlfn.IFNA(VLOOKUP($BC67,Programma!$F$3:$Q$1101,12,0),"")</f>
        <v/>
      </c>
      <c r="BO67" s="411" t="str">
        <f>_xlfn.IFNA(VLOOKUP($BC67,Programma!$F$3:$R$1101,13,0),"")</f>
        <v/>
      </c>
      <c r="BP67" s="411" t="str">
        <f>_xlfn.IFNA(VLOOKUP($BC67,Programma!$F$3:$S$1101,14,0),"")</f>
        <v/>
      </c>
      <c r="BQ67" s="411" t="str">
        <f>_xlfn.IFNA(VLOOKUP($BC67,Programma!$F$3:$T$1101,15,0),"")</f>
        <v/>
      </c>
      <c r="BR67" s="411" t="str">
        <f>_xlfn.IFNA(VLOOKUP($BC67,Programma!$F$3:$U$1101,16,0),"")</f>
        <v/>
      </c>
      <c r="BS67" s="411" t="str">
        <f>_xlfn.IFNA(VLOOKUP($BC67,Programma!$F$3:$V$1101,17,0),"")</f>
        <v/>
      </c>
      <c r="BT67" s="411" t="str">
        <f>_xlfn.IFNA(VLOOKUP($BC67,Programma!$F$3:$W$1101,18,0),"")</f>
        <v/>
      </c>
      <c r="BU67" s="411" t="str">
        <f>_xlfn.IFNA(VLOOKUP($BC67,Programma!$F$3:$X$1101,19,0),"")</f>
        <v/>
      </c>
      <c r="BV67" s="411" t="str">
        <f>_xlfn.IFNA(VLOOKUP($BC67,Programma!$F$3:$Y$1101,20,0),"")</f>
        <v/>
      </c>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28"/>
      <c r="FH67" s="28"/>
      <c r="FI67" s="28"/>
      <c r="FJ67" s="28"/>
      <c r="FK67" s="28"/>
      <c r="FL67" s="28"/>
      <c r="FM67" s="28"/>
      <c r="FN67" s="28"/>
      <c r="FO67" s="28"/>
      <c r="FP67" s="28"/>
      <c r="FQ67" s="28"/>
      <c r="FR67" s="28"/>
      <c r="FS67" s="28"/>
      <c r="FT67" s="28"/>
      <c r="FU67" s="28"/>
      <c r="FV67" s="28"/>
      <c r="FW67" s="28"/>
      <c r="FX67" s="28"/>
      <c r="FY67" s="28"/>
      <c r="FZ67" s="28"/>
      <c r="GA67" s="28"/>
      <c r="GB67" s="28"/>
      <c r="GC67" s="28"/>
      <c r="GD67" s="28"/>
      <c r="GE67" s="28"/>
      <c r="GF67" s="28"/>
      <c r="GG67" s="28"/>
      <c r="GH67" s="28"/>
      <c r="GI67" s="28"/>
      <c r="GJ67" s="28"/>
      <c r="GK67" s="28"/>
      <c r="GL67" s="28"/>
      <c r="GM67" s="28"/>
      <c r="GN67" s="28"/>
      <c r="GO67" s="28"/>
      <c r="GP67" s="28"/>
      <c r="GQ67" s="28"/>
      <c r="GR67" s="28"/>
      <c r="GS67" s="28"/>
      <c r="GT67" s="28"/>
      <c r="GU67" s="28"/>
      <c r="GV67" s="28"/>
      <c r="GW67" s="28"/>
      <c r="GX67" s="28"/>
      <c r="GY67" s="28"/>
      <c r="GZ67" s="28"/>
      <c r="HA67" s="28"/>
      <c r="HB67" s="28"/>
      <c r="HC67" s="28"/>
      <c r="HD67" s="28"/>
      <c r="HE67" s="28"/>
      <c r="HF67" s="28"/>
      <c r="HG67" s="28"/>
      <c r="HH67" s="28"/>
      <c r="HI67" s="28"/>
      <c r="HJ67" s="28"/>
      <c r="HK67" s="28"/>
    </row>
    <row r="68" spans="1:219" ht="15" customHeight="1">
      <c r="A68" s="399">
        <v>1</v>
      </c>
      <c r="B68" s="400" t="str">
        <f>VLOOKUP(Ruimtestaat[[#This Row],[Code]],Locaties[[Code]:[Locatie]],2,FALSE)</f>
        <v>Jansstraat en Janskerk</v>
      </c>
      <c r="C68" s="400" t="str">
        <f>VLOOKUP(Ruimtestaat[[#This Row],[Code]],Locaties[[#All],[Code]:[Adres]],4,FALSE)</f>
        <v>Jansstraat 40</v>
      </c>
      <c r="D68" s="400" t="str">
        <f>VLOOKUP(Ruimtestaat[[#This Row],[Code]],Locaties[[#All],[Code]:[Postcode]],5,FALSE)</f>
        <v>2011 RX</v>
      </c>
      <c r="E68" s="400" t="str">
        <f>VLOOKUP(Ruimtestaat[[#This Row],[Code]],Locaties[#All],6,FALSE)</f>
        <v>Haarlem</v>
      </c>
      <c r="F68" s="399"/>
      <c r="G68" s="399" t="s">
        <v>1655</v>
      </c>
      <c r="H68" s="401">
        <v>26</v>
      </c>
      <c r="I68" s="402" t="s">
        <v>1631</v>
      </c>
      <c r="J68" s="336">
        <v>6</v>
      </c>
      <c r="K68" s="414" t="str">
        <f>VLOOKUP(Ruimtestaat[[#This Row],[Ruimte code]],Ruimtegroepen[[#All],[Code]:[Ruimte omschrijving]],2,FALSE)</f>
        <v>Gangen/hallen</v>
      </c>
      <c r="L68" s="399" t="s">
        <v>100</v>
      </c>
      <c r="M68" s="402" t="s">
        <v>1647</v>
      </c>
      <c r="N68" s="404">
        <v>4.4000000000000004</v>
      </c>
      <c r="O68" s="413"/>
      <c r="P68" s="405" t="str">
        <f>VLOOKUP(Ruimtestaat[[#This Row],[Ruimte code]],Ruimtegroepen[],4,FALSE)</f>
        <v>Ve</v>
      </c>
      <c r="Q68" s="399">
        <v>51</v>
      </c>
      <c r="R68" s="399" t="s">
        <v>2</v>
      </c>
      <c r="S68" s="399">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8" s="399">
        <f>IF(S68&gt;0,VLOOKUP($J68,Ruimtegroepen[],3,FALSE)*VLOOKUP($L68,Vloersoorten[],3,FALSE)*VLOOKUP($R68,Frequenties[],3,FALSE)*VLOOKUP($A68,Locaties[],3,FALSE),0)</f>
        <v>0</v>
      </c>
      <c r="U68" s="399">
        <f>Ruimtestaat[[#This Row],[Uitvoeringen werkdagen]]*Ruimtestaat[[#This Row],[Oppervlak (netto)]]</f>
        <v>1122</v>
      </c>
      <c r="V68" s="406">
        <f>IF(T68&gt;0,Ruimtestaat[[#This Row],[Prest. (m2 /jaar) werkdagen]]/Ruimtestaat[[#This Row],[Norm (m2/uur) werkdagen]],0)</f>
        <v>0</v>
      </c>
      <c r="W68" s="407">
        <f>Ruimtestaat[[#This Row],[uren / jaar werkdagen]]*Tariefsopbouw!$E$35</f>
        <v>0</v>
      </c>
      <c r="X68" s="399"/>
      <c r="Y68" s="399">
        <f>IF(Ruimtestaat[[#This Row],[Frequentie weekend]]&gt;0,VALUE(LEFT(X68,1))*Q68,0)</f>
        <v>0</v>
      </c>
      <c r="Z68" s="408">
        <f>IF($Y68&gt;0,VLOOKUP($J68,Ruimtegroepen[],3,FALSE)*VLOOKUP($L68,Vloersoorten[],3,FALSE)*VLOOKUP($X68,Frequenties[],3,FALSE)*VLOOKUP(Ruimtestaat[[#This Row],[Code]],Locaties[],3,FALSE),0)</f>
        <v>0</v>
      </c>
      <c r="AA68" s="408">
        <f>Ruimtestaat[[#This Row],[Uitvoeringen weekend]]*Ruimtestaat[[#This Row],[Oppervlak (netto)]]</f>
        <v>0</v>
      </c>
      <c r="AB68" s="408">
        <f>IF(Z68&gt;0,Ruimtestaat[[#This Row],[Prest. (m2 /jaar) weekend]]/Ruimtestaat[[#This Row],[Norm (m2/uur) weekend]],0)</f>
        <v>0</v>
      </c>
      <c r="AC68" s="407">
        <f>Ruimtestaat[[#This Row],[uren / jaar weekend]]*Tariefsopbouw!$D$40</f>
        <v>0</v>
      </c>
      <c r="AD68" s="406">
        <f>Ruimtestaat[[#This Row],[Prest. (m2 /jaar) weekend]]+Ruimtestaat[[#This Row],[Prest. (m2 /jaar) werkdagen]]</f>
        <v>1122</v>
      </c>
      <c r="AE68" s="406">
        <f>Ruimtestaat[[#This Row],[uren / jaar weekend]]+Ruimtestaat[[#This Row],[uren / jaar werkdagen]]</f>
        <v>0</v>
      </c>
      <c r="AF68" s="409">
        <f>Ruimtestaat[[#This Row],[kosten / jaar weekend]]+Ruimtestaat[[#This Row],[kosten / jaar werkdagen]]</f>
        <v>0</v>
      </c>
      <c r="AG68" s="409"/>
      <c r="AH68" s="410" t="str">
        <f>IF(Ruimtestaat[[#This Row],[Frequentie werkdagen]]="","",_xlfn.CONCAT(Ruimtestaat[[#This Row],[Ruimte code]],"-",Ruimtestaat[[#This Row],[Frequentie werkdagen]]," ",Ruimtestaat[[#This Row],[Vloer code]]))</f>
        <v>6-5w L</v>
      </c>
      <c r="AI68" s="411" t="str">
        <f>_xlfn.IFNA(VLOOKUP($AH68,Programma!$F$3:$G$1101,2,0),"")</f>
        <v>_</v>
      </c>
      <c r="AJ68" s="411" t="str">
        <f>_xlfn.IFNA(VLOOKUP($AH68,Programma!$F$3:$H$1101,3,0),"")</f>
        <v>_</v>
      </c>
      <c r="AK68" s="411" t="str">
        <f>_xlfn.IFNA(VLOOKUP($AH68,Programma!$F$3:$I$1101,4,0),"")</f>
        <v>_</v>
      </c>
      <c r="AL68" s="411" t="str">
        <f>_xlfn.IFNA(VLOOKUP($AH68,Programma!$F$3:$J$1101,5,0),"")</f>
        <v>5w</v>
      </c>
      <c r="AM68" s="411" t="str">
        <f>_xlfn.IFNA(VLOOKUP($AH68,Programma!$F$3:$K$1101,6,0),"")</f>
        <v>_</v>
      </c>
      <c r="AN68" s="411" t="str">
        <f>_xlfn.IFNA(VLOOKUP($AH68,Programma!$F$3:$L$1101,7,0),"")</f>
        <v>_</v>
      </c>
      <c r="AO68" s="411" t="str">
        <f>_xlfn.IFNA(VLOOKUP($AH68,Programma!$F$3:$M$1101,8,0),"")</f>
        <v>_</v>
      </c>
      <c r="AP68" s="411" t="str">
        <f>_xlfn.IFNA(VLOOKUP($AH68,Programma!$F$3:$N$1101,9,0),"")</f>
        <v>_</v>
      </c>
      <c r="AQ68" s="411" t="str">
        <f>_xlfn.IFNA(VLOOKUP($AH68,Programma!$F$3:$O$1101,10,0),"")</f>
        <v>5w</v>
      </c>
      <c r="AR68" s="411" t="str">
        <f>_xlfn.IFNA(VLOOKUP($AH68,Programma!$F$3:$P$1101,11,0),"")</f>
        <v>5w</v>
      </c>
      <c r="AS68" s="411" t="str">
        <f>_xlfn.IFNA(VLOOKUP($AH68,Programma!$F$3:$Q$1101,12,0),"")</f>
        <v>1w</v>
      </c>
      <c r="AT68" s="411" t="str">
        <f>_xlfn.IFNA(VLOOKUP($AH68,Programma!$F$3:$R$1101,13,0),"")</f>
        <v>1w</v>
      </c>
      <c r="AU68" s="411" t="str">
        <f>_xlfn.IFNA(VLOOKUP($AH68,Programma!$F$3:$S$1101,14,0),"")</f>
        <v>1m</v>
      </c>
      <c r="AV68" s="411" t="str">
        <f>_xlfn.IFNA(VLOOKUP($AH68,Programma!$F$3:$T$1101,15,0),"")</f>
        <v>2j</v>
      </c>
      <c r="AW68" s="411" t="str">
        <f>_xlfn.IFNA(VLOOKUP($AH68,Programma!$F$3:$U$1101,16,0),"")</f>
        <v>1j</v>
      </c>
      <c r="AX68" s="411" t="str">
        <f>_xlfn.IFNA(VLOOKUP($AH68,Programma!$F$3:$V$1101,17,0),"")</f>
        <v>_</v>
      </c>
      <c r="AY68" s="411" t="str">
        <f>_xlfn.IFNA(VLOOKUP($AH68,Programma!$F$3:$W$1101,18,0),"")</f>
        <v>_</v>
      </c>
      <c r="AZ68" s="411" t="str">
        <f>_xlfn.IFNA(VLOOKUP($AH68,Programma!$F$3:$X$1101,19,0),"")</f>
        <v>_</v>
      </c>
      <c r="BA68" s="411" t="str">
        <f>_xlfn.IFNA(VLOOKUP($AH68,Programma!$F$3:$Y$1101,20,0),"")</f>
        <v>_</v>
      </c>
      <c r="BB68" s="412"/>
      <c r="BC68" s="410" t="str">
        <f>IF(Ruimtestaat[[#This Row],[Frequentie weekend]]="","",_xlfn.CONCAT(Ruimtestaat[[#This Row],[Ruimte code]],"-",Ruimtestaat[[#This Row],[Frequentie weekend]]," ",Ruimtestaat[[#This Row],[Vloer code]]))</f>
        <v/>
      </c>
      <c r="BD68" s="411" t="str">
        <f>_xlfn.IFNA(VLOOKUP($BC68,Programma!$F$3:$G$1101,2,0),"")</f>
        <v/>
      </c>
      <c r="BE68" s="411" t="str">
        <f>_xlfn.IFNA(VLOOKUP($BC68,Programma!$F$3:$H$1101,3,0),"")</f>
        <v/>
      </c>
      <c r="BF68" s="411" t="str">
        <f>_xlfn.IFNA(VLOOKUP($BC68,Programma!$F$3:$I$1101,4,0),"")</f>
        <v/>
      </c>
      <c r="BG68" s="411" t="str">
        <f>_xlfn.IFNA(VLOOKUP($BC68,Programma!$F$3:$J$1101,5,0),"")</f>
        <v/>
      </c>
      <c r="BH68" s="411" t="str">
        <f>_xlfn.IFNA(VLOOKUP($BC68,Programma!$F$3:$K$1101,6,0),"")</f>
        <v/>
      </c>
      <c r="BI68" s="411" t="str">
        <f>_xlfn.IFNA(VLOOKUP($BC68,Programma!$F$3:$L$1101,7,0),"")</f>
        <v/>
      </c>
      <c r="BJ68" s="411" t="str">
        <f>_xlfn.IFNA(VLOOKUP($BC68,Programma!$F$3:$M$1101,8,0),"")</f>
        <v/>
      </c>
      <c r="BK68" s="411" t="str">
        <f>_xlfn.IFNA(VLOOKUP($BC68,Programma!$F$3:$N$1101,9,0),"")</f>
        <v/>
      </c>
      <c r="BL68" s="411" t="str">
        <f>_xlfn.IFNA(VLOOKUP($BC68,Programma!$F$3:$O$1101,10,0),"")</f>
        <v/>
      </c>
      <c r="BM68" s="411" t="str">
        <f>_xlfn.IFNA(VLOOKUP($BC68,Programma!$F$3:$P$1101,11,0),"")</f>
        <v/>
      </c>
      <c r="BN68" s="411" t="str">
        <f>_xlfn.IFNA(VLOOKUP($BC68,Programma!$F$3:$Q$1101,12,0),"")</f>
        <v/>
      </c>
      <c r="BO68" s="411" t="str">
        <f>_xlfn.IFNA(VLOOKUP($BC68,Programma!$F$3:$R$1101,13,0),"")</f>
        <v/>
      </c>
      <c r="BP68" s="411" t="str">
        <f>_xlfn.IFNA(VLOOKUP($BC68,Programma!$F$3:$S$1101,14,0),"")</f>
        <v/>
      </c>
      <c r="BQ68" s="411" t="str">
        <f>_xlfn.IFNA(VLOOKUP($BC68,Programma!$F$3:$T$1101,15,0),"")</f>
        <v/>
      </c>
      <c r="BR68" s="411" t="str">
        <f>_xlfn.IFNA(VLOOKUP($BC68,Programma!$F$3:$U$1101,16,0),"")</f>
        <v/>
      </c>
      <c r="BS68" s="411" t="str">
        <f>_xlfn.IFNA(VLOOKUP($BC68,Programma!$F$3:$V$1101,17,0),"")</f>
        <v/>
      </c>
      <c r="BT68" s="411" t="str">
        <f>_xlfn.IFNA(VLOOKUP($BC68,Programma!$F$3:$W$1101,18,0),"")</f>
        <v/>
      </c>
      <c r="BU68" s="411" t="str">
        <f>_xlfn.IFNA(VLOOKUP($BC68,Programma!$F$3:$X$1101,19,0),"")</f>
        <v/>
      </c>
      <c r="BV68" s="411" t="str">
        <f>_xlfn.IFNA(VLOOKUP($BC68,Programma!$F$3:$Y$1101,20,0),"")</f>
        <v/>
      </c>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c r="EV68" s="28"/>
      <c r="EW68" s="28"/>
      <c r="EX68" s="28"/>
      <c r="EY68" s="28"/>
      <c r="EZ68" s="28"/>
      <c r="FA68" s="28"/>
      <c r="FB68" s="28"/>
      <c r="FC68" s="28"/>
      <c r="FD68" s="28"/>
      <c r="FE68" s="28"/>
      <c r="FF68" s="28"/>
      <c r="FG68" s="28"/>
      <c r="FH68" s="28"/>
      <c r="FI68" s="28"/>
      <c r="FJ68" s="28"/>
      <c r="FK68" s="28"/>
      <c r="FL68" s="28"/>
      <c r="FM68" s="28"/>
      <c r="FN68" s="28"/>
      <c r="FO68" s="28"/>
      <c r="FP68" s="28"/>
      <c r="FQ68" s="28"/>
      <c r="FR68" s="28"/>
      <c r="FS68" s="28"/>
      <c r="FT68" s="28"/>
      <c r="FU68" s="28"/>
      <c r="FV68" s="28"/>
      <c r="FW68" s="28"/>
      <c r="FX68" s="28"/>
      <c r="FY68" s="28"/>
      <c r="FZ68" s="28"/>
      <c r="GA68" s="28"/>
      <c r="GB68" s="28"/>
      <c r="GC68" s="28"/>
      <c r="GD68" s="28"/>
      <c r="GE68" s="28"/>
      <c r="GF68" s="28"/>
      <c r="GG68" s="28"/>
      <c r="GH68" s="28"/>
      <c r="GI68" s="28"/>
      <c r="GJ68" s="28"/>
      <c r="GK68" s="28"/>
      <c r="GL68" s="28"/>
      <c r="GM68" s="28"/>
      <c r="GN68" s="28"/>
      <c r="GO68" s="28"/>
      <c r="GP68" s="28"/>
      <c r="GQ68" s="28"/>
      <c r="GR68" s="28"/>
      <c r="GS68" s="28"/>
      <c r="GT68" s="28"/>
      <c r="GU68" s="28"/>
      <c r="GV68" s="28"/>
      <c r="GW68" s="28"/>
      <c r="GX68" s="28"/>
      <c r="GY68" s="28"/>
      <c r="GZ68" s="28"/>
      <c r="HA68" s="28"/>
      <c r="HB68" s="28"/>
      <c r="HC68" s="28"/>
      <c r="HD68" s="28"/>
      <c r="HE68" s="28"/>
      <c r="HF68" s="28"/>
      <c r="HG68" s="28"/>
      <c r="HH68" s="28"/>
      <c r="HI68" s="28"/>
      <c r="HJ68" s="28"/>
      <c r="HK68" s="28"/>
    </row>
    <row r="69" spans="1:219" ht="15" customHeight="1">
      <c r="A69" s="399">
        <v>1</v>
      </c>
      <c r="B69" s="400" t="str">
        <f>VLOOKUP(Ruimtestaat[[#This Row],[Code]],Locaties[[Code]:[Locatie]],2,FALSE)</f>
        <v>Jansstraat en Janskerk</v>
      </c>
      <c r="C69" s="400" t="str">
        <f>VLOOKUP(Ruimtestaat[[#This Row],[Code]],Locaties[[#All],[Code]:[Adres]],4,FALSE)</f>
        <v>Jansstraat 40</v>
      </c>
      <c r="D69" s="400" t="str">
        <f>VLOOKUP(Ruimtestaat[[#This Row],[Code]],Locaties[[#All],[Code]:[Postcode]],5,FALSE)</f>
        <v>2011 RX</v>
      </c>
      <c r="E69" s="400" t="str">
        <f>VLOOKUP(Ruimtestaat[[#This Row],[Code]],Locaties[#All],6,FALSE)</f>
        <v>Haarlem</v>
      </c>
      <c r="F69" s="399" t="s">
        <v>1668</v>
      </c>
      <c r="G69" s="399"/>
      <c r="H69" s="401"/>
      <c r="I69" s="402" t="s">
        <v>1642</v>
      </c>
      <c r="J69" s="336">
        <v>6</v>
      </c>
      <c r="K69" s="414" t="str">
        <f>VLOOKUP(Ruimtestaat[[#This Row],[Ruimte code]],Ruimtegroepen[[#All],[Code]:[Ruimte omschrijving]],2,FALSE)</f>
        <v>Gangen/hallen</v>
      </c>
      <c r="L69" s="399" t="s">
        <v>101</v>
      </c>
      <c r="M69" s="402" t="s">
        <v>1661</v>
      </c>
      <c r="N69" s="404">
        <v>4</v>
      </c>
      <c r="O69" s="413"/>
      <c r="P69" s="405" t="str">
        <f>VLOOKUP(Ruimtestaat[[#This Row],[Ruimte code]],Ruimtegroepen[],4,FALSE)</f>
        <v>Ve</v>
      </c>
      <c r="Q69" s="399">
        <v>51</v>
      </c>
      <c r="R69" s="399" t="s">
        <v>15</v>
      </c>
      <c r="S69" s="399">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69" s="399">
        <f>IF(S69&gt;0,VLOOKUP($J69,Ruimtegroepen[],3,FALSE)*VLOOKUP($L69,Vloersoorten[],3,FALSE)*VLOOKUP($R69,Frequenties[],3,FALSE)*VLOOKUP($A69,Locaties[],3,FALSE),0)</f>
        <v>0</v>
      </c>
      <c r="U69" s="399">
        <f>Ruimtestaat[[#This Row],[Uitvoeringen werkdagen]]*Ruimtestaat[[#This Row],[Oppervlak (netto)]]</f>
        <v>204</v>
      </c>
      <c r="V69" s="406">
        <f>IF(T69&gt;0,Ruimtestaat[[#This Row],[Prest. (m2 /jaar) werkdagen]]/Ruimtestaat[[#This Row],[Norm (m2/uur) werkdagen]],0)</f>
        <v>0</v>
      </c>
      <c r="W69" s="407">
        <f>Ruimtestaat[[#This Row],[uren / jaar werkdagen]]*Tariefsopbouw!$E$35</f>
        <v>0</v>
      </c>
      <c r="X69" s="399"/>
      <c r="Y69" s="399">
        <f>IF(Ruimtestaat[[#This Row],[Frequentie weekend]]&gt;0,VALUE(LEFT(X69,1))*Q69,0)</f>
        <v>0</v>
      </c>
      <c r="Z69" s="408">
        <f>IF($Y69&gt;0,VLOOKUP($J69,Ruimtegroepen[],3,FALSE)*VLOOKUP($L69,Vloersoorten[],3,FALSE)*VLOOKUP($X69,Frequenties[],3,FALSE)*VLOOKUP(Ruimtestaat[[#This Row],[Code]],Locaties[],3,FALSE),0)</f>
        <v>0</v>
      </c>
      <c r="AA69" s="408">
        <f>Ruimtestaat[[#This Row],[Uitvoeringen weekend]]*Ruimtestaat[[#This Row],[Oppervlak (netto)]]</f>
        <v>0</v>
      </c>
      <c r="AB69" s="408">
        <f>IF(Z69&gt;0,Ruimtestaat[[#This Row],[Prest. (m2 /jaar) weekend]]/Ruimtestaat[[#This Row],[Norm (m2/uur) weekend]],0)</f>
        <v>0</v>
      </c>
      <c r="AC69" s="407">
        <f>Ruimtestaat[[#This Row],[uren / jaar weekend]]*Tariefsopbouw!$D$40</f>
        <v>0</v>
      </c>
      <c r="AD69" s="406">
        <f>Ruimtestaat[[#This Row],[Prest. (m2 /jaar) weekend]]+Ruimtestaat[[#This Row],[Prest. (m2 /jaar) werkdagen]]</f>
        <v>204</v>
      </c>
      <c r="AE69" s="406">
        <f>Ruimtestaat[[#This Row],[uren / jaar weekend]]+Ruimtestaat[[#This Row],[uren / jaar werkdagen]]</f>
        <v>0</v>
      </c>
      <c r="AF69" s="409">
        <f>Ruimtestaat[[#This Row],[kosten / jaar weekend]]+Ruimtestaat[[#This Row],[kosten / jaar werkdagen]]</f>
        <v>0</v>
      </c>
      <c r="AG69" s="409"/>
      <c r="AH69" s="410" t="str">
        <f>IF(Ruimtestaat[[#This Row],[Frequentie werkdagen]]="","",_xlfn.CONCAT(Ruimtestaat[[#This Row],[Ruimte code]],"-",Ruimtestaat[[#This Row],[Frequentie werkdagen]]," ",Ruimtestaat[[#This Row],[Vloer code]]))</f>
        <v>6-1w S</v>
      </c>
      <c r="AI69" s="411" t="str">
        <f>_xlfn.IFNA(VLOOKUP($AH69,Programma!$F$3:$G$1101,2,0),"")</f>
        <v>_</v>
      </c>
      <c r="AJ69" s="411" t="str">
        <f>_xlfn.IFNA(VLOOKUP($AH69,Programma!$F$3:$H$1101,3,0),"")</f>
        <v>_</v>
      </c>
      <c r="AK69" s="411" t="str">
        <f>_xlfn.IFNA(VLOOKUP($AH69,Programma!$F$3:$I$1101,4,0),"")</f>
        <v>1w</v>
      </c>
      <c r="AL69" s="411" t="str">
        <f>_xlfn.IFNA(VLOOKUP($AH69,Programma!$F$3:$J$1101,5,0),"")</f>
        <v>_</v>
      </c>
      <c r="AM69" s="411" t="str">
        <f>_xlfn.IFNA(VLOOKUP($AH69,Programma!$F$3:$K$1101,6,0),"")</f>
        <v>1w</v>
      </c>
      <c r="AN69" s="411" t="str">
        <f>_xlfn.IFNA(VLOOKUP($AH69,Programma!$F$3:$L$1101,7,0),"")</f>
        <v>_</v>
      </c>
      <c r="AO69" s="411" t="str">
        <f>_xlfn.IFNA(VLOOKUP($AH69,Programma!$F$3:$M$1101,8,0),"")</f>
        <v>_</v>
      </c>
      <c r="AP69" s="411" t="str">
        <f>_xlfn.IFNA(VLOOKUP($AH69,Programma!$F$3:$N$1101,9,0),"")</f>
        <v>_</v>
      </c>
      <c r="AQ69" s="411" t="str">
        <f>_xlfn.IFNA(VLOOKUP($AH69,Programma!$F$3:$O$1101,10,0),"")</f>
        <v>1w</v>
      </c>
      <c r="AR69" s="411" t="str">
        <f>_xlfn.IFNA(VLOOKUP($AH69,Programma!$F$3:$P$1101,11,0),"")</f>
        <v>1w</v>
      </c>
      <c r="AS69" s="411" t="str">
        <f>_xlfn.IFNA(VLOOKUP($AH69,Programma!$F$3:$Q$1101,12,0),"")</f>
        <v>1w</v>
      </c>
      <c r="AT69" s="411" t="str">
        <f>_xlfn.IFNA(VLOOKUP($AH69,Programma!$F$3:$R$1101,13,0),"")</f>
        <v>1w</v>
      </c>
      <c r="AU69" s="411" t="str">
        <f>_xlfn.IFNA(VLOOKUP($AH69,Programma!$F$3:$S$1101,14,0),"")</f>
        <v>1m</v>
      </c>
      <c r="AV69" s="411" t="str">
        <f>_xlfn.IFNA(VLOOKUP($AH69,Programma!$F$3:$T$1101,15,0),"")</f>
        <v>2j</v>
      </c>
      <c r="AW69" s="411" t="str">
        <f>_xlfn.IFNA(VLOOKUP($AH69,Programma!$F$3:$U$1101,16,0),"")</f>
        <v>1j</v>
      </c>
      <c r="AX69" s="411" t="str">
        <f>_xlfn.IFNA(VLOOKUP($AH69,Programma!$F$3:$V$1101,17,0),"")</f>
        <v>_</v>
      </c>
      <c r="AY69" s="411" t="str">
        <f>_xlfn.IFNA(VLOOKUP($AH69,Programma!$F$3:$W$1101,18,0),"")</f>
        <v>_</v>
      </c>
      <c r="AZ69" s="411" t="str">
        <f>_xlfn.IFNA(VLOOKUP($AH69,Programma!$F$3:$X$1101,19,0),"")</f>
        <v>_</v>
      </c>
      <c r="BA69" s="411" t="str">
        <f>_xlfn.IFNA(VLOOKUP($AH69,Programma!$F$3:$Y$1101,20,0),"")</f>
        <v>_</v>
      </c>
      <c r="BB69" s="412"/>
      <c r="BC69" s="410" t="str">
        <f>IF(Ruimtestaat[[#This Row],[Frequentie weekend]]="","",_xlfn.CONCAT(Ruimtestaat[[#This Row],[Ruimte code]],"-",Ruimtestaat[[#This Row],[Frequentie weekend]]," ",Ruimtestaat[[#This Row],[Vloer code]]))</f>
        <v/>
      </c>
      <c r="BD69" s="411" t="str">
        <f>_xlfn.IFNA(VLOOKUP($BC69,Programma!$F$3:$G$1101,2,0),"")</f>
        <v/>
      </c>
      <c r="BE69" s="411" t="str">
        <f>_xlfn.IFNA(VLOOKUP($BC69,Programma!$F$3:$H$1101,3,0),"")</f>
        <v/>
      </c>
      <c r="BF69" s="411" t="str">
        <f>_xlfn.IFNA(VLOOKUP($BC69,Programma!$F$3:$I$1101,4,0),"")</f>
        <v/>
      </c>
      <c r="BG69" s="411" t="str">
        <f>_xlfn.IFNA(VLOOKUP($BC69,Programma!$F$3:$J$1101,5,0),"")</f>
        <v/>
      </c>
      <c r="BH69" s="411" t="str">
        <f>_xlfn.IFNA(VLOOKUP($BC69,Programma!$F$3:$K$1101,6,0),"")</f>
        <v/>
      </c>
      <c r="BI69" s="411" t="str">
        <f>_xlfn.IFNA(VLOOKUP($BC69,Programma!$F$3:$L$1101,7,0),"")</f>
        <v/>
      </c>
      <c r="BJ69" s="411" t="str">
        <f>_xlfn.IFNA(VLOOKUP($BC69,Programma!$F$3:$M$1101,8,0),"")</f>
        <v/>
      </c>
      <c r="BK69" s="411" t="str">
        <f>_xlfn.IFNA(VLOOKUP($BC69,Programma!$F$3:$N$1101,9,0),"")</f>
        <v/>
      </c>
      <c r="BL69" s="411" t="str">
        <f>_xlfn.IFNA(VLOOKUP($BC69,Programma!$F$3:$O$1101,10,0),"")</f>
        <v/>
      </c>
      <c r="BM69" s="411" t="str">
        <f>_xlfn.IFNA(VLOOKUP($BC69,Programma!$F$3:$P$1101,11,0),"")</f>
        <v/>
      </c>
      <c r="BN69" s="411" t="str">
        <f>_xlfn.IFNA(VLOOKUP($BC69,Programma!$F$3:$Q$1101,12,0),"")</f>
        <v/>
      </c>
      <c r="BO69" s="411" t="str">
        <f>_xlfn.IFNA(VLOOKUP($BC69,Programma!$F$3:$R$1101,13,0),"")</f>
        <v/>
      </c>
      <c r="BP69" s="411" t="str">
        <f>_xlfn.IFNA(VLOOKUP($BC69,Programma!$F$3:$S$1101,14,0),"")</f>
        <v/>
      </c>
      <c r="BQ69" s="411" t="str">
        <f>_xlfn.IFNA(VLOOKUP($BC69,Programma!$F$3:$T$1101,15,0),"")</f>
        <v/>
      </c>
      <c r="BR69" s="411" t="str">
        <f>_xlfn.IFNA(VLOOKUP($BC69,Programma!$F$3:$U$1101,16,0),"")</f>
        <v/>
      </c>
      <c r="BS69" s="411" t="str">
        <f>_xlfn.IFNA(VLOOKUP($BC69,Programma!$F$3:$V$1101,17,0),"")</f>
        <v/>
      </c>
      <c r="BT69" s="411" t="str">
        <f>_xlfn.IFNA(VLOOKUP($BC69,Programma!$F$3:$W$1101,18,0),"")</f>
        <v/>
      </c>
      <c r="BU69" s="411" t="str">
        <f>_xlfn.IFNA(VLOOKUP($BC69,Programma!$F$3:$X$1101,19,0),"")</f>
        <v/>
      </c>
      <c r="BV69" s="411" t="str">
        <f>_xlfn.IFNA(VLOOKUP($BC69,Programma!$F$3:$Y$1101,20,0),"")</f>
        <v/>
      </c>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c r="ET69" s="28"/>
      <c r="EU69" s="28"/>
      <c r="EV69" s="28"/>
      <c r="EW69" s="28"/>
      <c r="EX69" s="28"/>
      <c r="EY69" s="28"/>
      <c r="EZ69" s="28"/>
      <c r="FA69" s="28"/>
      <c r="FB69" s="28"/>
      <c r="FC69" s="28"/>
      <c r="FD69" s="28"/>
      <c r="FE69" s="28"/>
      <c r="FF69" s="28"/>
      <c r="FG69" s="28"/>
      <c r="FH69" s="28"/>
      <c r="FI69" s="28"/>
      <c r="FJ69" s="28"/>
      <c r="FK69" s="28"/>
      <c r="FL69" s="28"/>
      <c r="FM69" s="28"/>
      <c r="FN69" s="28"/>
      <c r="FO69" s="28"/>
      <c r="FP69" s="28"/>
      <c r="FQ69" s="28"/>
      <c r="FR69" s="28"/>
      <c r="FS69" s="28"/>
      <c r="FT69" s="28"/>
      <c r="FU69" s="28"/>
      <c r="FV69" s="28"/>
      <c r="FW69" s="28"/>
      <c r="FX69" s="28"/>
      <c r="FY69" s="28"/>
      <c r="FZ69" s="28"/>
      <c r="GA69" s="28"/>
      <c r="GB69" s="28"/>
      <c r="GC69" s="28"/>
      <c r="GD69" s="28"/>
      <c r="GE69" s="28"/>
      <c r="GF69" s="28"/>
      <c r="GG69" s="28"/>
      <c r="GH69" s="28"/>
      <c r="GI69" s="28"/>
      <c r="GJ69" s="28"/>
      <c r="GK69" s="28"/>
      <c r="GL69" s="28"/>
      <c r="GM69" s="28"/>
      <c r="GN69" s="28"/>
      <c r="GO69" s="28"/>
      <c r="GP69" s="28"/>
      <c r="GQ69" s="28"/>
      <c r="GR69" s="28"/>
      <c r="GS69" s="28"/>
      <c r="GT69" s="28"/>
      <c r="GU69" s="28"/>
      <c r="GV69" s="28"/>
      <c r="GW69" s="28"/>
      <c r="GX69" s="28"/>
      <c r="GY69" s="28"/>
      <c r="GZ69" s="28"/>
      <c r="HA69" s="28"/>
      <c r="HB69" s="28"/>
      <c r="HC69" s="28"/>
      <c r="HD69" s="28"/>
      <c r="HE69" s="28"/>
      <c r="HF69" s="28"/>
      <c r="HG69" s="28"/>
      <c r="HH69" s="28"/>
      <c r="HI69" s="28"/>
      <c r="HJ69" s="28"/>
      <c r="HK69" s="28"/>
    </row>
    <row r="70" spans="1:219" ht="15" customHeight="1">
      <c r="A70" s="399">
        <v>1</v>
      </c>
      <c r="B70" s="400" t="str">
        <f>VLOOKUP(Ruimtestaat[[#This Row],[Code]],Locaties[[Code]:[Locatie]],2,FALSE)</f>
        <v>Jansstraat en Janskerk</v>
      </c>
      <c r="C70" s="400" t="str">
        <f>VLOOKUP(Ruimtestaat[[#This Row],[Code]],Locaties[[#All],[Code]:[Adres]],4,FALSE)</f>
        <v>Jansstraat 40</v>
      </c>
      <c r="D70" s="400" t="str">
        <f>VLOOKUP(Ruimtestaat[[#This Row],[Code]],Locaties[[#All],[Code]:[Postcode]],5,FALSE)</f>
        <v>2011 RX</v>
      </c>
      <c r="E70" s="400" t="str">
        <f>VLOOKUP(Ruimtestaat[[#This Row],[Code]],Locaties[#All],6,FALSE)</f>
        <v>Haarlem</v>
      </c>
      <c r="F70" s="399" t="s">
        <v>1668</v>
      </c>
      <c r="G70" s="399"/>
      <c r="H70" s="401"/>
      <c r="I70" s="402" t="s">
        <v>1652</v>
      </c>
      <c r="J70" s="336">
        <v>10</v>
      </c>
      <c r="K70" s="414" t="str">
        <f>VLOOKUP(Ruimtestaat[[#This Row],[Ruimte code]],Ruimtegroepen[[#All],[Code]:[Ruimte omschrijving]],2,FALSE)</f>
        <v>Trappenhuizen/lift</v>
      </c>
      <c r="L70" s="399" t="s">
        <v>101</v>
      </c>
      <c r="M70" s="402" t="s">
        <v>1684</v>
      </c>
      <c r="N70" s="404">
        <v>1</v>
      </c>
      <c r="O70" s="413"/>
      <c r="P70" s="405" t="str">
        <f>VLOOKUP(Ruimtestaat[[#This Row],[Ruimte code]],Ruimtegroepen[],4,FALSE)</f>
        <v>Ve</v>
      </c>
      <c r="Q70" s="399">
        <v>51</v>
      </c>
      <c r="R70" s="399" t="s">
        <v>15</v>
      </c>
      <c r="S70" s="399">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70" s="399">
        <f>IF(S70&gt;0,VLOOKUP($J70,Ruimtegroepen[],3,FALSE)*VLOOKUP($L70,Vloersoorten[],3,FALSE)*VLOOKUP($R70,Frequenties[],3,FALSE)*VLOOKUP($A70,Locaties[],3,FALSE),0)</f>
        <v>0</v>
      </c>
      <c r="U70" s="399">
        <f>Ruimtestaat[[#This Row],[Uitvoeringen werkdagen]]*Ruimtestaat[[#This Row],[Oppervlak (netto)]]</f>
        <v>51</v>
      </c>
      <c r="V70" s="406">
        <f>IF(T70&gt;0,Ruimtestaat[[#This Row],[Prest. (m2 /jaar) werkdagen]]/Ruimtestaat[[#This Row],[Norm (m2/uur) werkdagen]],0)</f>
        <v>0</v>
      </c>
      <c r="W70" s="407">
        <f>Ruimtestaat[[#This Row],[uren / jaar werkdagen]]*Tariefsopbouw!$E$35</f>
        <v>0</v>
      </c>
      <c r="X70" s="399"/>
      <c r="Y70" s="399">
        <f>IF(Ruimtestaat[[#This Row],[Frequentie weekend]]&gt;0,VALUE(LEFT(X70,1))*Q70,0)</f>
        <v>0</v>
      </c>
      <c r="Z70" s="408">
        <f>IF($Y70&gt;0,VLOOKUP($J70,Ruimtegroepen[],3,FALSE)*VLOOKUP($L70,Vloersoorten[],3,FALSE)*VLOOKUP($X70,Frequenties[],3,FALSE)*VLOOKUP(Ruimtestaat[[#This Row],[Code]],Locaties[],3,FALSE),0)</f>
        <v>0</v>
      </c>
      <c r="AA70" s="408">
        <f>Ruimtestaat[[#This Row],[Uitvoeringen weekend]]*Ruimtestaat[[#This Row],[Oppervlak (netto)]]</f>
        <v>0</v>
      </c>
      <c r="AB70" s="408">
        <f>IF(Z70&gt;0,Ruimtestaat[[#This Row],[Prest. (m2 /jaar) weekend]]/Ruimtestaat[[#This Row],[Norm (m2/uur) weekend]],0)</f>
        <v>0</v>
      </c>
      <c r="AC70" s="407">
        <f>Ruimtestaat[[#This Row],[uren / jaar weekend]]*Tariefsopbouw!$D$40</f>
        <v>0</v>
      </c>
      <c r="AD70" s="406">
        <f>Ruimtestaat[[#This Row],[Prest. (m2 /jaar) weekend]]+Ruimtestaat[[#This Row],[Prest. (m2 /jaar) werkdagen]]</f>
        <v>51</v>
      </c>
      <c r="AE70" s="406">
        <f>Ruimtestaat[[#This Row],[uren / jaar weekend]]+Ruimtestaat[[#This Row],[uren / jaar werkdagen]]</f>
        <v>0</v>
      </c>
      <c r="AF70" s="409">
        <f>Ruimtestaat[[#This Row],[kosten / jaar weekend]]+Ruimtestaat[[#This Row],[kosten / jaar werkdagen]]</f>
        <v>0</v>
      </c>
      <c r="AG70" s="409"/>
      <c r="AH70" s="410" t="str">
        <f>IF(Ruimtestaat[[#This Row],[Frequentie werkdagen]]="","",_xlfn.CONCAT(Ruimtestaat[[#This Row],[Ruimte code]],"-",Ruimtestaat[[#This Row],[Frequentie werkdagen]]," ",Ruimtestaat[[#This Row],[Vloer code]]))</f>
        <v>10-1w S</v>
      </c>
      <c r="AI70" s="411" t="str">
        <f>_xlfn.IFNA(VLOOKUP($AH70,Programma!$F$3:$G$1101,2,0),"")</f>
        <v>_</v>
      </c>
      <c r="AJ70" s="411" t="str">
        <f>_xlfn.IFNA(VLOOKUP($AH70,Programma!$F$3:$H$1101,3,0),"")</f>
        <v>_</v>
      </c>
      <c r="AK70" s="411" t="str">
        <f>_xlfn.IFNA(VLOOKUP($AH70,Programma!$F$3:$I$1101,4,0),"")</f>
        <v>_</v>
      </c>
      <c r="AL70" s="411" t="str">
        <f>_xlfn.IFNA(VLOOKUP($AH70,Programma!$F$3:$J$1101,5,0),"")</f>
        <v>1w</v>
      </c>
      <c r="AM70" s="411" t="str">
        <f>_xlfn.IFNA(VLOOKUP($AH70,Programma!$F$3:$K$1101,6,0),"")</f>
        <v>4j</v>
      </c>
      <c r="AN70" s="411" t="str">
        <f>_xlfn.IFNA(VLOOKUP($AH70,Programma!$F$3:$L$1101,7,0),"")</f>
        <v>_</v>
      </c>
      <c r="AO70" s="411" t="str">
        <f>_xlfn.IFNA(VLOOKUP($AH70,Programma!$F$3:$M$1101,8,0),"")</f>
        <v>_</v>
      </c>
      <c r="AP70" s="411" t="str">
        <f>_xlfn.IFNA(VLOOKUP($AH70,Programma!$F$3:$N$1101,9,0),"")</f>
        <v>_</v>
      </c>
      <c r="AQ70" s="411" t="str">
        <f>_xlfn.IFNA(VLOOKUP($AH70,Programma!$F$3:$O$1101,10,0),"")</f>
        <v>1w</v>
      </c>
      <c r="AR70" s="411" t="str">
        <f>_xlfn.IFNA(VLOOKUP($AH70,Programma!$F$3:$P$1101,11,0),"")</f>
        <v>1w</v>
      </c>
      <c r="AS70" s="411" t="str">
        <f>_xlfn.IFNA(VLOOKUP($AH70,Programma!$F$3:$Q$1101,12,0),"")</f>
        <v>1w</v>
      </c>
      <c r="AT70" s="411" t="str">
        <f>_xlfn.IFNA(VLOOKUP($AH70,Programma!$F$3:$R$1101,13,0),"")</f>
        <v>1w</v>
      </c>
      <c r="AU70" s="411" t="str">
        <f>_xlfn.IFNA(VLOOKUP($AH70,Programma!$F$3:$S$1101,14,0),"")</f>
        <v>1m</v>
      </c>
      <c r="AV70" s="411" t="str">
        <f>_xlfn.IFNA(VLOOKUP($AH70,Programma!$F$3:$T$1101,15,0),"")</f>
        <v>2j</v>
      </c>
      <c r="AW70" s="411" t="str">
        <f>_xlfn.IFNA(VLOOKUP($AH70,Programma!$F$3:$U$1101,16,0),"")</f>
        <v>1j</v>
      </c>
      <c r="AX70" s="411" t="str">
        <f>_xlfn.IFNA(VLOOKUP($AH70,Programma!$F$3:$V$1101,17,0),"")</f>
        <v>_</v>
      </c>
      <c r="AY70" s="411" t="str">
        <f>_xlfn.IFNA(VLOOKUP($AH70,Programma!$F$3:$W$1101,18,0),"")</f>
        <v>_</v>
      </c>
      <c r="AZ70" s="411" t="str">
        <f>_xlfn.IFNA(VLOOKUP($AH70,Programma!$F$3:$X$1101,19,0),"")</f>
        <v>_</v>
      </c>
      <c r="BA70" s="411" t="str">
        <f>_xlfn.IFNA(VLOOKUP($AH70,Programma!$F$3:$Y$1101,20,0),"")</f>
        <v>_</v>
      </c>
      <c r="BB70" s="412"/>
      <c r="BC70" s="410" t="str">
        <f>IF(Ruimtestaat[[#This Row],[Frequentie weekend]]="","",_xlfn.CONCAT(Ruimtestaat[[#This Row],[Ruimte code]],"-",Ruimtestaat[[#This Row],[Frequentie weekend]]," ",Ruimtestaat[[#This Row],[Vloer code]]))</f>
        <v/>
      </c>
      <c r="BD70" s="411" t="str">
        <f>_xlfn.IFNA(VLOOKUP($BC70,Programma!$F$3:$G$1101,2,0),"")</f>
        <v/>
      </c>
      <c r="BE70" s="411" t="str">
        <f>_xlfn.IFNA(VLOOKUP($BC70,Programma!$F$3:$H$1101,3,0),"")</f>
        <v/>
      </c>
      <c r="BF70" s="411" t="str">
        <f>_xlfn.IFNA(VLOOKUP($BC70,Programma!$F$3:$I$1101,4,0),"")</f>
        <v/>
      </c>
      <c r="BG70" s="411" t="str">
        <f>_xlfn.IFNA(VLOOKUP($BC70,Programma!$F$3:$J$1101,5,0),"")</f>
        <v/>
      </c>
      <c r="BH70" s="411" t="str">
        <f>_xlfn.IFNA(VLOOKUP($BC70,Programma!$F$3:$K$1101,6,0),"")</f>
        <v/>
      </c>
      <c r="BI70" s="411" t="str">
        <f>_xlfn.IFNA(VLOOKUP($BC70,Programma!$F$3:$L$1101,7,0),"")</f>
        <v/>
      </c>
      <c r="BJ70" s="411" t="str">
        <f>_xlfn.IFNA(VLOOKUP($BC70,Programma!$F$3:$M$1101,8,0),"")</f>
        <v/>
      </c>
      <c r="BK70" s="411" t="str">
        <f>_xlfn.IFNA(VLOOKUP($BC70,Programma!$F$3:$N$1101,9,0),"")</f>
        <v/>
      </c>
      <c r="BL70" s="411" t="str">
        <f>_xlfn.IFNA(VLOOKUP($BC70,Programma!$F$3:$O$1101,10,0),"")</f>
        <v/>
      </c>
      <c r="BM70" s="411" t="str">
        <f>_xlfn.IFNA(VLOOKUP($BC70,Programma!$F$3:$P$1101,11,0),"")</f>
        <v/>
      </c>
      <c r="BN70" s="411" t="str">
        <f>_xlfn.IFNA(VLOOKUP($BC70,Programma!$F$3:$Q$1101,12,0),"")</f>
        <v/>
      </c>
      <c r="BO70" s="411" t="str">
        <f>_xlfn.IFNA(VLOOKUP($BC70,Programma!$F$3:$R$1101,13,0),"")</f>
        <v/>
      </c>
      <c r="BP70" s="411" t="str">
        <f>_xlfn.IFNA(VLOOKUP($BC70,Programma!$F$3:$S$1101,14,0),"")</f>
        <v/>
      </c>
      <c r="BQ70" s="411" t="str">
        <f>_xlfn.IFNA(VLOOKUP($BC70,Programma!$F$3:$T$1101,15,0),"")</f>
        <v/>
      </c>
      <c r="BR70" s="411" t="str">
        <f>_xlfn.IFNA(VLOOKUP($BC70,Programma!$F$3:$U$1101,16,0),"")</f>
        <v/>
      </c>
      <c r="BS70" s="411" t="str">
        <f>_xlfn.IFNA(VLOOKUP($BC70,Programma!$F$3:$V$1101,17,0),"")</f>
        <v/>
      </c>
      <c r="BT70" s="411" t="str">
        <f>_xlfn.IFNA(VLOOKUP($BC70,Programma!$F$3:$W$1101,18,0),"")</f>
        <v/>
      </c>
      <c r="BU70" s="411" t="str">
        <f>_xlfn.IFNA(VLOOKUP($BC70,Programma!$F$3:$X$1101,19,0),"")</f>
        <v/>
      </c>
      <c r="BV70" s="411" t="str">
        <f>_xlfn.IFNA(VLOOKUP($BC70,Programma!$F$3:$Y$1101,20,0),"")</f>
        <v/>
      </c>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c r="EO70" s="28"/>
      <c r="EP70" s="28"/>
      <c r="EQ70" s="28"/>
      <c r="ER70" s="28"/>
      <c r="ES70" s="28"/>
      <c r="ET70" s="28"/>
      <c r="EU70" s="28"/>
      <c r="EV70" s="28"/>
      <c r="EW70" s="28"/>
      <c r="EX70" s="28"/>
      <c r="EY70" s="28"/>
      <c r="EZ70" s="28"/>
      <c r="FA70" s="28"/>
      <c r="FB70" s="28"/>
      <c r="FC70" s="28"/>
      <c r="FD70" s="28"/>
      <c r="FE70" s="28"/>
      <c r="FF70" s="28"/>
      <c r="FG70" s="28"/>
      <c r="FH70" s="28"/>
      <c r="FI70" s="28"/>
      <c r="FJ70" s="28"/>
      <c r="FK70" s="28"/>
      <c r="FL70" s="28"/>
      <c r="FM70" s="28"/>
      <c r="FN70" s="28"/>
      <c r="FO70" s="28"/>
      <c r="FP70" s="28"/>
      <c r="FQ70" s="28"/>
      <c r="FR70" s="28"/>
      <c r="FS70" s="28"/>
      <c r="FT70" s="28"/>
      <c r="FU70" s="28"/>
      <c r="FV70" s="28"/>
      <c r="FW70" s="28"/>
      <c r="FX70" s="28"/>
      <c r="FY70" s="28"/>
      <c r="FZ70" s="28"/>
      <c r="GA70" s="28"/>
      <c r="GB70" s="28"/>
      <c r="GC70" s="28"/>
      <c r="GD70" s="28"/>
      <c r="GE70" s="28"/>
      <c r="GF70" s="28"/>
      <c r="GG70" s="28"/>
      <c r="GH70" s="28"/>
      <c r="GI70" s="28"/>
      <c r="GJ70" s="28"/>
      <c r="GK70" s="28"/>
      <c r="GL70" s="28"/>
      <c r="GM70" s="28"/>
      <c r="GN70" s="28"/>
      <c r="GO70" s="28"/>
      <c r="GP70" s="28"/>
      <c r="GQ70" s="28"/>
      <c r="GR70" s="28"/>
      <c r="GS70" s="28"/>
      <c r="GT70" s="28"/>
      <c r="GU70" s="28"/>
      <c r="GV70" s="28"/>
      <c r="GW70" s="28"/>
      <c r="GX70" s="28"/>
      <c r="GY70" s="28"/>
      <c r="GZ70" s="28"/>
      <c r="HA70" s="28"/>
      <c r="HB70" s="28"/>
      <c r="HC70" s="28"/>
      <c r="HD70" s="28"/>
      <c r="HE70" s="28"/>
      <c r="HF70" s="28"/>
      <c r="HG70" s="28"/>
      <c r="HH70" s="28"/>
      <c r="HI70" s="28"/>
      <c r="HJ70" s="28"/>
      <c r="HK70" s="28"/>
    </row>
    <row r="71" spans="1:219" ht="15" customHeight="1">
      <c r="A71" s="399">
        <v>1</v>
      </c>
      <c r="B71" s="400" t="str">
        <f>VLOOKUP(Ruimtestaat[[#This Row],[Code]],Locaties[[Code]:[Locatie]],2,FALSE)</f>
        <v>Jansstraat en Janskerk</v>
      </c>
      <c r="C71" s="400" t="str">
        <f>VLOOKUP(Ruimtestaat[[#This Row],[Code]],Locaties[[#All],[Code]:[Adres]],4,FALSE)</f>
        <v>Jansstraat 40</v>
      </c>
      <c r="D71" s="400" t="str">
        <f>VLOOKUP(Ruimtestaat[[#This Row],[Code]],Locaties[[#All],[Code]:[Postcode]],5,FALSE)</f>
        <v>2011 RX</v>
      </c>
      <c r="E71" s="400" t="str">
        <f>VLOOKUP(Ruimtestaat[[#This Row],[Code]],Locaties[#All],6,FALSE)</f>
        <v>Haarlem</v>
      </c>
      <c r="F71" s="399" t="s">
        <v>1668</v>
      </c>
      <c r="G71" s="399"/>
      <c r="H71" s="401"/>
      <c r="I71" s="402" t="s">
        <v>1683</v>
      </c>
      <c r="J71" s="336">
        <v>10</v>
      </c>
      <c r="K71" s="414" t="str">
        <f>VLOOKUP(Ruimtestaat[[#This Row],[Ruimte code]],Ruimtegroepen[[#All],[Code]:[Ruimte omschrijving]],2,FALSE)</f>
        <v>Trappenhuizen/lift</v>
      </c>
      <c r="L71" s="399" t="s">
        <v>101</v>
      </c>
      <c r="M71" s="402" t="s">
        <v>1661</v>
      </c>
      <c r="N71" s="404">
        <v>7</v>
      </c>
      <c r="O71" s="413"/>
      <c r="P71" s="405" t="str">
        <f>VLOOKUP(Ruimtestaat[[#This Row],[Ruimte code]],Ruimtegroepen[],4,FALSE)</f>
        <v>Ve</v>
      </c>
      <c r="Q71" s="399">
        <v>51</v>
      </c>
      <c r="R71" s="399" t="s">
        <v>15</v>
      </c>
      <c r="S71" s="399">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71" s="399">
        <f>IF(S71&gt;0,VLOOKUP($J71,Ruimtegroepen[],3,FALSE)*VLOOKUP($L71,Vloersoorten[],3,FALSE)*VLOOKUP($R71,Frequenties[],3,FALSE)*VLOOKUP($A71,Locaties[],3,FALSE),0)</f>
        <v>0</v>
      </c>
      <c r="U71" s="399">
        <f>Ruimtestaat[[#This Row],[Uitvoeringen werkdagen]]*Ruimtestaat[[#This Row],[Oppervlak (netto)]]</f>
        <v>357</v>
      </c>
      <c r="V71" s="406">
        <f>IF(T71&gt;0,Ruimtestaat[[#This Row],[Prest. (m2 /jaar) werkdagen]]/Ruimtestaat[[#This Row],[Norm (m2/uur) werkdagen]],0)</f>
        <v>0</v>
      </c>
      <c r="W71" s="407">
        <f>Ruimtestaat[[#This Row],[uren / jaar werkdagen]]*Tariefsopbouw!$E$35</f>
        <v>0</v>
      </c>
      <c r="X71" s="399"/>
      <c r="Y71" s="399">
        <f>IF(Ruimtestaat[[#This Row],[Frequentie weekend]]&gt;0,VALUE(LEFT(X71,1))*Q71,0)</f>
        <v>0</v>
      </c>
      <c r="Z71" s="408">
        <f>IF($Y71&gt;0,VLOOKUP($J71,Ruimtegroepen[],3,FALSE)*VLOOKUP($L71,Vloersoorten[],3,FALSE)*VLOOKUP($X71,Frequenties[],3,FALSE)*VLOOKUP(Ruimtestaat[[#This Row],[Code]],Locaties[],3,FALSE),0)</f>
        <v>0</v>
      </c>
      <c r="AA71" s="408">
        <f>Ruimtestaat[[#This Row],[Uitvoeringen weekend]]*Ruimtestaat[[#This Row],[Oppervlak (netto)]]</f>
        <v>0</v>
      </c>
      <c r="AB71" s="408">
        <f>IF(Z71&gt;0,Ruimtestaat[[#This Row],[Prest. (m2 /jaar) weekend]]/Ruimtestaat[[#This Row],[Norm (m2/uur) weekend]],0)</f>
        <v>0</v>
      </c>
      <c r="AC71" s="407">
        <f>Ruimtestaat[[#This Row],[uren / jaar weekend]]*Tariefsopbouw!$D$40</f>
        <v>0</v>
      </c>
      <c r="AD71" s="406">
        <f>Ruimtestaat[[#This Row],[Prest. (m2 /jaar) weekend]]+Ruimtestaat[[#This Row],[Prest. (m2 /jaar) werkdagen]]</f>
        <v>357</v>
      </c>
      <c r="AE71" s="406">
        <f>Ruimtestaat[[#This Row],[uren / jaar weekend]]+Ruimtestaat[[#This Row],[uren / jaar werkdagen]]</f>
        <v>0</v>
      </c>
      <c r="AF71" s="409">
        <f>Ruimtestaat[[#This Row],[kosten / jaar weekend]]+Ruimtestaat[[#This Row],[kosten / jaar werkdagen]]</f>
        <v>0</v>
      </c>
      <c r="AG71" s="409"/>
      <c r="AH71" s="410" t="str">
        <f>IF(Ruimtestaat[[#This Row],[Frequentie werkdagen]]="","",_xlfn.CONCAT(Ruimtestaat[[#This Row],[Ruimte code]],"-",Ruimtestaat[[#This Row],[Frequentie werkdagen]]," ",Ruimtestaat[[#This Row],[Vloer code]]))</f>
        <v>10-1w S</v>
      </c>
      <c r="AI71" s="411" t="str">
        <f>_xlfn.IFNA(VLOOKUP($AH71,Programma!$F$3:$G$1101,2,0),"")</f>
        <v>_</v>
      </c>
      <c r="AJ71" s="411" t="str">
        <f>_xlfn.IFNA(VLOOKUP($AH71,Programma!$F$3:$H$1101,3,0),"")</f>
        <v>_</v>
      </c>
      <c r="AK71" s="411" t="str">
        <f>_xlfn.IFNA(VLOOKUP($AH71,Programma!$F$3:$I$1101,4,0),"")</f>
        <v>_</v>
      </c>
      <c r="AL71" s="411" t="str">
        <f>_xlfn.IFNA(VLOOKUP($AH71,Programma!$F$3:$J$1101,5,0),"")</f>
        <v>1w</v>
      </c>
      <c r="AM71" s="411" t="str">
        <f>_xlfn.IFNA(VLOOKUP($AH71,Programma!$F$3:$K$1101,6,0),"")</f>
        <v>4j</v>
      </c>
      <c r="AN71" s="411" t="str">
        <f>_xlfn.IFNA(VLOOKUP($AH71,Programma!$F$3:$L$1101,7,0),"")</f>
        <v>_</v>
      </c>
      <c r="AO71" s="411" t="str">
        <f>_xlfn.IFNA(VLOOKUP($AH71,Programma!$F$3:$M$1101,8,0),"")</f>
        <v>_</v>
      </c>
      <c r="AP71" s="411" t="str">
        <f>_xlfn.IFNA(VLOOKUP($AH71,Programma!$F$3:$N$1101,9,0),"")</f>
        <v>_</v>
      </c>
      <c r="AQ71" s="411" t="str">
        <f>_xlfn.IFNA(VLOOKUP($AH71,Programma!$F$3:$O$1101,10,0),"")</f>
        <v>1w</v>
      </c>
      <c r="AR71" s="411" t="str">
        <f>_xlfn.IFNA(VLOOKUP($AH71,Programma!$F$3:$P$1101,11,0),"")</f>
        <v>1w</v>
      </c>
      <c r="AS71" s="411" t="str">
        <f>_xlfn.IFNA(VLOOKUP($AH71,Programma!$F$3:$Q$1101,12,0),"")</f>
        <v>1w</v>
      </c>
      <c r="AT71" s="411" t="str">
        <f>_xlfn.IFNA(VLOOKUP($AH71,Programma!$F$3:$R$1101,13,0),"")</f>
        <v>1w</v>
      </c>
      <c r="AU71" s="411" t="str">
        <f>_xlfn.IFNA(VLOOKUP($AH71,Programma!$F$3:$S$1101,14,0),"")</f>
        <v>1m</v>
      </c>
      <c r="AV71" s="411" t="str">
        <f>_xlfn.IFNA(VLOOKUP($AH71,Programma!$F$3:$T$1101,15,0),"")</f>
        <v>2j</v>
      </c>
      <c r="AW71" s="411" t="str">
        <f>_xlfn.IFNA(VLOOKUP($AH71,Programma!$F$3:$U$1101,16,0),"")</f>
        <v>1j</v>
      </c>
      <c r="AX71" s="411" t="str">
        <f>_xlfn.IFNA(VLOOKUP($AH71,Programma!$F$3:$V$1101,17,0),"")</f>
        <v>_</v>
      </c>
      <c r="AY71" s="411" t="str">
        <f>_xlfn.IFNA(VLOOKUP($AH71,Programma!$F$3:$W$1101,18,0),"")</f>
        <v>_</v>
      </c>
      <c r="AZ71" s="411" t="str">
        <f>_xlfn.IFNA(VLOOKUP($AH71,Programma!$F$3:$X$1101,19,0),"")</f>
        <v>_</v>
      </c>
      <c r="BA71" s="411" t="str">
        <f>_xlfn.IFNA(VLOOKUP($AH71,Programma!$F$3:$Y$1101,20,0),"")</f>
        <v>_</v>
      </c>
      <c r="BB71" s="412"/>
      <c r="BC71" s="410" t="str">
        <f>IF(Ruimtestaat[[#This Row],[Frequentie weekend]]="","",_xlfn.CONCAT(Ruimtestaat[[#This Row],[Ruimte code]],"-",Ruimtestaat[[#This Row],[Frequentie weekend]]," ",Ruimtestaat[[#This Row],[Vloer code]]))</f>
        <v/>
      </c>
      <c r="BD71" s="411" t="str">
        <f>_xlfn.IFNA(VLOOKUP($BC71,Programma!$F$3:$G$1101,2,0),"")</f>
        <v/>
      </c>
      <c r="BE71" s="411" t="str">
        <f>_xlfn.IFNA(VLOOKUP($BC71,Programma!$F$3:$H$1101,3,0),"")</f>
        <v/>
      </c>
      <c r="BF71" s="411" t="str">
        <f>_xlfn.IFNA(VLOOKUP($BC71,Programma!$F$3:$I$1101,4,0),"")</f>
        <v/>
      </c>
      <c r="BG71" s="411" t="str">
        <f>_xlfn.IFNA(VLOOKUP($BC71,Programma!$F$3:$J$1101,5,0),"")</f>
        <v/>
      </c>
      <c r="BH71" s="411" t="str">
        <f>_xlfn.IFNA(VLOOKUP($BC71,Programma!$F$3:$K$1101,6,0),"")</f>
        <v/>
      </c>
      <c r="BI71" s="411" t="str">
        <f>_xlfn.IFNA(VLOOKUP($BC71,Programma!$F$3:$L$1101,7,0),"")</f>
        <v/>
      </c>
      <c r="BJ71" s="411" t="str">
        <f>_xlfn.IFNA(VLOOKUP($BC71,Programma!$F$3:$M$1101,8,0),"")</f>
        <v/>
      </c>
      <c r="BK71" s="411" t="str">
        <f>_xlfn.IFNA(VLOOKUP($BC71,Programma!$F$3:$N$1101,9,0),"")</f>
        <v/>
      </c>
      <c r="BL71" s="411" t="str">
        <f>_xlfn.IFNA(VLOOKUP($BC71,Programma!$F$3:$O$1101,10,0),"")</f>
        <v/>
      </c>
      <c r="BM71" s="411" t="str">
        <f>_xlfn.IFNA(VLOOKUP($BC71,Programma!$F$3:$P$1101,11,0),"")</f>
        <v/>
      </c>
      <c r="BN71" s="411" t="str">
        <f>_xlfn.IFNA(VLOOKUP($BC71,Programma!$F$3:$Q$1101,12,0),"")</f>
        <v/>
      </c>
      <c r="BO71" s="411" t="str">
        <f>_xlfn.IFNA(VLOOKUP($BC71,Programma!$F$3:$R$1101,13,0),"")</f>
        <v/>
      </c>
      <c r="BP71" s="411" t="str">
        <f>_xlfn.IFNA(VLOOKUP($BC71,Programma!$F$3:$S$1101,14,0),"")</f>
        <v/>
      </c>
      <c r="BQ71" s="411" t="str">
        <f>_xlfn.IFNA(VLOOKUP($BC71,Programma!$F$3:$T$1101,15,0),"")</f>
        <v/>
      </c>
      <c r="BR71" s="411" t="str">
        <f>_xlfn.IFNA(VLOOKUP($BC71,Programma!$F$3:$U$1101,16,0),"")</f>
        <v/>
      </c>
      <c r="BS71" s="411" t="str">
        <f>_xlfn.IFNA(VLOOKUP($BC71,Programma!$F$3:$V$1101,17,0),"")</f>
        <v/>
      </c>
      <c r="BT71" s="411" t="str">
        <f>_xlfn.IFNA(VLOOKUP($BC71,Programma!$F$3:$W$1101,18,0),"")</f>
        <v/>
      </c>
      <c r="BU71" s="411" t="str">
        <f>_xlfn.IFNA(VLOOKUP($BC71,Programma!$F$3:$X$1101,19,0),"")</f>
        <v/>
      </c>
      <c r="BV71" s="411" t="str">
        <f>_xlfn.IFNA(VLOOKUP($BC71,Programma!$F$3:$Y$1101,20,0),"")</f>
        <v/>
      </c>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c r="EO71" s="28"/>
      <c r="EP71" s="28"/>
      <c r="EQ71" s="28"/>
      <c r="ER71" s="28"/>
      <c r="ES71" s="28"/>
      <c r="ET71" s="28"/>
      <c r="EU71" s="28"/>
      <c r="EV71" s="28"/>
      <c r="EW71" s="28"/>
      <c r="EX71" s="28"/>
      <c r="EY71" s="28"/>
      <c r="EZ71" s="28"/>
      <c r="FA71" s="28"/>
      <c r="FB71" s="28"/>
      <c r="FC71" s="28"/>
      <c r="FD71" s="28"/>
      <c r="FE71" s="28"/>
      <c r="FF71" s="28"/>
      <c r="FG71" s="28"/>
      <c r="FH71" s="28"/>
      <c r="FI71" s="28"/>
      <c r="FJ71" s="28"/>
      <c r="FK71" s="28"/>
      <c r="FL71" s="28"/>
      <c r="FM71" s="28"/>
      <c r="FN71" s="28"/>
      <c r="FO71" s="28"/>
      <c r="FP71" s="28"/>
      <c r="FQ71" s="28"/>
      <c r="FR71" s="28"/>
      <c r="FS71" s="28"/>
      <c r="FT71" s="28"/>
      <c r="FU71" s="28"/>
      <c r="FV71" s="28"/>
      <c r="FW71" s="28"/>
      <c r="FX71" s="28"/>
      <c r="FY71" s="28"/>
      <c r="FZ71" s="28"/>
      <c r="GA71" s="28"/>
      <c r="GB71" s="28"/>
      <c r="GC71" s="28"/>
      <c r="GD71" s="28"/>
      <c r="GE71" s="28"/>
      <c r="GF71" s="28"/>
      <c r="GG71" s="28"/>
      <c r="GH71" s="28"/>
      <c r="GI71" s="28"/>
      <c r="GJ71" s="28"/>
      <c r="GK71" s="28"/>
      <c r="GL71" s="28"/>
      <c r="GM71" s="28"/>
      <c r="GN71" s="28"/>
      <c r="GO71" s="28"/>
      <c r="GP71" s="28"/>
      <c r="GQ71" s="28"/>
      <c r="GR71" s="28"/>
      <c r="GS71" s="28"/>
      <c r="GT71" s="28"/>
      <c r="GU71" s="28"/>
      <c r="GV71" s="28"/>
      <c r="GW71" s="28"/>
      <c r="GX71" s="28"/>
      <c r="GY71" s="28"/>
      <c r="GZ71" s="28"/>
      <c r="HA71" s="28"/>
      <c r="HB71" s="28"/>
      <c r="HC71" s="28"/>
      <c r="HD71" s="28"/>
      <c r="HE71" s="28"/>
      <c r="HF71" s="28"/>
      <c r="HG71" s="28"/>
      <c r="HH71" s="28"/>
      <c r="HI71" s="28"/>
      <c r="HJ71" s="28"/>
      <c r="HK71" s="28"/>
    </row>
    <row r="72" spans="1:219" ht="15" customHeight="1">
      <c r="A72" s="399">
        <v>1</v>
      </c>
      <c r="B72" s="400" t="str">
        <f>VLOOKUP(Ruimtestaat[[#This Row],[Code]],Locaties[[Code]:[Locatie]],2,FALSE)</f>
        <v>Jansstraat en Janskerk</v>
      </c>
      <c r="C72" s="400" t="str">
        <f>VLOOKUP(Ruimtestaat[[#This Row],[Code]],Locaties[[#All],[Code]:[Adres]],4,FALSE)</f>
        <v>Jansstraat 40</v>
      </c>
      <c r="D72" s="400" t="str">
        <f>VLOOKUP(Ruimtestaat[[#This Row],[Code]],Locaties[[#All],[Code]:[Postcode]],5,FALSE)</f>
        <v>2011 RX</v>
      </c>
      <c r="E72" s="400" t="str">
        <f>VLOOKUP(Ruimtestaat[[#This Row],[Code]],Locaties[#All],6,FALSE)</f>
        <v>Haarlem</v>
      </c>
      <c r="F72" s="399" t="s">
        <v>1668</v>
      </c>
      <c r="G72" s="399"/>
      <c r="H72" s="401"/>
      <c r="I72" s="402" t="s">
        <v>1642</v>
      </c>
      <c r="J72" s="336">
        <v>6</v>
      </c>
      <c r="K72" s="414" t="str">
        <f>VLOOKUP(Ruimtestaat[[#This Row],[Ruimte code]],Ruimtegroepen[[#All],[Code]:[Ruimte omschrijving]],2,FALSE)</f>
        <v>Gangen/hallen</v>
      </c>
      <c r="L72" s="399" t="s">
        <v>101</v>
      </c>
      <c r="M72" s="402" t="s">
        <v>1661</v>
      </c>
      <c r="N72" s="404">
        <v>3</v>
      </c>
      <c r="O72" s="413"/>
      <c r="P72" s="405" t="str">
        <f>VLOOKUP(Ruimtestaat[[#This Row],[Ruimte code]],Ruimtegroepen[],4,FALSE)</f>
        <v>Ve</v>
      </c>
      <c r="Q72" s="399">
        <v>51</v>
      </c>
      <c r="R72" s="399" t="s">
        <v>15</v>
      </c>
      <c r="S72" s="399">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72" s="399">
        <f>IF(S72&gt;0,VLOOKUP($J72,Ruimtegroepen[],3,FALSE)*VLOOKUP($L72,Vloersoorten[],3,FALSE)*VLOOKUP($R72,Frequenties[],3,FALSE)*VLOOKUP($A72,Locaties[],3,FALSE),0)</f>
        <v>0</v>
      </c>
      <c r="U72" s="399">
        <f>Ruimtestaat[[#This Row],[Uitvoeringen werkdagen]]*Ruimtestaat[[#This Row],[Oppervlak (netto)]]</f>
        <v>153</v>
      </c>
      <c r="V72" s="406">
        <f>IF(T72&gt;0,Ruimtestaat[[#This Row],[Prest. (m2 /jaar) werkdagen]]/Ruimtestaat[[#This Row],[Norm (m2/uur) werkdagen]],0)</f>
        <v>0</v>
      </c>
      <c r="W72" s="407">
        <f>Ruimtestaat[[#This Row],[uren / jaar werkdagen]]*Tariefsopbouw!$E$35</f>
        <v>0</v>
      </c>
      <c r="X72" s="399"/>
      <c r="Y72" s="399">
        <f>IF(Ruimtestaat[[#This Row],[Frequentie weekend]]&gt;0,VALUE(LEFT(X72,1))*Q72,0)</f>
        <v>0</v>
      </c>
      <c r="Z72" s="408">
        <f>IF($Y72&gt;0,VLOOKUP($J72,Ruimtegroepen[],3,FALSE)*VLOOKUP($L72,Vloersoorten[],3,FALSE)*VLOOKUP($X72,Frequenties[],3,FALSE)*VLOOKUP(Ruimtestaat[[#This Row],[Code]],Locaties[],3,FALSE),0)</f>
        <v>0</v>
      </c>
      <c r="AA72" s="408">
        <f>Ruimtestaat[[#This Row],[Uitvoeringen weekend]]*Ruimtestaat[[#This Row],[Oppervlak (netto)]]</f>
        <v>0</v>
      </c>
      <c r="AB72" s="408">
        <f>IF(Z72&gt;0,Ruimtestaat[[#This Row],[Prest. (m2 /jaar) weekend]]/Ruimtestaat[[#This Row],[Norm (m2/uur) weekend]],0)</f>
        <v>0</v>
      </c>
      <c r="AC72" s="407">
        <f>Ruimtestaat[[#This Row],[uren / jaar weekend]]*Tariefsopbouw!$D$40</f>
        <v>0</v>
      </c>
      <c r="AD72" s="406">
        <f>Ruimtestaat[[#This Row],[Prest. (m2 /jaar) weekend]]+Ruimtestaat[[#This Row],[Prest. (m2 /jaar) werkdagen]]</f>
        <v>153</v>
      </c>
      <c r="AE72" s="406">
        <f>Ruimtestaat[[#This Row],[uren / jaar weekend]]+Ruimtestaat[[#This Row],[uren / jaar werkdagen]]</f>
        <v>0</v>
      </c>
      <c r="AF72" s="409">
        <f>Ruimtestaat[[#This Row],[kosten / jaar weekend]]+Ruimtestaat[[#This Row],[kosten / jaar werkdagen]]</f>
        <v>0</v>
      </c>
      <c r="AG72" s="409"/>
      <c r="AH72" s="410" t="str">
        <f>IF(Ruimtestaat[[#This Row],[Frequentie werkdagen]]="","",_xlfn.CONCAT(Ruimtestaat[[#This Row],[Ruimte code]],"-",Ruimtestaat[[#This Row],[Frequentie werkdagen]]," ",Ruimtestaat[[#This Row],[Vloer code]]))</f>
        <v>6-1w S</v>
      </c>
      <c r="AI72" s="411" t="str">
        <f>_xlfn.IFNA(VLOOKUP($AH72,Programma!$F$3:$G$1101,2,0),"")</f>
        <v>_</v>
      </c>
      <c r="AJ72" s="411" t="str">
        <f>_xlfn.IFNA(VLOOKUP($AH72,Programma!$F$3:$H$1101,3,0),"")</f>
        <v>_</v>
      </c>
      <c r="AK72" s="411" t="str">
        <f>_xlfn.IFNA(VLOOKUP($AH72,Programma!$F$3:$I$1101,4,0),"")</f>
        <v>1w</v>
      </c>
      <c r="AL72" s="411" t="str">
        <f>_xlfn.IFNA(VLOOKUP($AH72,Programma!$F$3:$J$1101,5,0),"")</f>
        <v>_</v>
      </c>
      <c r="AM72" s="411" t="str">
        <f>_xlfn.IFNA(VLOOKUP($AH72,Programma!$F$3:$K$1101,6,0),"")</f>
        <v>1w</v>
      </c>
      <c r="AN72" s="411" t="str">
        <f>_xlfn.IFNA(VLOOKUP($AH72,Programma!$F$3:$L$1101,7,0),"")</f>
        <v>_</v>
      </c>
      <c r="AO72" s="411" t="str">
        <f>_xlfn.IFNA(VLOOKUP($AH72,Programma!$F$3:$M$1101,8,0),"")</f>
        <v>_</v>
      </c>
      <c r="AP72" s="411" t="str">
        <f>_xlfn.IFNA(VLOOKUP($AH72,Programma!$F$3:$N$1101,9,0),"")</f>
        <v>_</v>
      </c>
      <c r="AQ72" s="411" t="str">
        <f>_xlfn.IFNA(VLOOKUP($AH72,Programma!$F$3:$O$1101,10,0),"")</f>
        <v>1w</v>
      </c>
      <c r="AR72" s="411" t="str">
        <f>_xlfn.IFNA(VLOOKUP($AH72,Programma!$F$3:$P$1101,11,0),"")</f>
        <v>1w</v>
      </c>
      <c r="AS72" s="411" t="str">
        <f>_xlfn.IFNA(VLOOKUP($AH72,Programma!$F$3:$Q$1101,12,0),"")</f>
        <v>1w</v>
      </c>
      <c r="AT72" s="411" t="str">
        <f>_xlfn.IFNA(VLOOKUP($AH72,Programma!$F$3:$R$1101,13,0),"")</f>
        <v>1w</v>
      </c>
      <c r="AU72" s="411" t="str">
        <f>_xlfn.IFNA(VLOOKUP($AH72,Programma!$F$3:$S$1101,14,0),"")</f>
        <v>1m</v>
      </c>
      <c r="AV72" s="411" t="str">
        <f>_xlfn.IFNA(VLOOKUP($AH72,Programma!$F$3:$T$1101,15,0),"")</f>
        <v>2j</v>
      </c>
      <c r="AW72" s="411" t="str">
        <f>_xlfn.IFNA(VLOOKUP($AH72,Programma!$F$3:$U$1101,16,0),"")</f>
        <v>1j</v>
      </c>
      <c r="AX72" s="411" t="str">
        <f>_xlfn.IFNA(VLOOKUP($AH72,Programma!$F$3:$V$1101,17,0),"")</f>
        <v>_</v>
      </c>
      <c r="AY72" s="411" t="str">
        <f>_xlfn.IFNA(VLOOKUP($AH72,Programma!$F$3:$W$1101,18,0),"")</f>
        <v>_</v>
      </c>
      <c r="AZ72" s="411" t="str">
        <f>_xlfn.IFNA(VLOOKUP($AH72,Programma!$F$3:$X$1101,19,0),"")</f>
        <v>_</v>
      </c>
      <c r="BA72" s="411" t="str">
        <f>_xlfn.IFNA(VLOOKUP($AH72,Programma!$F$3:$Y$1101,20,0),"")</f>
        <v>_</v>
      </c>
      <c r="BB72" s="412"/>
      <c r="BC72" s="410" t="str">
        <f>IF(Ruimtestaat[[#This Row],[Frequentie weekend]]="","",_xlfn.CONCAT(Ruimtestaat[[#This Row],[Ruimte code]],"-",Ruimtestaat[[#This Row],[Frequentie weekend]]," ",Ruimtestaat[[#This Row],[Vloer code]]))</f>
        <v/>
      </c>
      <c r="BD72" s="411" t="str">
        <f>_xlfn.IFNA(VLOOKUP($BC72,Programma!$F$3:$G$1101,2,0),"")</f>
        <v/>
      </c>
      <c r="BE72" s="411" t="str">
        <f>_xlfn.IFNA(VLOOKUP($BC72,Programma!$F$3:$H$1101,3,0),"")</f>
        <v/>
      </c>
      <c r="BF72" s="411" t="str">
        <f>_xlfn.IFNA(VLOOKUP($BC72,Programma!$F$3:$I$1101,4,0),"")</f>
        <v/>
      </c>
      <c r="BG72" s="411" t="str">
        <f>_xlfn.IFNA(VLOOKUP($BC72,Programma!$F$3:$J$1101,5,0),"")</f>
        <v/>
      </c>
      <c r="BH72" s="411" t="str">
        <f>_xlfn.IFNA(VLOOKUP($BC72,Programma!$F$3:$K$1101,6,0),"")</f>
        <v/>
      </c>
      <c r="BI72" s="411" t="str">
        <f>_xlfn.IFNA(VLOOKUP($BC72,Programma!$F$3:$L$1101,7,0),"")</f>
        <v/>
      </c>
      <c r="BJ72" s="411" t="str">
        <f>_xlfn.IFNA(VLOOKUP($BC72,Programma!$F$3:$M$1101,8,0),"")</f>
        <v/>
      </c>
      <c r="BK72" s="411" t="str">
        <f>_xlfn.IFNA(VLOOKUP($BC72,Programma!$F$3:$N$1101,9,0),"")</f>
        <v/>
      </c>
      <c r="BL72" s="411" t="str">
        <f>_xlfn.IFNA(VLOOKUP($BC72,Programma!$F$3:$O$1101,10,0),"")</f>
        <v/>
      </c>
      <c r="BM72" s="411" t="str">
        <f>_xlfn.IFNA(VLOOKUP($BC72,Programma!$F$3:$P$1101,11,0),"")</f>
        <v/>
      </c>
      <c r="BN72" s="411" t="str">
        <f>_xlfn.IFNA(VLOOKUP($BC72,Programma!$F$3:$Q$1101,12,0),"")</f>
        <v/>
      </c>
      <c r="BO72" s="411" t="str">
        <f>_xlfn.IFNA(VLOOKUP($BC72,Programma!$F$3:$R$1101,13,0),"")</f>
        <v/>
      </c>
      <c r="BP72" s="411" t="str">
        <f>_xlfn.IFNA(VLOOKUP($BC72,Programma!$F$3:$S$1101,14,0),"")</f>
        <v/>
      </c>
      <c r="BQ72" s="411" t="str">
        <f>_xlfn.IFNA(VLOOKUP($BC72,Programma!$F$3:$T$1101,15,0),"")</f>
        <v/>
      </c>
      <c r="BR72" s="411" t="str">
        <f>_xlfn.IFNA(VLOOKUP($BC72,Programma!$F$3:$U$1101,16,0),"")</f>
        <v/>
      </c>
      <c r="BS72" s="411" t="str">
        <f>_xlfn.IFNA(VLOOKUP($BC72,Programma!$F$3:$V$1101,17,0),"")</f>
        <v/>
      </c>
      <c r="BT72" s="411" t="str">
        <f>_xlfn.IFNA(VLOOKUP($BC72,Programma!$F$3:$W$1101,18,0),"")</f>
        <v/>
      </c>
      <c r="BU72" s="411" t="str">
        <f>_xlfn.IFNA(VLOOKUP($BC72,Programma!$F$3:$X$1101,19,0),"")</f>
        <v/>
      </c>
      <c r="BV72" s="411" t="str">
        <f>_xlfn.IFNA(VLOOKUP($BC72,Programma!$F$3:$Y$1101,20,0),"")</f>
        <v/>
      </c>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c r="EO72" s="28"/>
      <c r="EP72" s="28"/>
      <c r="EQ72" s="28"/>
      <c r="ER72" s="28"/>
      <c r="ES72" s="28"/>
      <c r="ET72" s="28"/>
      <c r="EU72" s="28"/>
      <c r="EV72" s="28"/>
      <c r="EW72" s="28"/>
      <c r="EX72" s="28"/>
      <c r="EY72" s="28"/>
      <c r="EZ72" s="28"/>
      <c r="FA72" s="28"/>
      <c r="FB72" s="28"/>
      <c r="FC72" s="28"/>
      <c r="FD72" s="28"/>
      <c r="FE72" s="28"/>
      <c r="FF72" s="28"/>
      <c r="FG72" s="28"/>
      <c r="FH72" s="28"/>
      <c r="FI72" s="28"/>
      <c r="FJ72" s="28"/>
      <c r="FK72" s="28"/>
      <c r="FL72" s="28"/>
      <c r="FM72" s="28"/>
      <c r="FN72" s="28"/>
      <c r="FO72" s="28"/>
      <c r="FP72" s="28"/>
      <c r="FQ72" s="28"/>
      <c r="FR72" s="28"/>
      <c r="FS72" s="28"/>
      <c r="FT72" s="28"/>
      <c r="FU72" s="28"/>
      <c r="FV72" s="28"/>
      <c r="FW72" s="28"/>
      <c r="FX72" s="28"/>
      <c r="FY72" s="28"/>
      <c r="FZ72" s="28"/>
      <c r="GA72" s="28"/>
      <c r="GB72" s="28"/>
      <c r="GC72" s="28"/>
      <c r="GD72" s="28"/>
      <c r="GE72" s="28"/>
      <c r="GF72" s="28"/>
      <c r="GG72" s="28"/>
      <c r="GH72" s="28"/>
      <c r="GI72" s="28"/>
      <c r="GJ72" s="28"/>
      <c r="GK72" s="28"/>
      <c r="GL72" s="28"/>
      <c r="GM72" s="28"/>
      <c r="GN72" s="28"/>
      <c r="GO72" s="28"/>
      <c r="GP72" s="28"/>
      <c r="GQ72" s="28"/>
      <c r="GR72" s="28"/>
      <c r="GS72" s="28"/>
      <c r="GT72" s="28"/>
      <c r="GU72" s="28"/>
      <c r="GV72" s="28"/>
      <c r="GW72" s="28"/>
      <c r="GX72" s="28"/>
      <c r="GY72" s="28"/>
      <c r="GZ72" s="28"/>
      <c r="HA72" s="28"/>
      <c r="HB72" s="28"/>
      <c r="HC72" s="28"/>
      <c r="HD72" s="28"/>
      <c r="HE72" s="28"/>
      <c r="HF72" s="28"/>
      <c r="HG72" s="28"/>
      <c r="HH72" s="28"/>
      <c r="HI72" s="28"/>
      <c r="HJ72" s="28"/>
      <c r="HK72" s="28"/>
    </row>
    <row r="73" spans="1:219" ht="15" customHeight="1">
      <c r="A73" s="399">
        <v>1</v>
      </c>
      <c r="B73" s="400" t="str">
        <f>VLOOKUP(Ruimtestaat[[#This Row],[Code]],Locaties[[Code]:[Locatie]],2,FALSE)</f>
        <v>Jansstraat en Janskerk</v>
      </c>
      <c r="C73" s="400" t="str">
        <f>VLOOKUP(Ruimtestaat[[#This Row],[Code]],Locaties[[#All],[Code]:[Adres]],4,FALSE)</f>
        <v>Jansstraat 40</v>
      </c>
      <c r="D73" s="400" t="str">
        <f>VLOOKUP(Ruimtestaat[[#This Row],[Code]],Locaties[[#All],[Code]:[Postcode]],5,FALSE)</f>
        <v>2011 RX</v>
      </c>
      <c r="E73" s="400" t="str">
        <f>VLOOKUP(Ruimtestaat[[#This Row],[Code]],Locaties[#All],6,FALSE)</f>
        <v>Haarlem</v>
      </c>
      <c r="F73" s="399" t="s">
        <v>1668</v>
      </c>
      <c r="G73" s="399"/>
      <c r="H73" s="401"/>
      <c r="I73" s="402" t="s">
        <v>1642</v>
      </c>
      <c r="J73" s="336">
        <v>6</v>
      </c>
      <c r="K73" s="414" t="str">
        <f>VLOOKUP(Ruimtestaat[[#This Row],[Ruimte code]],Ruimtegroepen[[#All],[Code]:[Ruimte omschrijving]],2,FALSE)</f>
        <v>Gangen/hallen</v>
      </c>
      <c r="L73" s="399" t="s">
        <v>101</v>
      </c>
      <c r="M73" s="402" t="s">
        <v>1661</v>
      </c>
      <c r="N73" s="404">
        <v>27.21</v>
      </c>
      <c r="O73" s="413"/>
      <c r="P73" s="405" t="str">
        <f>VLOOKUP(Ruimtestaat[[#This Row],[Ruimte code]],Ruimtegroepen[],4,FALSE)</f>
        <v>Ve</v>
      </c>
      <c r="Q73" s="399">
        <v>51</v>
      </c>
      <c r="R73" s="399" t="s">
        <v>15</v>
      </c>
      <c r="S73" s="399">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73" s="399">
        <f>IF(S73&gt;0,VLOOKUP($J73,Ruimtegroepen[],3,FALSE)*VLOOKUP($L73,Vloersoorten[],3,FALSE)*VLOOKUP($R73,Frequenties[],3,FALSE)*VLOOKUP($A73,Locaties[],3,FALSE),0)</f>
        <v>0</v>
      </c>
      <c r="U73" s="399">
        <f>Ruimtestaat[[#This Row],[Uitvoeringen werkdagen]]*Ruimtestaat[[#This Row],[Oppervlak (netto)]]</f>
        <v>1387.71</v>
      </c>
      <c r="V73" s="406">
        <f>IF(T73&gt;0,Ruimtestaat[[#This Row],[Prest. (m2 /jaar) werkdagen]]/Ruimtestaat[[#This Row],[Norm (m2/uur) werkdagen]],0)</f>
        <v>0</v>
      </c>
      <c r="W73" s="407">
        <f>Ruimtestaat[[#This Row],[uren / jaar werkdagen]]*Tariefsopbouw!$E$35</f>
        <v>0</v>
      </c>
      <c r="X73" s="399"/>
      <c r="Y73" s="399">
        <f>IF(Ruimtestaat[[#This Row],[Frequentie weekend]]&gt;0,VALUE(LEFT(X73,1))*Q73,0)</f>
        <v>0</v>
      </c>
      <c r="Z73" s="408">
        <f>IF($Y73&gt;0,VLOOKUP($J73,Ruimtegroepen[],3,FALSE)*VLOOKUP($L73,Vloersoorten[],3,FALSE)*VLOOKUP($X73,Frequenties[],3,FALSE)*VLOOKUP(Ruimtestaat[[#This Row],[Code]],Locaties[],3,FALSE),0)</f>
        <v>0</v>
      </c>
      <c r="AA73" s="408">
        <f>Ruimtestaat[[#This Row],[Uitvoeringen weekend]]*Ruimtestaat[[#This Row],[Oppervlak (netto)]]</f>
        <v>0</v>
      </c>
      <c r="AB73" s="408">
        <f>IF(Z73&gt;0,Ruimtestaat[[#This Row],[Prest. (m2 /jaar) weekend]]/Ruimtestaat[[#This Row],[Norm (m2/uur) weekend]],0)</f>
        <v>0</v>
      </c>
      <c r="AC73" s="407">
        <f>Ruimtestaat[[#This Row],[uren / jaar weekend]]*Tariefsopbouw!$D$40</f>
        <v>0</v>
      </c>
      <c r="AD73" s="406">
        <f>Ruimtestaat[[#This Row],[Prest. (m2 /jaar) weekend]]+Ruimtestaat[[#This Row],[Prest. (m2 /jaar) werkdagen]]</f>
        <v>1387.71</v>
      </c>
      <c r="AE73" s="406">
        <f>Ruimtestaat[[#This Row],[uren / jaar weekend]]+Ruimtestaat[[#This Row],[uren / jaar werkdagen]]</f>
        <v>0</v>
      </c>
      <c r="AF73" s="409">
        <f>Ruimtestaat[[#This Row],[kosten / jaar weekend]]+Ruimtestaat[[#This Row],[kosten / jaar werkdagen]]</f>
        <v>0</v>
      </c>
      <c r="AG73" s="409"/>
      <c r="AH73" s="410" t="str">
        <f>IF(Ruimtestaat[[#This Row],[Frequentie werkdagen]]="","",_xlfn.CONCAT(Ruimtestaat[[#This Row],[Ruimte code]],"-",Ruimtestaat[[#This Row],[Frequentie werkdagen]]," ",Ruimtestaat[[#This Row],[Vloer code]]))</f>
        <v>6-1w S</v>
      </c>
      <c r="AI73" s="411" t="str">
        <f>_xlfn.IFNA(VLOOKUP($AH73,Programma!$F$3:$G$1101,2,0),"")</f>
        <v>_</v>
      </c>
      <c r="AJ73" s="411" t="str">
        <f>_xlfn.IFNA(VLOOKUP($AH73,Programma!$F$3:$H$1101,3,0),"")</f>
        <v>_</v>
      </c>
      <c r="AK73" s="411" t="str">
        <f>_xlfn.IFNA(VLOOKUP($AH73,Programma!$F$3:$I$1101,4,0),"")</f>
        <v>1w</v>
      </c>
      <c r="AL73" s="411" t="str">
        <f>_xlfn.IFNA(VLOOKUP($AH73,Programma!$F$3:$J$1101,5,0),"")</f>
        <v>_</v>
      </c>
      <c r="AM73" s="411" t="str">
        <f>_xlfn.IFNA(VLOOKUP($AH73,Programma!$F$3:$K$1101,6,0),"")</f>
        <v>1w</v>
      </c>
      <c r="AN73" s="411" t="str">
        <f>_xlfn.IFNA(VLOOKUP($AH73,Programma!$F$3:$L$1101,7,0),"")</f>
        <v>_</v>
      </c>
      <c r="AO73" s="411" t="str">
        <f>_xlfn.IFNA(VLOOKUP($AH73,Programma!$F$3:$M$1101,8,0),"")</f>
        <v>_</v>
      </c>
      <c r="AP73" s="411" t="str">
        <f>_xlfn.IFNA(VLOOKUP($AH73,Programma!$F$3:$N$1101,9,0),"")</f>
        <v>_</v>
      </c>
      <c r="AQ73" s="411" t="str">
        <f>_xlfn.IFNA(VLOOKUP($AH73,Programma!$F$3:$O$1101,10,0),"")</f>
        <v>1w</v>
      </c>
      <c r="AR73" s="411" t="str">
        <f>_xlfn.IFNA(VLOOKUP($AH73,Programma!$F$3:$P$1101,11,0),"")</f>
        <v>1w</v>
      </c>
      <c r="AS73" s="411" t="str">
        <f>_xlfn.IFNA(VLOOKUP($AH73,Programma!$F$3:$Q$1101,12,0),"")</f>
        <v>1w</v>
      </c>
      <c r="AT73" s="411" t="str">
        <f>_xlfn.IFNA(VLOOKUP($AH73,Programma!$F$3:$R$1101,13,0),"")</f>
        <v>1w</v>
      </c>
      <c r="AU73" s="411" t="str">
        <f>_xlfn.IFNA(VLOOKUP($AH73,Programma!$F$3:$S$1101,14,0),"")</f>
        <v>1m</v>
      </c>
      <c r="AV73" s="411" t="str">
        <f>_xlfn.IFNA(VLOOKUP($AH73,Programma!$F$3:$T$1101,15,0),"")</f>
        <v>2j</v>
      </c>
      <c r="AW73" s="411" t="str">
        <f>_xlfn.IFNA(VLOOKUP($AH73,Programma!$F$3:$U$1101,16,0),"")</f>
        <v>1j</v>
      </c>
      <c r="AX73" s="411" t="str">
        <f>_xlfn.IFNA(VLOOKUP($AH73,Programma!$F$3:$V$1101,17,0),"")</f>
        <v>_</v>
      </c>
      <c r="AY73" s="411" t="str">
        <f>_xlfn.IFNA(VLOOKUP($AH73,Programma!$F$3:$W$1101,18,0),"")</f>
        <v>_</v>
      </c>
      <c r="AZ73" s="411" t="str">
        <f>_xlfn.IFNA(VLOOKUP($AH73,Programma!$F$3:$X$1101,19,0),"")</f>
        <v>_</v>
      </c>
      <c r="BA73" s="411" t="str">
        <f>_xlfn.IFNA(VLOOKUP($AH73,Programma!$F$3:$Y$1101,20,0),"")</f>
        <v>_</v>
      </c>
      <c r="BB73" s="412"/>
      <c r="BC73" s="410" t="str">
        <f>IF(Ruimtestaat[[#This Row],[Frequentie weekend]]="","",_xlfn.CONCAT(Ruimtestaat[[#This Row],[Ruimte code]],"-",Ruimtestaat[[#This Row],[Frequentie weekend]]," ",Ruimtestaat[[#This Row],[Vloer code]]))</f>
        <v/>
      </c>
      <c r="BD73" s="411" t="str">
        <f>_xlfn.IFNA(VLOOKUP($BC73,Programma!$F$3:$G$1101,2,0),"")</f>
        <v/>
      </c>
      <c r="BE73" s="411" t="str">
        <f>_xlfn.IFNA(VLOOKUP($BC73,Programma!$F$3:$H$1101,3,0),"")</f>
        <v/>
      </c>
      <c r="BF73" s="411" t="str">
        <f>_xlfn.IFNA(VLOOKUP($BC73,Programma!$F$3:$I$1101,4,0),"")</f>
        <v/>
      </c>
      <c r="BG73" s="411" t="str">
        <f>_xlfn.IFNA(VLOOKUP($BC73,Programma!$F$3:$J$1101,5,0),"")</f>
        <v/>
      </c>
      <c r="BH73" s="411" t="str">
        <f>_xlfn.IFNA(VLOOKUP($BC73,Programma!$F$3:$K$1101,6,0),"")</f>
        <v/>
      </c>
      <c r="BI73" s="411" t="str">
        <f>_xlfn.IFNA(VLOOKUP($BC73,Programma!$F$3:$L$1101,7,0),"")</f>
        <v/>
      </c>
      <c r="BJ73" s="411" t="str">
        <f>_xlfn.IFNA(VLOOKUP($BC73,Programma!$F$3:$M$1101,8,0),"")</f>
        <v/>
      </c>
      <c r="BK73" s="411" t="str">
        <f>_xlfn.IFNA(VLOOKUP($BC73,Programma!$F$3:$N$1101,9,0),"")</f>
        <v/>
      </c>
      <c r="BL73" s="411" t="str">
        <f>_xlfn.IFNA(VLOOKUP($BC73,Programma!$F$3:$O$1101,10,0),"")</f>
        <v/>
      </c>
      <c r="BM73" s="411" t="str">
        <f>_xlfn.IFNA(VLOOKUP($BC73,Programma!$F$3:$P$1101,11,0),"")</f>
        <v/>
      </c>
      <c r="BN73" s="411" t="str">
        <f>_xlfn.IFNA(VLOOKUP($BC73,Programma!$F$3:$Q$1101,12,0),"")</f>
        <v/>
      </c>
      <c r="BO73" s="411" t="str">
        <f>_xlfn.IFNA(VLOOKUP($BC73,Programma!$F$3:$R$1101,13,0),"")</f>
        <v/>
      </c>
      <c r="BP73" s="411" t="str">
        <f>_xlfn.IFNA(VLOOKUP($BC73,Programma!$F$3:$S$1101,14,0),"")</f>
        <v/>
      </c>
      <c r="BQ73" s="411" t="str">
        <f>_xlfn.IFNA(VLOOKUP($BC73,Programma!$F$3:$T$1101,15,0),"")</f>
        <v/>
      </c>
      <c r="BR73" s="411" t="str">
        <f>_xlfn.IFNA(VLOOKUP($BC73,Programma!$F$3:$U$1101,16,0),"")</f>
        <v/>
      </c>
      <c r="BS73" s="411" t="str">
        <f>_xlfn.IFNA(VLOOKUP($BC73,Programma!$F$3:$V$1101,17,0),"")</f>
        <v/>
      </c>
      <c r="BT73" s="411" t="str">
        <f>_xlfn.IFNA(VLOOKUP($BC73,Programma!$F$3:$W$1101,18,0),"")</f>
        <v/>
      </c>
      <c r="BU73" s="411" t="str">
        <f>_xlfn.IFNA(VLOOKUP($BC73,Programma!$F$3:$X$1101,19,0),"")</f>
        <v/>
      </c>
      <c r="BV73" s="411" t="str">
        <f>_xlfn.IFNA(VLOOKUP($BC73,Programma!$F$3:$Y$1101,20,0),"")</f>
        <v/>
      </c>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c r="EO73" s="28"/>
      <c r="EP73" s="28"/>
      <c r="EQ73" s="28"/>
      <c r="ER73" s="28"/>
      <c r="ES73" s="28"/>
      <c r="ET73" s="28"/>
      <c r="EU73" s="28"/>
      <c r="EV73" s="28"/>
      <c r="EW73" s="28"/>
      <c r="EX73" s="28"/>
      <c r="EY73" s="28"/>
      <c r="EZ73" s="28"/>
      <c r="FA73" s="28"/>
      <c r="FB73" s="28"/>
      <c r="FC73" s="28"/>
      <c r="FD73" s="28"/>
      <c r="FE73" s="28"/>
      <c r="FF73" s="28"/>
      <c r="FG73" s="28"/>
      <c r="FH73" s="28"/>
      <c r="FI73" s="28"/>
      <c r="FJ73" s="28"/>
      <c r="FK73" s="28"/>
      <c r="FL73" s="28"/>
      <c r="FM73" s="28"/>
      <c r="FN73" s="28"/>
      <c r="FO73" s="28"/>
      <c r="FP73" s="28"/>
      <c r="FQ73" s="28"/>
      <c r="FR73" s="28"/>
      <c r="FS73" s="28"/>
      <c r="FT73" s="28"/>
      <c r="FU73" s="28"/>
      <c r="FV73" s="28"/>
      <c r="FW73" s="28"/>
      <c r="FX73" s="28"/>
      <c r="FY73" s="28"/>
      <c r="FZ73" s="28"/>
      <c r="GA73" s="28"/>
      <c r="GB73" s="28"/>
      <c r="GC73" s="28"/>
      <c r="GD73" s="28"/>
      <c r="GE73" s="28"/>
      <c r="GF73" s="28"/>
      <c r="GG73" s="28"/>
      <c r="GH73" s="28"/>
      <c r="GI73" s="28"/>
      <c r="GJ73" s="28"/>
      <c r="GK73" s="28"/>
      <c r="GL73" s="28"/>
      <c r="GM73" s="28"/>
      <c r="GN73" s="28"/>
      <c r="GO73" s="28"/>
      <c r="GP73" s="28"/>
      <c r="GQ73" s="28"/>
      <c r="GR73" s="28"/>
      <c r="GS73" s="28"/>
      <c r="GT73" s="28"/>
      <c r="GU73" s="28"/>
      <c r="GV73" s="28"/>
      <c r="GW73" s="28"/>
      <c r="GX73" s="28"/>
      <c r="GY73" s="28"/>
      <c r="GZ73" s="28"/>
      <c r="HA73" s="28"/>
      <c r="HB73" s="28"/>
      <c r="HC73" s="28"/>
      <c r="HD73" s="28"/>
      <c r="HE73" s="28"/>
      <c r="HF73" s="28"/>
      <c r="HG73" s="28"/>
      <c r="HH73" s="28"/>
      <c r="HI73" s="28"/>
      <c r="HJ73" s="28"/>
      <c r="HK73" s="28"/>
    </row>
    <row r="74" spans="1:219" ht="15" customHeight="1">
      <c r="A74" s="399">
        <v>1</v>
      </c>
      <c r="B74" s="400" t="str">
        <f>VLOOKUP(Ruimtestaat[[#This Row],[Code]],Locaties[[Code]:[Locatie]],2,FALSE)</f>
        <v>Jansstraat en Janskerk</v>
      </c>
      <c r="C74" s="400" t="str">
        <f>VLOOKUP(Ruimtestaat[[#This Row],[Code]],Locaties[[#All],[Code]:[Adres]],4,FALSE)</f>
        <v>Jansstraat 40</v>
      </c>
      <c r="D74" s="400" t="str">
        <f>VLOOKUP(Ruimtestaat[[#This Row],[Code]],Locaties[[#All],[Code]:[Postcode]],5,FALSE)</f>
        <v>2011 RX</v>
      </c>
      <c r="E74" s="400" t="str">
        <f>VLOOKUP(Ruimtestaat[[#This Row],[Code]],Locaties[#All],6,FALSE)</f>
        <v>Haarlem</v>
      </c>
      <c r="F74" s="399" t="s">
        <v>1668</v>
      </c>
      <c r="G74" s="399"/>
      <c r="H74" s="401"/>
      <c r="I74" s="402" t="s">
        <v>1642</v>
      </c>
      <c r="J74" s="336">
        <v>6</v>
      </c>
      <c r="K74" s="414" t="str">
        <f>VLOOKUP(Ruimtestaat[[#This Row],[Ruimte code]],Ruimtegroepen[[#All],[Code]:[Ruimte omschrijving]],2,FALSE)</f>
        <v>Gangen/hallen</v>
      </c>
      <c r="L74" s="399" t="s">
        <v>101</v>
      </c>
      <c r="M74" s="402" t="s">
        <v>1661</v>
      </c>
      <c r="N74" s="404">
        <v>22.25</v>
      </c>
      <c r="O74" s="413"/>
      <c r="P74" s="405" t="str">
        <f>VLOOKUP(Ruimtestaat[[#This Row],[Ruimte code]],Ruimtegroepen[],4,FALSE)</f>
        <v>Ve</v>
      </c>
      <c r="Q74" s="399">
        <v>51</v>
      </c>
      <c r="R74" s="399" t="s">
        <v>15</v>
      </c>
      <c r="S74" s="399">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74" s="399">
        <f>IF(S74&gt;0,VLOOKUP($J74,Ruimtegroepen[],3,FALSE)*VLOOKUP($L74,Vloersoorten[],3,FALSE)*VLOOKUP($R74,Frequenties[],3,FALSE)*VLOOKUP($A74,Locaties[],3,FALSE),0)</f>
        <v>0</v>
      </c>
      <c r="U74" s="399">
        <f>Ruimtestaat[[#This Row],[Uitvoeringen werkdagen]]*Ruimtestaat[[#This Row],[Oppervlak (netto)]]</f>
        <v>1134.75</v>
      </c>
      <c r="V74" s="406">
        <f>IF(T74&gt;0,Ruimtestaat[[#This Row],[Prest. (m2 /jaar) werkdagen]]/Ruimtestaat[[#This Row],[Norm (m2/uur) werkdagen]],0)</f>
        <v>0</v>
      </c>
      <c r="W74" s="407">
        <f>Ruimtestaat[[#This Row],[uren / jaar werkdagen]]*Tariefsopbouw!$E$35</f>
        <v>0</v>
      </c>
      <c r="X74" s="399"/>
      <c r="Y74" s="399">
        <f>IF(Ruimtestaat[[#This Row],[Frequentie weekend]]&gt;0,VALUE(LEFT(X74,1))*Q74,0)</f>
        <v>0</v>
      </c>
      <c r="Z74" s="408">
        <f>IF($Y74&gt;0,VLOOKUP($J74,Ruimtegroepen[],3,FALSE)*VLOOKUP($L74,Vloersoorten[],3,FALSE)*VLOOKUP($X74,Frequenties[],3,FALSE)*VLOOKUP(Ruimtestaat[[#This Row],[Code]],Locaties[],3,FALSE),0)</f>
        <v>0</v>
      </c>
      <c r="AA74" s="408">
        <f>Ruimtestaat[[#This Row],[Uitvoeringen weekend]]*Ruimtestaat[[#This Row],[Oppervlak (netto)]]</f>
        <v>0</v>
      </c>
      <c r="AB74" s="408">
        <f>IF(Z74&gt;0,Ruimtestaat[[#This Row],[Prest. (m2 /jaar) weekend]]/Ruimtestaat[[#This Row],[Norm (m2/uur) weekend]],0)</f>
        <v>0</v>
      </c>
      <c r="AC74" s="407">
        <f>Ruimtestaat[[#This Row],[uren / jaar weekend]]*Tariefsopbouw!$D$40</f>
        <v>0</v>
      </c>
      <c r="AD74" s="406">
        <f>Ruimtestaat[[#This Row],[Prest. (m2 /jaar) weekend]]+Ruimtestaat[[#This Row],[Prest. (m2 /jaar) werkdagen]]</f>
        <v>1134.75</v>
      </c>
      <c r="AE74" s="406">
        <f>Ruimtestaat[[#This Row],[uren / jaar weekend]]+Ruimtestaat[[#This Row],[uren / jaar werkdagen]]</f>
        <v>0</v>
      </c>
      <c r="AF74" s="409">
        <f>Ruimtestaat[[#This Row],[kosten / jaar weekend]]+Ruimtestaat[[#This Row],[kosten / jaar werkdagen]]</f>
        <v>0</v>
      </c>
      <c r="AG74" s="409"/>
      <c r="AH74" s="410" t="str">
        <f>IF(Ruimtestaat[[#This Row],[Frequentie werkdagen]]="","",_xlfn.CONCAT(Ruimtestaat[[#This Row],[Ruimte code]],"-",Ruimtestaat[[#This Row],[Frequentie werkdagen]]," ",Ruimtestaat[[#This Row],[Vloer code]]))</f>
        <v>6-1w S</v>
      </c>
      <c r="AI74" s="411" t="str">
        <f>_xlfn.IFNA(VLOOKUP($AH74,Programma!$F$3:$G$1101,2,0),"")</f>
        <v>_</v>
      </c>
      <c r="AJ74" s="411" t="str">
        <f>_xlfn.IFNA(VLOOKUP($AH74,Programma!$F$3:$H$1101,3,0),"")</f>
        <v>_</v>
      </c>
      <c r="AK74" s="411" t="str">
        <f>_xlfn.IFNA(VLOOKUP($AH74,Programma!$F$3:$I$1101,4,0),"")</f>
        <v>1w</v>
      </c>
      <c r="AL74" s="411" t="str">
        <f>_xlfn.IFNA(VLOOKUP($AH74,Programma!$F$3:$J$1101,5,0),"")</f>
        <v>_</v>
      </c>
      <c r="AM74" s="411" t="str">
        <f>_xlfn.IFNA(VLOOKUP($AH74,Programma!$F$3:$K$1101,6,0),"")</f>
        <v>1w</v>
      </c>
      <c r="AN74" s="411" t="str">
        <f>_xlfn.IFNA(VLOOKUP($AH74,Programma!$F$3:$L$1101,7,0),"")</f>
        <v>_</v>
      </c>
      <c r="AO74" s="411" t="str">
        <f>_xlfn.IFNA(VLOOKUP($AH74,Programma!$F$3:$M$1101,8,0),"")</f>
        <v>_</v>
      </c>
      <c r="AP74" s="411" t="str">
        <f>_xlfn.IFNA(VLOOKUP($AH74,Programma!$F$3:$N$1101,9,0),"")</f>
        <v>_</v>
      </c>
      <c r="AQ74" s="411" t="str">
        <f>_xlfn.IFNA(VLOOKUP($AH74,Programma!$F$3:$O$1101,10,0),"")</f>
        <v>1w</v>
      </c>
      <c r="AR74" s="411" t="str">
        <f>_xlfn.IFNA(VLOOKUP($AH74,Programma!$F$3:$P$1101,11,0),"")</f>
        <v>1w</v>
      </c>
      <c r="AS74" s="411" t="str">
        <f>_xlfn.IFNA(VLOOKUP($AH74,Programma!$F$3:$Q$1101,12,0),"")</f>
        <v>1w</v>
      </c>
      <c r="AT74" s="411" t="str">
        <f>_xlfn.IFNA(VLOOKUP($AH74,Programma!$F$3:$R$1101,13,0),"")</f>
        <v>1w</v>
      </c>
      <c r="AU74" s="411" t="str">
        <f>_xlfn.IFNA(VLOOKUP($AH74,Programma!$F$3:$S$1101,14,0),"")</f>
        <v>1m</v>
      </c>
      <c r="AV74" s="411" t="str">
        <f>_xlfn.IFNA(VLOOKUP($AH74,Programma!$F$3:$T$1101,15,0),"")</f>
        <v>2j</v>
      </c>
      <c r="AW74" s="411" t="str">
        <f>_xlfn.IFNA(VLOOKUP($AH74,Programma!$F$3:$U$1101,16,0),"")</f>
        <v>1j</v>
      </c>
      <c r="AX74" s="411" t="str">
        <f>_xlfn.IFNA(VLOOKUP($AH74,Programma!$F$3:$V$1101,17,0),"")</f>
        <v>_</v>
      </c>
      <c r="AY74" s="411" t="str">
        <f>_xlfn.IFNA(VLOOKUP($AH74,Programma!$F$3:$W$1101,18,0),"")</f>
        <v>_</v>
      </c>
      <c r="AZ74" s="411" t="str">
        <f>_xlfn.IFNA(VLOOKUP($AH74,Programma!$F$3:$X$1101,19,0),"")</f>
        <v>_</v>
      </c>
      <c r="BA74" s="411" t="str">
        <f>_xlfn.IFNA(VLOOKUP($AH74,Programma!$F$3:$Y$1101,20,0),"")</f>
        <v>_</v>
      </c>
      <c r="BB74" s="412"/>
      <c r="BC74" s="410" t="str">
        <f>IF(Ruimtestaat[[#This Row],[Frequentie weekend]]="","",_xlfn.CONCAT(Ruimtestaat[[#This Row],[Ruimte code]],"-",Ruimtestaat[[#This Row],[Frequentie weekend]]," ",Ruimtestaat[[#This Row],[Vloer code]]))</f>
        <v/>
      </c>
      <c r="BD74" s="411" t="str">
        <f>_xlfn.IFNA(VLOOKUP($BC74,Programma!$F$3:$G$1101,2,0),"")</f>
        <v/>
      </c>
      <c r="BE74" s="411" t="str">
        <f>_xlfn.IFNA(VLOOKUP($BC74,Programma!$F$3:$H$1101,3,0),"")</f>
        <v/>
      </c>
      <c r="BF74" s="411" t="str">
        <f>_xlfn.IFNA(VLOOKUP($BC74,Programma!$F$3:$I$1101,4,0),"")</f>
        <v/>
      </c>
      <c r="BG74" s="411" t="str">
        <f>_xlfn.IFNA(VLOOKUP($BC74,Programma!$F$3:$J$1101,5,0),"")</f>
        <v/>
      </c>
      <c r="BH74" s="411" t="str">
        <f>_xlfn.IFNA(VLOOKUP($BC74,Programma!$F$3:$K$1101,6,0),"")</f>
        <v/>
      </c>
      <c r="BI74" s="411" t="str">
        <f>_xlfn.IFNA(VLOOKUP($BC74,Programma!$F$3:$L$1101,7,0),"")</f>
        <v/>
      </c>
      <c r="BJ74" s="411" t="str">
        <f>_xlfn.IFNA(VLOOKUP($BC74,Programma!$F$3:$M$1101,8,0),"")</f>
        <v/>
      </c>
      <c r="BK74" s="411" t="str">
        <f>_xlfn.IFNA(VLOOKUP($BC74,Programma!$F$3:$N$1101,9,0),"")</f>
        <v/>
      </c>
      <c r="BL74" s="411" t="str">
        <f>_xlfn.IFNA(VLOOKUP($BC74,Programma!$F$3:$O$1101,10,0),"")</f>
        <v/>
      </c>
      <c r="BM74" s="411" t="str">
        <f>_xlfn.IFNA(VLOOKUP($BC74,Programma!$F$3:$P$1101,11,0),"")</f>
        <v/>
      </c>
      <c r="BN74" s="411" t="str">
        <f>_xlfn.IFNA(VLOOKUP($BC74,Programma!$F$3:$Q$1101,12,0),"")</f>
        <v/>
      </c>
      <c r="BO74" s="411" t="str">
        <f>_xlfn.IFNA(VLOOKUP($BC74,Programma!$F$3:$R$1101,13,0),"")</f>
        <v/>
      </c>
      <c r="BP74" s="411" t="str">
        <f>_xlfn.IFNA(VLOOKUP($BC74,Programma!$F$3:$S$1101,14,0),"")</f>
        <v/>
      </c>
      <c r="BQ74" s="411" t="str">
        <f>_xlfn.IFNA(VLOOKUP($BC74,Programma!$F$3:$T$1101,15,0),"")</f>
        <v/>
      </c>
      <c r="BR74" s="411" t="str">
        <f>_xlfn.IFNA(VLOOKUP($BC74,Programma!$F$3:$U$1101,16,0),"")</f>
        <v/>
      </c>
      <c r="BS74" s="411" t="str">
        <f>_xlfn.IFNA(VLOOKUP($BC74,Programma!$F$3:$V$1101,17,0),"")</f>
        <v/>
      </c>
      <c r="BT74" s="411" t="str">
        <f>_xlfn.IFNA(VLOOKUP($BC74,Programma!$F$3:$W$1101,18,0),"")</f>
        <v/>
      </c>
      <c r="BU74" s="411" t="str">
        <f>_xlfn.IFNA(VLOOKUP($BC74,Programma!$F$3:$X$1101,19,0),"")</f>
        <v/>
      </c>
      <c r="BV74" s="411" t="str">
        <f>_xlfn.IFNA(VLOOKUP($BC74,Programma!$F$3:$Y$1101,20,0),"")</f>
        <v/>
      </c>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28"/>
      <c r="FX74" s="28"/>
      <c r="FY74" s="28"/>
      <c r="FZ74" s="28"/>
      <c r="GA74" s="28"/>
      <c r="GB74" s="28"/>
      <c r="GC74" s="28"/>
      <c r="GD74" s="28"/>
      <c r="GE74" s="28"/>
      <c r="GF74" s="28"/>
      <c r="GG74" s="28"/>
      <c r="GH74" s="28"/>
      <c r="GI74" s="28"/>
      <c r="GJ74" s="28"/>
      <c r="GK74" s="28"/>
      <c r="GL74" s="28"/>
      <c r="GM74" s="28"/>
      <c r="GN74" s="28"/>
      <c r="GO74" s="28"/>
      <c r="GP74" s="28"/>
      <c r="GQ74" s="28"/>
      <c r="GR74" s="28"/>
      <c r="GS74" s="28"/>
      <c r="GT74" s="28"/>
      <c r="GU74" s="28"/>
      <c r="GV74" s="28"/>
      <c r="GW74" s="28"/>
      <c r="GX74" s="28"/>
      <c r="GY74" s="28"/>
      <c r="GZ74" s="28"/>
      <c r="HA74" s="28"/>
      <c r="HB74" s="28"/>
      <c r="HC74" s="28"/>
      <c r="HD74" s="28"/>
      <c r="HE74" s="28"/>
      <c r="HF74" s="28"/>
      <c r="HG74" s="28"/>
      <c r="HH74" s="28"/>
      <c r="HI74" s="28"/>
      <c r="HJ74" s="28"/>
      <c r="HK74" s="28"/>
    </row>
    <row r="75" spans="1:219" ht="15" customHeight="1">
      <c r="A75" s="399">
        <v>2</v>
      </c>
      <c r="B75" s="400" t="str">
        <f>VLOOKUP(Ruimtestaat[[#This Row],[Code]],Locaties[[Code]:[Locatie]],2,FALSE)</f>
        <v>Kleine Houtweg</v>
      </c>
      <c r="C75" s="400" t="str">
        <f>VLOOKUP(Ruimtestaat[[#This Row],[Code]],Locaties[[#All],[Code]:[Adres]],4,FALSE)</f>
        <v>Kleine Houtweg 18</v>
      </c>
      <c r="D75" s="400" t="str">
        <f>VLOOKUP(Ruimtestaat[[#This Row],[Code]],Locaties[[#All],[Code]:[Postcode]],5,FALSE)</f>
        <v>2012 CH</v>
      </c>
      <c r="E75" s="400" t="str">
        <f>VLOOKUP(Ruimtestaat[[#This Row],[Code]],Locaties[#All],6,FALSE)</f>
        <v>Haarlem</v>
      </c>
      <c r="F75" s="399"/>
      <c r="G75" s="399" t="s">
        <v>1639</v>
      </c>
      <c r="H75" s="401">
        <v>1</v>
      </c>
      <c r="I75" s="402" t="s">
        <v>38</v>
      </c>
      <c r="J75" s="336">
        <v>7</v>
      </c>
      <c r="K75" s="414" t="str">
        <f>VLOOKUP(Ruimtestaat[[#This Row],[Ruimte code]],Ruimtegroepen[[#All],[Code]:[Ruimte omschrijving]],2,FALSE)</f>
        <v>Entree</v>
      </c>
      <c r="L75" s="399" t="s">
        <v>101</v>
      </c>
      <c r="M75" s="402" t="s">
        <v>1661</v>
      </c>
      <c r="N75" s="404">
        <v>8.5</v>
      </c>
      <c r="O75" s="399"/>
      <c r="P75" s="405" t="str">
        <f>VLOOKUP(Ruimtestaat[[#This Row],[Ruimte code]],Ruimtegroepen[],4,FALSE)</f>
        <v>Ve</v>
      </c>
      <c r="Q75" s="399">
        <v>51</v>
      </c>
      <c r="R75" s="399" t="s">
        <v>2</v>
      </c>
      <c r="S75" s="399">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5" s="399">
        <f>IF(S75&gt;0,VLOOKUP($J75,Ruimtegroepen[],3,FALSE)*VLOOKUP($L75,Vloersoorten[],3,FALSE)*VLOOKUP($R75,Frequenties[],3,FALSE)*VLOOKUP($A75,Locaties[],3,FALSE),0)</f>
        <v>0</v>
      </c>
      <c r="U75" s="399">
        <f>Ruimtestaat[[#This Row],[Uitvoeringen werkdagen]]*Ruimtestaat[[#This Row],[Oppervlak (netto)]]</f>
        <v>2167.5</v>
      </c>
      <c r="V75" s="406">
        <f>IF(T75&gt;0,Ruimtestaat[[#This Row],[Prest. (m2 /jaar) werkdagen]]/Ruimtestaat[[#This Row],[Norm (m2/uur) werkdagen]],0)</f>
        <v>0</v>
      </c>
      <c r="W75" s="407">
        <f>Ruimtestaat[[#This Row],[uren / jaar werkdagen]]*Tariefsopbouw!$E$35</f>
        <v>0</v>
      </c>
      <c r="X75" s="399"/>
      <c r="Y75" s="399">
        <f>IF(Ruimtestaat[[#This Row],[Frequentie weekend]]&gt;0,VALUE(LEFT(X75,1))*Q75,0)</f>
        <v>0</v>
      </c>
      <c r="Z75" s="408">
        <f>IF($Y75&gt;0,VLOOKUP($J75,Ruimtegroepen[],3,FALSE)*VLOOKUP($L75,Vloersoorten[],3,FALSE)*VLOOKUP($X75,Frequenties[],3,FALSE)*VLOOKUP(Ruimtestaat[[#This Row],[Code]],Locaties[],3,FALSE),0)</f>
        <v>0</v>
      </c>
      <c r="AA75" s="408">
        <f>Ruimtestaat[[#This Row],[Uitvoeringen weekend]]*Ruimtestaat[[#This Row],[Oppervlak (netto)]]</f>
        <v>0</v>
      </c>
      <c r="AB75" s="408">
        <f>IF(Z75&gt;0,Ruimtestaat[[#This Row],[Prest. (m2 /jaar) weekend]]/Ruimtestaat[[#This Row],[Norm (m2/uur) weekend]],0)</f>
        <v>0</v>
      </c>
      <c r="AC75" s="407">
        <f>Ruimtestaat[[#This Row],[uren / jaar weekend]]*Tariefsopbouw!$D$40</f>
        <v>0</v>
      </c>
      <c r="AD75" s="406">
        <f>Ruimtestaat[[#This Row],[Prest. (m2 /jaar) weekend]]+Ruimtestaat[[#This Row],[Prest. (m2 /jaar) werkdagen]]</f>
        <v>2167.5</v>
      </c>
      <c r="AE75" s="406">
        <f>Ruimtestaat[[#This Row],[uren / jaar weekend]]+Ruimtestaat[[#This Row],[uren / jaar werkdagen]]</f>
        <v>0</v>
      </c>
      <c r="AF75" s="409">
        <f>Ruimtestaat[[#This Row],[kosten / jaar weekend]]+Ruimtestaat[[#This Row],[kosten / jaar werkdagen]]</f>
        <v>0</v>
      </c>
      <c r="AG75" s="409"/>
      <c r="AH75" s="410" t="str">
        <f>IF(Ruimtestaat[[#This Row],[Frequentie werkdagen]]="","",_xlfn.CONCAT(Ruimtestaat[[#This Row],[Ruimte code]],"-",Ruimtestaat[[#This Row],[Frequentie werkdagen]]," ",Ruimtestaat[[#This Row],[Vloer code]]))</f>
        <v>7-5w S</v>
      </c>
      <c r="AI75" s="411" t="str">
        <f>_xlfn.IFNA(VLOOKUP($AH75,Programma!$F$3:$G$1101,2,0),"")</f>
        <v>_</v>
      </c>
      <c r="AJ75" s="411" t="str">
        <f>_xlfn.IFNA(VLOOKUP($AH75,Programma!$F$3:$H$1101,3,0),"")</f>
        <v>_</v>
      </c>
      <c r="AK75" s="411" t="str">
        <f>_xlfn.IFNA(VLOOKUP($AH75,Programma!$F$3:$I$1101,4,0),"")</f>
        <v>5w</v>
      </c>
      <c r="AL75" s="411" t="str">
        <f>_xlfn.IFNA(VLOOKUP($AH75,Programma!$F$3:$J$1101,5,0),"")</f>
        <v>_</v>
      </c>
      <c r="AM75" s="411" t="str">
        <f>_xlfn.IFNA(VLOOKUP($AH75,Programma!$F$3:$K$1101,6,0),"")</f>
        <v>5w</v>
      </c>
      <c r="AN75" s="411" t="str">
        <f>_xlfn.IFNA(VLOOKUP($AH75,Programma!$F$3:$L$1101,7,0),"")</f>
        <v>_</v>
      </c>
      <c r="AO75" s="411" t="str">
        <f>_xlfn.IFNA(VLOOKUP($AH75,Programma!$F$3:$M$1101,8,0),"")</f>
        <v>_</v>
      </c>
      <c r="AP75" s="411" t="str">
        <f>_xlfn.IFNA(VLOOKUP($AH75,Programma!$F$3:$N$1101,9,0),"")</f>
        <v>_</v>
      </c>
      <c r="AQ75" s="411" t="str">
        <f>_xlfn.IFNA(VLOOKUP($AH75,Programma!$F$3:$O$1101,10,0),"")</f>
        <v>5w</v>
      </c>
      <c r="AR75" s="411" t="str">
        <f>_xlfn.IFNA(VLOOKUP($AH75,Programma!$F$3:$P$1101,11,0),"")</f>
        <v>5w</v>
      </c>
      <c r="AS75" s="411" t="str">
        <f>_xlfn.IFNA(VLOOKUP($AH75,Programma!$F$3:$Q$1101,12,0),"")</f>
        <v>1w</v>
      </c>
      <c r="AT75" s="411" t="str">
        <f>_xlfn.IFNA(VLOOKUP($AH75,Programma!$F$3:$R$1101,13,0),"")</f>
        <v>1w</v>
      </c>
      <c r="AU75" s="411" t="str">
        <f>_xlfn.IFNA(VLOOKUP($AH75,Programma!$F$3:$S$1101,14,0),"")</f>
        <v>1m</v>
      </c>
      <c r="AV75" s="411" t="str">
        <f>_xlfn.IFNA(VLOOKUP($AH75,Programma!$F$3:$T$1101,15,0),"")</f>
        <v>2j</v>
      </c>
      <c r="AW75" s="411" t="str">
        <f>_xlfn.IFNA(VLOOKUP($AH75,Programma!$F$3:$U$1101,16,0),"")</f>
        <v>1j</v>
      </c>
      <c r="AX75" s="411" t="str">
        <f>_xlfn.IFNA(VLOOKUP($AH75,Programma!$F$3:$V$1101,17,0),"")</f>
        <v>_</v>
      </c>
      <c r="AY75" s="411" t="str">
        <f>_xlfn.IFNA(VLOOKUP($AH75,Programma!$F$3:$W$1101,18,0),"")</f>
        <v>_</v>
      </c>
      <c r="AZ75" s="411" t="str">
        <f>_xlfn.IFNA(VLOOKUP($AH75,Programma!$F$3:$X$1101,19,0),"")</f>
        <v>_</v>
      </c>
      <c r="BA75" s="411" t="str">
        <f>_xlfn.IFNA(VLOOKUP($AH75,Programma!$F$3:$Y$1101,20,0),"")</f>
        <v>_</v>
      </c>
      <c r="BB75" s="412"/>
      <c r="BC75" s="410" t="str">
        <f>IF(Ruimtestaat[[#This Row],[Frequentie weekend]]="","",_xlfn.CONCAT(Ruimtestaat[[#This Row],[Ruimte code]],"-",Ruimtestaat[[#This Row],[Frequentie weekend]]," ",Ruimtestaat[[#This Row],[Vloer code]]))</f>
        <v/>
      </c>
      <c r="BD75" s="411" t="str">
        <f>_xlfn.IFNA(VLOOKUP($BC75,Programma!$F$3:$G$1101,2,0),"")</f>
        <v/>
      </c>
      <c r="BE75" s="411" t="str">
        <f>_xlfn.IFNA(VLOOKUP($BC75,Programma!$F$3:$H$1101,3,0),"")</f>
        <v/>
      </c>
      <c r="BF75" s="411" t="str">
        <f>_xlfn.IFNA(VLOOKUP($BC75,Programma!$F$3:$I$1101,4,0),"")</f>
        <v/>
      </c>
      <c r="BG75" s="411" t="str">
        <f>_xlfn.IFNA(VLOOKUP($BC75,Programma!$F$3:$J$1101,5,0),"")</f>
        <v/>
      </c>
      <c r="BH75" s="411" t="str">
        <f>_xlfn.IFNA(VLOOKUP($BC75,Programma!$F$3:$K$1101,6,0),"")</f>
        <v/>
      </c>
      <c r="BI75" s="411" t="str">
        <f>_xlfn.IFNA(VLOOKUP($BC75,Programma!$F$3:$L$1101,7,0),"")</f>
        <v/>
      </c>
      <c r="BJ75" s="411" t="str">
        <f>_xlfn.IFNA(VLOOKUP($BC75,Programma!$F$3:$M$1101,8,0),"")</f>
        <v/>
      </c>
      <c r="BK75" s="411" t="str">
        <f>_xlfn.IFNA(VLOOKUP($BC75,Programma!$F$3:$N$1101,9,0),"")</f>
        <v/>
      </c>
      <c r="BL75" s="411" t="str">
        <f>_xlfn.IFNA(VLOOKUP($BC75,Programma!$F$3:$O$1101,10,0),"")</f>
        <v/>
      </c>
      <c r="BM75" s="411" t="str">
        <f>_xlfn.IFNA(VLOOKUP($BC75,Programma!$F$3:$P$1101,11,0),"")</f>
        <v/>
      </c>
      <c r="BN75" s="411" t="str">
        <f>_xlfn.IFNA(VLOOKUP($BC75,Programma!$F$3:$Q$1101,12,0),"")</f>
        <v/>
      </c>
      <c r="BO75" s="411" t="str">
        <f>_xlfn.IFNA(VLOOKUP($BC75,Programma!$F$3:$R$1101,13,0),"")</f>
        <v/>
      </c>
      <c r="BP75" s="411" t="str">
        <f>_xlfn.IFNA(VLOOKUP($BC75,Programma!$F$3:$S$1101,14,0),"")</f>
        <v/>
      </c>
      <c r="BQ75" s="411" t="str">
        <f>_xlfn.IFNA(VLOOKUP($BC75,Programma!$F$3:$T$1101,15,0),"")</f>
        <v/>
      </c>
      <c r="BR75" s="411" t="str">
        <f>_xlfn.IFNA(VLOOKUP($BC75,Programma!$F$3:$U$1101,16,0),"")</f>
        <v/>
      </c>
      <c r="BS75" s="411" t="str">
        <f>_xlfn.IFNA(VLOOKUP($BC75,Programma!$F$3:$V$1101,17,0),"")</f>
        <v/>
      </c>
      <c r="BT75" s="411" t="str">
        <f>_xlfn.IFNA(VLOOKUP($BC75,Programma!$F$3:$W$1101,18,0),"")</f>
        <v/>
      </c>
      <c r="BU75" s="411" t="str">
        <f>_xlfn.IFNA(VLOOKUP($BC75,Programma!$F$3:$X$1101,19,0),"")</f>
        <v/>
      </c>
      <c r="BV75" s="411" t="str">
        <f>_xlfn.IFNA(VLOOKUP($BC75,Programma!$F$3:$Y$1101,20,0),"")</f>
        <v/>
      </c>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c r="ET75" s="28"/>
      <c r="EU75" s="28"/>
      <c r="EV75" s="28"/>
      <c r="EW75" s="28"/>
      <c r="EX75" s="28"/>
      <c r="EY75" s="28"/>
      <c r="EZ75" s="28"/>
      <c r="FA75" s="28"/>
      <c r="FB75" s="28"/>
      <c r="FC75" s="28"/>
      <c r="FD75" s="28"/>
      <c r="FE75" s="28"/>
      <c r="FF75" s="28"/>
      <c r="FG75" s="28"/>
      <c r="FH75" s="28"/>
      <c r="FI75" s="28"/>
      <c r="FJ75" s="28"/>
      <c r="FK75" s="28"/>
      <c r="FL75" s="28"/>
      <c r="FM75" s="28"/>
      <c r="FN75" s="28"/>
      <c r="FO75" s="28"/>
      <c r="FP75" s="28"/>
      <c r="FQ75" s="28"/>
      <c r="FR75" s="28"/>
      <c r="FS75" s="28"/>
      <c r="FT75" s="28"/>
      <c r="FU75" s="28"/>
      <c r="FV75" s="28"/>
      <c r="FW75" s="28"/>
      <c r="FX75" s="28"/>
      <c r="FY75" s="28"/>
      <c r="FZ75" s="28"/>
      <c r="GA75" s="28"/>
      <c r="GB75" s="28"/>
      <c r="GC75" s="28"/>
      <c r="GD75" s="28"/>
      <c r="GE75" s="28"/>
      <c r="GF75" s="28"/>
      <c r="GG75" s="28"/>
      <c r="GH75" s="28"/>
      <c r="GI75" s="28"/>
      <c r="GJ75" s="28"/>
      <c r="GK75" s="28"/>
      <c r="GL75" s="28"/>
      <c r="GM75" s="28"/>
      <c r="GN75" s="28"/>
      <c r="GO75" s="28"/>
      <c r="GP75" s="28"/>
      <c r="GQ75" s="28"/>
      <c r="GR75" s="28"/>
      <c r="GS75" s="28"/>
      <c r="GT75" s="28"/>
      <c r="GU75" s="28"/>
      <c r="GV75" s="28"/>
      <c r="GW75" s="28"/>
      <c r="GX75" s="28"/>
      <c r="GY75" s="28"/>
      <c r="GZ75" s="28"/>
      <c r="HA75" s="28"/>
      <c r="HB75" s="28"/>
      <c r="HC75" s="28"/>
      <c r="HD75" s="28"/>
      <c r="HE75" s="28"/>
      <c r="HF75" s="28"/>
      <c r="HG75" s="28"/>
      <c r="HH75" s="28"/>
      <c r="HI75" s="28"/>
      <c r="HJ75" s="28"/>
      <c r="HK75" s="28"/>
    </row>
    <row r="76" spans="1:219" ht="15" customHeight="1">
      <c r="A76" s="336">
        <v>2</v>
      </c>
      <c r="B76" s="400" t="str">
        <f>VLOOKUP(Ruimtestaat[[#This Row],[Code]],Locaties[[Code]:[Locatie]],2,FALSE)</f>
        <v>Kleine Houtweg</v>
      </c>
      <c r="C76" s="400" t="str">
        <f>VLOOKUP(Ruimtestaat[[#This Row],[Code]],Locaties[[#All],[Code]:[Adres]],4,FALSE)</f>
        <v>Kleine Houtweg 18</v>
      </c>
      <c r="D76" s="400" t="str">
        <f>VLOOKUP(Ruimtestaat[[#This Row],[Code]],Locaties[[#All],[Code]:[Postcode]],5,FALSE)</f>
        <v>2012 CH</v>
      </c>
      <c r="E76" s="400" t="str">
        <f>VLOOKUP(Ruimtestaat[[#This Row],[Code]],Locaties[#All],6,FALSE)</f>
        <v>Haarlem</v>
      </c>
      <c r="F76" s="399"/>
      <c r="G76" s="399" t="s">
        <v>1639</v>
      </c>
      <c r="H76" s="401">
        <v>2</v>
      </c>
      <c r="I76" s="402" t="s">
        <v>1646</v>
      </c>
      <c r="J76" s="336">
        <v>2</v>
      </c>
      <c r="K76" s="414" t="str">
        <f>VLOOKUP(Ruimtestaat[[#This Row],[Ruimte code]],Ruimtegroepen[[#All],[Code]:[Ruimte omschrijving]],2,FALSE)</f>
        <v>Kantoren</v>
      </c>
      <c r="L76" s="399" t="s">
        <v>101</v>
      </c>
      <c r="M76" s="402" t="s">
        <v>1661</v>
      </c>
      <c r="N76" s="404">
        <v>184</v>
      </c>
      <c r="O76" s="413"/>
      <c r="P76" s="405" t="str">
        <f>VLOOKUP(Ruimtestaat[[#This Row],[Ruimte code]],Ruimtegroepen[],4,FALSE)</f>
        <v>Bu</v>
      </c>
      <c r="Q76" s="399">
        <v>51</v>
      </c>
      <c r="R76" s="399" t="s">
        <v>18</v>
      </c>
      <c r="S76" s="399">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76" s="399">
        <f>IF(S76&gt;0,VLOOKUP($J76,Ruimtegroepen[],3,FALSE)*VLOOKUP($L76,Vloersoorten[],3,FALSE)*VLOOKUP($R76,Frequenties[],3,FALSE)*VLOOKUP($A76,Locaties[],3,FALSE),0)</f>
        <v>0</v>
      </c>
      <c r="U76" s="399">
        <f>Ruimtestaat[[#This Row],[Uitvoeringen werkdagen]]*Ruimtestaat[[#This Row],[Oppervlak (netto)]]</f>
        <v>28152</v>
      </c>
      <c r="V76" s="406">
        <f>IF(T76&gt;0,Ruimtestaat[[#This Row],[Prest. (m2 /jaar) werkdagen]]/Ruimtestaat[[#This Row],[Norm (m2/uur) werkdagen]],0)</f>
        <v>0</v>
      </c>
      <c r="W76" s="407">
        <f>Ruimtestaat[[#This Row],[uren / jaar werkdagen]]*Tariefsopbouw!$E$35</f>
        <v>0</v>
      </c>
      <c r="X76" s="399"/>
      <c r="Y76" s="399">
        <f>IF(Ruimtestaat[[#This Row],[Frequentie weekend]]&gt;0,VALUE(LEFT(X76,1))*Q76,0)</f>
        <v>0</v>
      </c>
      <c r="Z76" s="408">
        <f>IF($Y76&gt;0,VLOOKUP($J76,Ruimtegroepen[],3,FALSE)*VLOOKUP($L76,Vloersoorten[],3,FALSE)*VLOOKUP($X76,Frequenties[],3,FALSE)*VLOOKUP(Ruimtestaat[[#This Row],[Code]],Locaties[],3,FALSE),0)</f>
        <v>0</v>
      </c>
      <c r="AA76" s="408">
        <f>Ruimtestaat[[#This Row],[Uitvoeringen weekend]]*Ruimtestaat[[#This Row],[Oppervlak (netto)]]</f>
        <v>0</v>
      </c>
      <c r="AB76" s="408">
        <f>IF(Z76&gt;0,Ruimtestaat[[#This Row],[Prest. (m2 /jaar) weekend]]/Ruimtestaat[[#This Row],[Norm (m2/uur) weekend]],0)</f>
        <v>0</v>
      </c>
      <c r="AC76" s="407">
        <f>Ruimtestaat[[#This Row],[uren / jaar weekend]]*Tariefsopbouw!$D$40</f>
        <v>0</v>
      </c>
      <c r="AD76" s="406">
        <f>Ruimtestaat[[#This Row],[Prest. (m2 /jaar) weekend]]+Ruimtestaat[[#This Row],[Prest. (m2 /jaar) werkdagen]]</f>
        <v>28152</v>
      </c>
      <c r="AE76" s="406">
        <f>Ruimtestaat[[#This Row],[uren / jaar weekend]]+Ruimtestaat[[#This Row],[uren / jaar werkdagen]]</f>
        <v>0</v>
      </c>
      <c r="AF76" s="409">
        <f>Ruimtestaat[[#This Row],[kosten / jaar weekend]]+Ruimtestaat[[#This Row],[kosten / jaar werkdagen]]</f>
        <v>0</v>
      </c>
      <c r="AG76" s="409"/>
      <c r="AH76" s="410" t="str">
        <f>IF(Ruimtestaat[[#This Row],[Frequentie werkdagen]]="","",_xlfn.CONCAT(Ruimtestaat[[#This Row],[Ruimte code]],"-",Ruimtestaat[[#This Row],[Frequentie werkdagen]]," ",Ruimtestaat[[#This Row],[Vloer code]]))</f>
        <v>2-3w S</v>
      </c>
      <c r="AI76" s="411" t="str">
        <f>_xlfn.IFNA(VLOOKUP($AH76,Programma!$F$3:$G$1101,2,0),"")</f>
        <v>_</v>
      </c>
      <c r="AJ76" s="411" t="str">
        <f>_xlfn.IFNA(VLOOKUP($AH76,Programma!$F$3:$H$1101,3,0),"")</f>
        <v>_</v>
      </c>
      <c r="AK76" s="411" t="str">
        <f>_xlfn.IFNA(VLOOKUP($AH76,Programma!$F$3:$I$1101,4,0),"")</f>
        <v>2w</v>
      </c>
      <c r="AL76" s="411" t="str">
        <f>_xlfn.IFNA(VLOOKUP($AH76,Programma!$F$3:$J$1101,5,0),"")</f>
        <v>1w</v>
      </c>
      <c r="AM76" s="411" t="str">
        <f>_xlfn.IFNA(VLOOKUP($AH76,Programma!$F$3:$K$1101,6,0),"")</f>
        <v>1j</v>
      </c>
      <c r="AN76" s="411" t="str">
        <f>_xlfn.IFNA(VLOOKUP($AH76,Programma!$F$3:$L$1101,7,0),"")</f>
        <v>_</v>
      </c>
      <c r="AO76" s="411" t="str">
        <f>_xlfn.IFNA(VLOOKUP($AH76,Programma!$F$3:$M$1101,8,0),"")</f>
        <v>_</v>
      </c>
      <c r="AP76" s="411" t="str">
        <f>_xlfn.IFNA(VLOOKUP($AH76,Programma!$F$3:$N$1101,9,0),"")</f>
        <v>_</v>
      </c>
      <c r="AQ76" s="411" t="str">
        <f>_xlfn.IFNA(VLOOKUP($AH76,Programma!$F$3:$O$1101,10,0),"")</f>
        <v>3w</v>
      </c>
      <c r="AR76" s="411" t="str">
        <f>_xlfn.IFNA(VLOOKUP($AH76,Programma!$F$3:$P$1101,11,0),"")</f>
        <v>3w</v>
      </c>
      <c r="AS76" s="411" t="str">
        <f>_xlfn.IFNA(VLOOKUP($AH76,Programma!$F$3:$Q$1101,12,0),"")</f>
        <v>1w</v>
      </c>
      <c r="AT76" s="411" t="str">
        <f>_xlfn.IFNA(VLOOKUP($AH76,Programma!$F$3:$R$1101,13,0),"")</f>
        <v>1w</v>
      </c>
      <c r="AU76" s="411" t="str">
        <f>_xlfn.IFNA(VLOOKUP($AH76,Programma!$F$3:$S$1101,14,0),"")</f>
        <v>1m</v>
      </c>
      <c r="AV76" s="411" t="str">
        <f>_xlfn.IFNA(VLOOKUP($AH76,Programma!$F$3:$T$1101,15,0),"")</f>
        <v>2j</v>
      </c>
      <c r="AW76" s="411" t="str">
        <f>_xlfn.IFNA(VLOOKUP($AH76,Programma!$F$3:$U$1101,16,0),"")</f>
        <v>1j</v>
      </c>
      <c r="AX76" s="411" t="str">
        <f>_xlfn.IFNA(VLOOKUP($AH76,Programma!$F$3:$V$1101,17,0),"")</f>
        <v>_</v>
      </c>
      <c r="AY76" s="411" t="str">
        <f>_xlfn.IFNA(VLOOKUP($AH76,Programma!$F$3:$W$1101,18,0),"")</f>
        <v>_</v>
      </c>
      <c r="AZ76" s="411" t="str">
        <f>_xlfn.IFNA(VLOOKUP($AH76,Programma!$F$3:$X$1101,19,0),"")</f>
        <v>_</v>
      </c>
      <c r="BA76" s="411" t="str">
        <f>_xlfn.IFNA(VLOOKUP($AH76,Programma!$F$3:$Y$1101,20,0),"")</f>
        <v>_</v>
      </c>
      <c r="BB76" s="412"/>
      <c r="BC76" s="410" t="str">
        <f>IF(Ruimtestaat[[#This Row],[Frequentie weekend]]="","",_xlfn.CONCAT(Ruimtestaat[[#This Row],[Ruimte code]],"-",Ruimtestaat[[#This Row],[Frequentie weekend]]," ",Ruimtestaat[[#This Row],[Vloer code]]))</f>
        <v/>
      </c>
      <c r="BD76" s="411" t="str">
        <f>_xlfn.IFNA(VLOOKUP($BC76,Programma!$F$3:$G$1101,2,0),"")</f>
        <v/>
      </c>
      <c r="BE76" s="411" t="str">
        <f>_xlfn.IFNA(VLOOKUP($BC76,Programma!$F$3:$H$1101,3,0),"")</f>
        <v/>
      </c>
      <c r="BF76" s="411" t="str">
        <f>_xlfn.IFNA(VLOOKUP($BC76,Programma!$F$3:$I$1101,4,0),"")</f>
        <v/>
      </c>
      <c r="BG76" s="411" t="str">
        <f>_xlfn.IFNA(VLOOKUP($BC76,Programma!$F$3:$J$1101,5,0),"")</f>
        <v/>
      </c>
      <c r="BH76" s="411" t="str">
        <f>_xlfn.IFNA(VLOOKUP($BC76,Programma!$F$3:$K$1101,6,0),"")</f>
        <v/>
      </c>
      <c r="BI76" s="411" t="str">
        <f>_xlfn.IFNA(VLOOKUP($BC76,Programma!$F$3:$L$1101,7,0),"")</f>
        <v/>
      </c>
      <c r="BJ76" s="411" t="str">
        <f>_xlfn.IFNA(VLOOKUP($BC76,Programma!$F$3:$M$1101,8,0),"")</f>
        <v/>
      </c>
      <c r="BK76" s="411" t="str">
        <f>_xlfn.IFNA(VLOOKUP($BC76,Programma!$F$3:$N$1101,9,0),"")</f>
        <v/>
      </c>
      <c r="BL76" s="411" t="str">
        <f>_xlfn.IFNA(VLOOKUP($BC76,Programma!$F$3:$O$1101,10,0),"")</f>
        <v/>
      </c>
      <c r="BM76" s="411" t="str">
        <f>_xlfn.IFNA(VLOOKUP($BC76,Programma!$F$3:$P$1101,11,0),"")</f>
        <v/>
      </c>
      <c r="BN76" s="411" t="str">
        <f>_xlfn.IFNA(VLOOKUP($BC76,Programma!$F$3:$Q$1101,12,0),"")</f>
        <v/>
      </c>
      <c r="BO76" s="411" t="str">
        <f>_xlfn.IFNA(VLOOKUP($BC76,Programma!$F$3:$R$1101,13,0),"")</f>
        <v/>
      </c>
      <c r="BP76" s="411" t="str">
        <f>_xlfn.IFNA(VLOOKUP($BC76,Programma!$F$3:$S$1101,14,0),"")</f>
        <v/>
      </c>
      <c r="BQ76" s="411" t="str">
        <f>_xlfn.IFNA(VLOOKUP($BC76,Programma!$F$3:$T$1101,15,0),"")</f>
        <v/>
      </c>
      <c r="BR76" s="411" t="str">
        <f>_xlfn.IFNA(VLOOKUP($BC76,Programma!$F$3:$U$1101,16,0),"")</f>
        <v/>
      </c>
      <c r="BS76" s="411" t="str">
        <f>_xlfn.IFNA(VLOOKUP($BC76,Programma!$F$3:$V$1101,17,0),"")</f>
        <v/>
      </c>
      <c r="BT76" s="411" t="str">
        <f>_xlfn.IFNA(VLOOKUP($BC76,Programma!$F$3:$W$1101,18,0),"")</f>
        <v/>
      </c>
      <c r="BU76" s="411" t="str">
        <f>_xlfn.IFNA(VLOOKUP($BC76,Programma!$F$3:$X$1101,19,0),"")</f>
        <v/>
      </c>
      <c r="BV76" s="411" t="str">
        <f>_xlfn.IFNA(VLOOKUP($BC76,Programma!$F$3:$Y$1101,20,0),"")</f>
        <v/>
      </c>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8"/>
      <c r="FJ76" s="28"/>
      <c r="FK76" s="28"/>
      <c r="FL76" s="28"/>
      <c r="FM76" s="28"/>
      <c r="FN76" s="28"/>
      <c r="FO76" s="28"/>
      <c r="FP76" s="28"/>
      <c r="FQ76" s="28"/>
      <c r="FR76" s="28"/>
      <c r="FS76" s="28"/>
      <c r="FT76" s="28"/>
      <c r="FU76" s="28"/>
      <c r="FV76" s="28"/>
      <c r="FW76" s="28"/>
      <c r="FX76" s="28"/>
      <c r="FY76" s="28"/>
      <c r="FZ76" s="28"/>
      <c r="GA76" s="28"/>
      <c r="GB76" s="28"/>
      <c r="GC76" s="28"/>
      <c r="GD76" s="28"/>
      <c r="GE76" s="28"/>
      <c r="GF76" s="28"/>
      <c r="GG76" s="28"/>
      <c r="GH76" s="28"/>
      <c r="GI76" s="28"/>
      <c r="GJ76" s="28"/>
      <c r="GK76" s="28"/>
      <c r="GL76" s="28"/>
      <c r="GM76" s="28"/>
      <c r="GN76" s="28"/>
      <c r="GO76" s="28"/>
      <c r="GP76" s="28"/>
      <c r="GQ76" s="28"/>
      <c r="GR76" s="28"/>
      <c r="GS76" s="28"/>
      <c r="GT76" s="28"/>
      <c r="GU76" s="28"/>
      <c r="GV76" s="28"/>
      <c r="GW76" s="28"/>
      <c r="GX76" s="28"/>
      <c r="GY76" s="28"/>
      <c r="GZ76" s="28"/>
      <c r="HA76" s="28"/>
      <c r="HB76" s="28"/>
      <c r="HC76" s="28"/>
      <c r="HD76" s="28"/>
      <c r="HE76" s="28"/>
      <c r="HF76" s="28"/>
      <c r="HG76" s="28"/>
      <c r="HH76" s="28"/>
      <c r="HI76" s="28"/>
      <c r="HJ76" s="28"/>
      <c r="HK76" s="28"/>
    </row>
    <row r="77" spans="1:219" ht="15" customHeight="1">
      <c r="A77" s="336">
        <v>2</v>
      </c>
      <c r="B77" s="400" t="str">
        <f>VLOOKUP(Ruimtestaat[[#This Row],[Code]],Locaties[[Code]:[Locatie]],2,FALSE)</f>
        <v>Kleine Houtweg</v>
      </c>
      <c r="C77" s="400" t="str">
        <f>VLOOKUP(Ruimtestaat[[#This Row],[Code]],Locaties[[#All],[Code]:[Adres]],4,FALSE)</f>
        <v>Kleine Houtweg 18</v>
      </c>
      <c r="D77" s="400" t="str">
        <f>VLOOKUP(Ruimtestaat[[#This Row],[Code]],Locaties[[#All],[Code]:[Postcode]],5,FALSE)</f>
        <v>2012 CH</v>
      </c>
      <c r="E77" s="400" t="str">
        <f>VLOOKUP(Ruimtestaat[[#This Row],[Code]],Locaties[#All],6,FALSE)</f>
        <v>Haarlem</v>
      </c>
      <c r="F77" s="399"/>
      <c r="G77" s="399" t="s">
        <v>1639</v>
      </c>
      <c r="H77" s="401" t="s">
        <v>1660</v>
      </c>
      <c r="I77" s="402" t="s">
        <v>1646</v>
      </c>
      <c r="J77" s="336">
        <v>2</v>
      </c>
      <c r="K77" s="414" t="str">
        <f>VLOOKUP(Ruimtestaat[[#This Row],[Ruimte code]],Ruimtegroepen[[#All],[Code]:[Ruimte omschrijving]],2,FALSE)</f>
        <v>Kantoren</v>
      </c>
      <c r="L77" s="399" t="s">
        <v>101</v>
      </c>
      <c r="M77" s="402" t="s">
        <v>1661</v>
      </c>
      <c r="N77" s="404">
        <v>148</v>
      </c>
      <c r="O77" s="413"/>
      <c r="P77" s="405" t="str">
        <f>VLOOKUP(Ruimtestaat[[#This Row],[Ruimte code]],Ruimtegroepen[],4,FALSE)</f>
        <v>Bu</v>
      </c>
      <c r="Q77" s="399">
        <v>51</v>
      </c>
      <c r="R77" s="399" t="s">
        <v>18</v>
      </c>
      <c r="S77" s="399">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77" s="399">
        <f>IF(S77&gt;0,VLOOKUP($J77,Ruimtegroepen[],3,FALSE)*VLOOKUP($L77,Vloersoorten[],3,FALSE)*VLOOKUP($R77,Frequenties[],3,FALSE)*VLOOKUP($A77,Locaties[],3,FALSE),0)</f>
        <v>0</v>
      </c>
      <c r="U77" s="399">
        <f>Ruimtestaat[[#This Row],[Uitvoeringen werkdagen]]*Ruimtestaat[[#This Row],[Oppervlak (netto)]]</f>
        <v>22644</v>
      </c>
      <c r="V77" s="406">
        <f>IF(T77&gt;0,Ruimtestaat[[#This Row],[Prest. (m2 /jaar) werkdagen]]/Ruimtestaat[[#This Row],[Norm (m2/uur) werkdagen]],0)</f>
        <v>0</v>
      </c>
      <c r="W77" s="407">
        <f>Ruimtestaat[[#This Row],[uren / jaar werkdagen]]*Tariefsopbouw!$E$35</f>
        <v>0</v>
      </c>
      <c r="X77" s="399"/>
      <c r="Y77" s="399">
        <f>IF(Ruimtestaat[[#This Row],[Frequentie weekend]]&gt;0,VALUE(LEFT(X77,1))*Q77,0)</f>
        <v>0</v>
      </c>
      <c r="Z77" s="408">
        <f>IF($Y77&gt;0,VLOOKUP($J77,Ruimtegroepen[],3,FALSE)*VLOOKUP($L77,Vloersoorten[],3,FALSE)*VLOOKUP($X77,Frequenties[],3,FALSE)*VLOOKUP(Ruimtestaat[[#This Row],[Code]],Locaties[],3,FALSE),0)</f>
        <v>0</v>
      </c>
      <c r="AA77" s="408">
        <f>Ruimtestaat[[#This Row],[Uitvoeringen weekend]]*Ruimtestaat[[#This Row],[Oppervlak (netto)]]</f>
        <v>0</v>
      </c>
      <c r="AB77" s="408">
        <f>IF(Z77&gt;0,Ruimtestaat[[#This Row],[Prest. (m2 /jaar) weekend]]/Ruimtestaat[[#This Row],[Norm (m2/uur) weekend]],0)</f>
        <v>0</v>
      </c>
      <c r="AC77" s="407">
        <f>Ruimtestaat[[#This Row],[uren / jaar weekend]]*Tariefsopbouw!$D$40</f>
        <v>0</v>
      </c>
      <c r="AD77" s="406">
        <f>Ruimtestaat[[#This Row],[Prest. (m2 /jaar) weekend]]+Ruimtestaat[[#This Row],[Prest. (m2 /jaar) werkdagen]]</f>
        <v>22644</v>
      </c>
      <c r="AE77" s="406">
        <f>Ruimtestaat[[#This Row],[uren / jaar weekend]]+Ruimtestaat[[#This Row],[uren / jaar werkdagen]]</f>
        <v>0</v>
      </c>
      <c r="AF77" s="409">
        <f>Ruimtestaat[[#This Row],[kosten / jaar weekend]]+Ruimtestaat[[#This Row],[kosten / jaar werkdagen]]</f>
        <v>0</v>
      </c>
      <c r="AG77" s="409"/>
      <c r="AH77" s="410" t="str">
        <f>IF(Ruimtestaat[[#This Row],[Frequentie werkdagen]]="","",_xlfn.CONCAT(Ruimtestaat[[#This Row],[Ruimte code]],"-",Ruimtestaat[[#This Row],[Frequentie werkdagen]]," ",Ruimtestaat[[#This Row],[Vloer code]]))</f>
        <v>2-3w S</v>
      </c>
      <c r="AI77" s="411" t="str">
        <f>_xlfn.IFNA(VLOOKUP($AH77,Programma!$F$3:$G$1101,2,0),"")</f>
        <v>_</v>
      </c>
      <c r="AJ77" s="411" t="str">
        <f>_xlfn.IFNA(VLOOKUP($AH77,Programma!$F$3:$H$1101,3,0),"")</f>
        <v>_</v>
      </c>
      <c r="AK77" s="411" t="str">
        <f>_xlfn.IFNA(VLOOKUP($AH77,Programma!$F$3:$I$1101,4,0),"")</f>
        <v>2w</v>
      </c>
      <c r="AL77" s="411" t="str">
        <f>_xlfn.IFNA(VLOOKUP($AH77,Programma!$F$3:$J$1101,5,0),"")</f>
        <v>1w</v>
      </c>
      <c r="AM77" s="411" t="str">
        <f>_xlfn.IFNA(VLOOKUP($AH77,Programma!$F$3:$K$1101,6,0),"")</f>
        <v>1j</v>
      </c>
      <c r="AN77" s="411" t="str">
        <f>_xlfn.IFNA(VLOOKUP($AH77,Programma!$F$3:$L$1101,7,0),"")</f>
        <v>_</v>
      </c>
      <c r="AO77" s="411" t="str">
        <f>_xlfn.IFNA(VLOOKUP($AH77,Programma!$F$3:$M$1101,8,0),"")</f>
        <v>_</v>
      </c>
      <c r="AP77" s="411" t="str">
        <f>_xlfn.IFNA(VLOOKUP($AH77,Programma!$F$3:$N$1101,9,0),"")</f>
        <v>_</v>
      </c>
      <c r="AQ77" s="411" t="str">
        <f>_xlfn.IFNA(VLOOKUP($AH77,Programma!$F$3:$O$1101,10,0),"")</f>
        <v>3w</v>
      </c>
      <c r="AR77" s="411" t="str">
        <f>_xlfn.IFNA(VLOOKUP($AH77,Programma!$F$3:$P$1101,11,0),"")</f>
        <v>3w</v>
      </c>
      <c r="AS77" s="411" t="str">
        <f>_xlfn.IFNA(VLOOKUP($AH77,Programma!$F$3:$Q$1101,12,0),"")</f>
        <v>1w</v>
      </c>
      <c r="AT77" s="411" t="str">
        <f>_xlfn.IFNA(VLOOKUP($AH77,Programma!$F$3:$R$1101,13,0),"")</f>
        <v>1w</v>
      </c>
      <c r="AU77" s="411" t="str">
        <f>_xlfn.IFNA(VLOOKUP($AH77,Programma!$F$3:$S$1101,14,0),"")</f>
        <v>1m</v>
      </c>
      <c r="AV77" s="411" t="str">
        <f>_xlfn.IFNA(VLOOKUP($AH77,Programma!$F$3:$T$1101,15,0),"")</f>
        <v>2j</v>
      </c>
      <c r="AW77" s="411" t="str">
        <f>_xlfn.IFNA(VLOOKUP($AH77,Programma!$F$3:$U$1101,16,0),"")</f>
        <v>1j</v>
      </c>
      <c r="AX77" s="411" t="str">
        <f>_xlfn.IFNA(VLOOKUP($AH77,Programma!$F$3:$V$1101,17,0),"")</f>
        <v>_</v>
      </c>
      <c r="AY77" s="411" t="str">
        <f>_xlfn.IFNA(VLOOKUP($AH77,Programma!$F$3:$W$1101,18,0),"")</f>
        <v>_</v>
      </c>
      <c r="AZ77" s="411" t="str">
        <f>_xlfn.IFNA(VLOOKUP($AH77,Programma!$F$3:$X$1101,19,0),"")</f>
        <v>_</v>
      </c>
      <c r="BA77" s="411" t="str">
        <f>_xlfn.IFNA(VLOOKUP($AH77,Programma!$F$3:$Y$1101,20,0),"")</f>
        <v>_</v>
      </c>
      <c r="BB77" s="412"/>
      <c r="BC77" s="410" t="str">
        <f>IF(Ruimtestaat[[#This Row],[Frequentie weekend]]="","",_xlfn.CONCAT(Ruimtestaat[[#This Row],[Ruimte code]],"-",Ruimtestaat[[#This Row],[Frequentie weekend]]," ",Ruimtestaat[[#This Row],[Vloer code]]))</f>
        <v/>
      </c>
      <c r="BD77" s="411" t="str">
        <f>_xlfn.IFNA(VLOOKUP($BC77,Programma!$F$3:$G$1101,2,0),"")</f>
        <v/>
      </c>
      <c r="BE77" s="411" t="str">
        <f>_xlfn.IFNA(VLOOKUP($BC77,Programma!$F$3:$H$1101,3,0),"")</f>
        <v/>
      </c>
      <c r="BF77" s="411" t="str">
        <f>_xlfn.IFNA(VLOOKUP($BC77,Programma!$F$3:$I$1101,4,0),"")</f>
        <v/>
      </c>
      <c r="BG77" s="411" t="str">
        <f>_xlfn.IFNA(VLOOKUP($BC77,Programma!$F$3:$J$1101,5,0),"")</f>
        <v/>
      </c>
      <c r="BH77" s="411" t="str">
        <f>_xlfn.IFNA(VLOOKUP($BC77,Programma!$F$3:$K$1101,6,0),"")</f>
        <v/>
      </c>
      <c r="BI77" s="411" t="str">
        <f>_xlfn.IFNA(VLOOKUP($BC77,Programma!$F$3:$L$1101,7,0),"")</f>
        <v/>
      </c>
      <c r="BJ77" s="411" t="str">
        <f>_xlfn.IFNA(VLOOKUP($BC77,Programma!$F$3:$M$1101,8,0),"")</f>
        <v/>
      </c>
      <c r="BK77" s="411" t="str">
        <f>_xlfn.IFNA(VLOOKUP($BC77,Programma!$F$3:$N$1101,9,0),"")</f>
        <v/>
      </c>
      <c r="BL77" s="411" t="str">
        <f>_xlfn.IFNA(VLOOKUP($BC77,Programma!$F$3:$O$1101,10,0),"")</f>
        <v/>
      </c>
      <c r="BM77" s="411" t="str">
        <f>_xlfn.IFNA(VLOOKUP($BC77,Programma!$F$3:$P$1101,11,0),"")</f>
        <v/>
      </c>
      <c r="BN77" s="411" t="str">
        <f>_xlfn.IFNA(VLOOKUP($BC77,Programma!$F$3:$Q$1101,12,0),"")</f>
        <v/>
      </c>
      <c r="BO77" s="411" t="str">
        <f>_xlfn.IFNA(VLOOKUP($BC77,Programma!$F$3:$R$1101,13,0),"")</f>
        <v/>
      </c>
      <c r="BP77" s="411" t="str">
        <f>_xlfn.IFNA(VLOOKUP($BC77,Programma!$F$3:$S$1101,14,0),"")</f>
        <v/>
      </c>
      <c r="BQ77" s="411" t="str">
        <f>_xlfn.IFNA(VLOOKUP($BC77,Programma!$F$3:$T$1101,15,0),"")</f>
        <v/>
      </c>
      <c r="BR77" s="411" t="str">
        <f>_xlfn.IFNA(VLOOKUP($BC77,Programma!$F$3:$U$1101,16,0),"")</f>
        <v/>
      </c>
      <c r="BS77" s="411" t="str">
        <f>_xlfn.IFNA(VLOOKUP($BC77,Programma!$F$3:$V$1101,17,0),"")</f>
        <v/>
      </c>
      <c r="BT77" s="411" t="str">
        <f>_xlfn.IFNA(VLOOKUP($BC77,Programma!$F$3:$W$1101,18,0),"")</f>
        <v/>
      </c>
      <c r="BU77" s="411" t="str">
        <f>_xlfn.IFNA(VLOOKUP($BC77,Programma!$F$3:$X$1101,19,0),"")</f>
        <v/>
      </c>
      <c r="BV77" s="411" t="str">
        <f>_xlfn.IFNA(VLOOKUP($BC77,Programma!$F$3:$Y$1101,20,0),"")</f>
        <v/>
      </c>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c r="EO77" s="28"/>
      <c r="EP77" s="28"/>
      <c r="EQ77" s="28"/>
      <c r="ER77" s="28"/>
      <c r="ES77" s="28"/>
      <c r="ET77" s="28"/>
      <c r="EU77" s="28"/>
      <c r="EV77" s="28"/>
      <c r="EW77" s="28"/>
      <c r="EX77" s="28"/>
      <c r="EY77" s="28"/>
      <c r="EZ77" s="28"/>
      <c r="FA77" s="28"/>
      <c r="FB77" s="28"/>
      <c r="FC77" s="28"/>
      <c r="FD77" s="28"/>
      <c r="FE77" s="28"/>
      <c r="FF77" s="28"/>
      <c r="FG77" s="28"/>
      <c r="FH77" s="28"/>
      <c r="FI77" s="28"/>
      <c r="FJ77" s="28"/>
      <c r="FK77" s="28"/>
      <c r="FL77" s="28"/>
      <c r="FM77" s="28"/>
      <c r="FN77" s="28"/>
      <c r="FO77" s="28"/>
      <c r="FP77" s="28"/>
      <c r="FQ77" s="28"/>
      <c r="FR77" s="28"/>
      <c r="FS77" s="28"/>
      <c r="FT77" s="28"/>
      <c r="FU77" s="28"/>
      <c r="FV77" s="28"/>
      <c r="FW77" s="28"/>
      <c r="FX77" s="28"/>
      <c r="FY77" s="28"/>
      <c r="FZ77" s="28"/>
      <c r="GA77" s="28"/>
      <c r="GB77" s="28"/>
      <c r="GC77" s="28"/>
      <c r="GD77" s="28"/>
      <c r="GE77" s="28"/>
      <c r="GF77" s="28"/>
      <c r="GG77" s="28"/>
      <c r="GH77" s="28"/>
      <c r="GI77" s="28"/>
      <c r="GJ77" s="28"/>
      <c r="GK77" s="28"/>
      <c r="GL77" s="28"/>
      <c r="GM77" s="28"/>
      <c r="GN77" s="28"/>
      <c r="GO77" s="28"/>
      <c r="GP77" s="28"/>
      <c r="GQ77" s="28"/>
      <c r="GR77" s="28"/>
      <c r="GS77" s="28"/>
      <c r="GT77" s="28"/>
      <c r="GU77" s="28"/>
      <c r="GV77" s="28"/>
      <c r="GW77" s="28"/>
      <c r="GX77" s="28"/>
      <c r="GY77" s="28"/>
      <c r="GZ77" s="28"/>
      <c r="HA77" s="28"/>
      <c r="HB77" s="28"/>
      <c r="HC77" s="28"/>
      <c r="HD77" s="28"/>
      <c r="HE77" s="28"/>
      <c r="HF77" s="28"/>
      <c r="HG77" s="28"/>
      <c r="HH77" s="28"/>
      <c r="HI77" s="28"/>
      <c r="HJ77" s="28"/>
      <c r="HK77" s="28"/>
    </row>
    <row r="78" spans="1:219" ht="15" customHeight="1">
      <c r="A78" s="336">
        <v>2</v>
      </c>
      <c r="B78" s="400" t="str">
        <f>VLOOKUP(Ruimtestaat[[#This Row],[Code]],Locaties[[Code]:[Locatie]],2,FALSE)</f>
        <v>Kleine Houtweg</v>
      </c>
      <c r="C78" s="400" t="str">
        <f>VLOOKUP(Ruimtestaat[[#This Row],[Code]],Locaties[[#All],[Code]:[Adres]],4,FALSE)</f>
        <v>Kleine Houtweg 18</v>
      </c>
      <c r="D78" s="400" t="str">
        <f>VLOOKUP(Ruimtestaat[[#This Row],[Code]],Locaties[[#All],[Code]:[Postcode]],5,FALSE)</f>
        <v>2012 CH</v>
      </c>
      <c r="E78" s="400" t="str">
        <f>VLOOKUP(Ruimtestaat[[#This Row],[Code]],Locaties[#All],6,FALSE)</f>
        <v>Haarlem</v>
      </c>
      <c r="F78" s="399"/>
      <c r="G78" s="399" t="s">
        <v>1639</v>
      </c>
      <c r="H78" s="401">
        <v>3</v>
      </c>
      <c r="I78" s="402" t="s">
        <v>1662</v>
      </c>
      <c r="J78" s="336">
        <v>4</v>
      </c>
      <c r="K78" s="414" t="str">
        <f>VLOOKUP(Ruimtestaat[[#This Row],[Ruimte code]],Ruimtegroepen[[#All],[Code]:[Ruimte omschrijving]],2,FALSE)</f>
        <v>Vergader/spreekkamers</v>
      </c>
      <c r="L78" s="399" t="s">
        <v>102</v>
      </c>
      <c r="M78" s="402" t="s">
        <v>120</v>
      </c>
      <c r="N78" s="404">
        <v>5.3</v>
      </c>
      <c r="O78" s="399"/>
      <c r="P78" s="405" t="str">
        <f>VLOOKUP(Ruimtestaat[[#This Row],[Ruimte code]],Ruimtegroepen[],4,FALSE)</f>
        <v>Bu</v>
      </c>
      <c r="Q78" s="399">
        <v>51</v>
      </c>
      <c r="R78" s="399" t="s">
        <v>18</v>
      </c>
      <c r="S78" s="399">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78" s="399">
        <f>IF(S78&gt;0,VLOOKUP($J78,Ruimtegroepen[],3,FALSE)*VLOOKUP($L78,Vloersoorten[],3,FALSE)*VLOOKUP($R78,Frequenties[],3,FALSE)*VLOOKUP($A78,Locaties[],3,FALSE),0)</f>
        <v>0</v>
      </c>
      <c r="U78" s="399">
        <f>Ruimtestaat[[#This Row],[Uitvoeringen werkdagen]]*Ruimtestaat[[#This Row],[Oppervlak (netto)]]</f>
        <v>810.9</v>
      </c>
      <c r="V78" s="406">
        <f>IF(T78&gt;0,Ruimtestaat[[#This Row],[Prest. (m2 /jaar) werkdagen]]/Ruimtestaat[[#This Row],[Norm (m2/uur) werkdagen]],0)</f>
        <v>0</v>
      </c>
      <c r="W78" s="407">
        <f>Ruimtestaat[[#This Row],[uren / jaar werkdagen]]*Tariefsopbouw!$E$35</f>
        <v>0</v>
      </c>
      <c r="X78" s="399"/>
      <c r="Y78" s="399">
        <f>IF(Ruimtestaat[[#This Row],[Frequentie weekend]]&gt;0,VALUE(LEFT(X78,1))*Q78,0)</f>
        <v>0</v>
      </c>
      <c r="Z78" s="408">
        <f>IF($Y78&gt;0,VLOOKUP($J78,Ruimtegroepen[],3,FALSE)*VLOOKUP($L78,Vloersoorten[],3,FALSE)*VLOOKUP($X78,Frequenties[],3,FALSE)*VLOOKUP(Ruimtestaat[[#This Row],[Code]],Locaties[],3,FALSE),0)</f>
        <v>0</v>
      </c>
      <c r="AA78" s="408">
        <f>Ruimtestaat[[#This Row],[Uitvoeringen weekend]]*Ruimtestaat[[#This Row],[Oppervlak (netto)]]</f>
        <v>0</v>
      </c>
      <c r="AB78" s="408">
        <f>IF(Z78&gt;0,Ruimtestaat[[#This Row],[Prest. (m2 /jaar) weekend]]/Ruimtestaat[[#This Row],[Norm (m2/uur) weekend]],0)</f>
        <v>0</v>
      </c>
      <c r="AC78" s="407">
        <f>Ruimtestaat[[#This Row],[uren / jaar weekend]]*Tariefsopbouw!$D$40</f>
        <v>0</v>
      </c>
      <c r="AD78" s="406">
        <f>Ruimtestaat[[#This Row],[Prest. (m2 /jaar) weekend]]+Ruimtestaat[[#This Row],[Prest. (m2 /jaar) werkdagen]]</f>
        <v>810.9</v>
      </c>
      <c r="AE78" s="406">
        <f>Ruimtestaat[[#This Row],[uren / jaar weekend]]+Ruimtestaat[[#This Row],[uren / jaar werkdagen]]</f>
        <v>0</v>
      </c>
      <c r="AF78" s="409">
        <f>Ruimtestaat[[#This Row],[kosten / jaar weekend]]+Ruimtestaat[[#This Row],[kosten / jaar werkdagen]]</f>
        <v>0</v>
      </c>
      <c r="AG78" s="409"/>
      <c r="AH78" s="410" t="str">
        <f>IF(Ruimtestaat[[#This Row],[Frequentie werkdagen]]="","",_xlfn.CONCAT(Ruimtestaat[[#This Row],[Ruimte code]],"-",Ruimtestaat[[#This Row],[Frequentie werkdagen]]," ",Ruimtestaat[[#This Row],[Vloer code]]))</f>
        <v>4-3w P</v>
      </c>
      <c r="AI78" s="411" t="str">
        <f>_xlfn.IFNA(VLOOKUP($AH78,Programma!$F$3:$G$1101,2,0),"")</f>
        <v>_</v>
      </c>
      <c r="AJ78" s="411" t="str">
        <f>_xlfn.IFNA(VLOOKUP($AH78,Programma!$F$3:$H$1101,3,0),"")</f>
        <v>_</v>
      </c>
      <c r="AK78" s="411" t="str">
        <f>_xlfn.IFNA(VLOOKUP($AH78,Programma!$F$3:$I$1101,4,0),"")</f>
        <v>2w</v>
      </c>
      <c r="AL78" s="411" t="str">
        <f>_xlfn.IFNA(VLOOKUP($AH78,Programma!$F$3:$J$1101,5,0),"")</f>
        <v>1w</v>
      </c>
      <c r="AM78" s="411" t="str">
        <f>_xlfn.IFNA(VLOOKUP($AH78,Programma!$F$3:$K$1101,6,0),"")</f>
        <v>2j</v>
      </c>
      <c r="AN78" s="411" t="str">
        <f>_xlfn.IFNA(VLOOKUP($AH78,Programma!$F$3:$L$1101,7,0),"")</f>
        <v>_</v>
      </c>
      <c r="AO78" s="411" t="str">
        <f>_xlfn.IFNA(VLOOKUP($AH78,Programma!$F$3:$M$1101,8,0),"")</f>
        <v>_</v>
      </c>
      <c r="AP78" s="411" t="str">
        <f>_xlfn.IFNA(VLOOKUP($AH78,Programma!$F$3:$N$1101,9,0),"")</f>
        <v>_</v>
      </c>
      <c r="AQ78" s="411" t="str">
        <f>_xlfn.IFNA(VLOOKUP($AH78,Programma!$F$3:$O$1101,10,0),"")</f>
        <v>3w</v>
      </c>
      <c r="AR78" s="411" t="str">
        <f>_xlfn.IFNA(VLOOKUP($AH78,Programma!$F$3:$P$1101,11,0),"")</f>
        <v>3w</v>
      </c>
      <c r="AS78" s="411" t="str">
        <f>_xlfn.IFNA(VLOOKUP($AH78,Programma!$F$3:$Q$1101,12,0),"")</f>
        <v>1w</v>
      </c>
      <c r="AT78" s="411" t="str">
        <f>_xlfn.IFNA(VLOOKUP($AH78,Programma!$F$3:$R$1101,13,0),"")</f>
        <v>1w</v>
      </c>
      <c r="AU78" s="411" t="str">
        <f>_xlfn.IFNA(VLOOKUP($AH78,Programma!$F$3:$S$1101,14,0),"")</f>
        <v>1m</v>
      </c>
      <c r="AV78" s="411" t="str">
        <f>_xlfn.IFNA(VLOOKUP($AH78,Programma!$F$3:$T$1101,15,0),"")</f>
        <v>2j</v>
      </c>
      <c r="AW78" s="411" t="str">
        <f>_xlfn.IFNA(VLOOKUP($AH78,Programma!$F$3:$U$1101,16,0),"")</f>
        <v>1j</v>
      </c>
      <c r="AX78" s="411" t="str">
        <f>_xlfn.IFNA(VLOOKUP($AH78,Programma!$F$3:$V$1101,17,0),"")</f>
        <v>_</v>
      </c>
      <c r="AY78" s="411" t="str">
        <f>_xlfn.IFNA(VLOOKUP($AH78,Programma!$F$3:$W$1101,18,0),"")</f>
        <v>_</v>
      </c>
      <c r="AZ78" s="411" t="str">
        <f>_xlfn.IFNA(VLOOKUP($AH78,Programma!$F$3:$X$1101,19,0),"")</f>
        <v>_</v>
      </c>
      <c r="BA78" s="411" t="str">
        <f>_xlfn.IFNA(VLOOKUP($AH78,Programma!$F$3:$Y$1101,20,0),"")</f>
        <v>_</v>
      </c>
      <c r="BB78" s="412"/>
      <c r="BC78" s="410" t="str">
        <f>IF(Ruimtestaat[[#This Row],[Frequentie weekend]]="","",_xlfn.CONCAT(Ruimtestaat[[#This Row],[Ruimte code]],"-",Ruimtestaat[[#This Row],[Frequentie weekend]]," ",Ruimtestaat[[#This Row],[Vloer code]]))</f>
        <v/>
      </c>
      <c r="BD78" s="411" t="str">
        <f>_xlfn.IFNA(VLOOKUP($BC78,Programma!$F$3:$G$1101,2,0),"")</f>
        <v/>
      </c>
      <c r="BE78" s="411" t="str">
        <f>_xlfn.IFNA(VLOOKUP($BC78,Programma!$F$3:$H$1101,3,0),"")</f>
        <v/>
      </c>
      <c r="BF78" s="411" t="str">
        <f>_xlfn.IFNA(VLOOKUP($BC78,Programma!$F$3:$I$1101,4,0),"")</f>
        <v/>
      </c>
      <c r="BG78" s="411" t="str">
        <f>_xlfn.IFNA(VLOOKUP($BC78,Programma!$F$3:$J$1101,5,0),"")</f>
        <v/>
      </c>
      <c r="BH78" s="411" t="str">
        <f>_xlfn.IFNA(VLOOKUP($BC78,Programma!$F$3:$K$1101,6,0),"")</f>
        <v/>
      </c>
      <c r="BI78" s="411" t="str">
        <f>_xlfn.IFNA(VLOOKUP($BC78,Programma!$F$3:$L$1101,7,0),"")</f>
        <v/>
      </c>
      <c r="BJ78" s="411" t="str">
        <f>_xlfn.IFNA(VLOOKUP($BC78,Programma!$F$3:$M$1101,8,0),"")</f>
        <v/>
      </c>
      <c r="BK78" s="411" t="str">
        <f>_xlfn.IFNA(VLOOKUP($BC78,Programma!$F$3:$N$1101,9,0),"")</f>
        <v/>
      </c>
      <c r="BL78" s="411" t="str">
        <f>_xlfn.IFNA(VLOOKUP($BC78,Programma!$F$3:$O$1101,10,0),"")</f>
        <v/>
      </c>
      <c r="BM78" s="411" t="str">
        <f>_xlfn.IFNA(VLOOKUP($BC78,Programma!$F$3:$P$1101,11,0),"")</f>
        <v/>
      </c>
      <c r="BN78" s="411" t="str">
        <f>_xlfn.IFNA(VLOOKUP($BC78,Programma!$F$3:$Q$1101,12,0),"")</f>
        <v/>
      </c>
      <c r="BO78" s="411" t="str">
        <f>_xlfn.IFNA(VLOOKUP($BC78,Programma!$F$3:$R$1101,13,0),"")</f>
        <v/>
      </c>
      <c r="BP78" s="411" t="str">
        <f>_xlfn.IFNA(VLOOKUP($BC78,Programma!$F$3:$S$1101,14,0),"")</f>
        <v/>
      </c>
      <c r="BQ78" s="411" t="str">
        <f>_xlfn.IFNA(VLOOKUP($BC78,Programma!$F$3:$T$1101,15,0),"")</f>
        <v/>
      </c>
      <c r="BR78" s="411" t="str">
        <f>_xlfn.IFNA(VLOOKUP($BC78,Programma!$F$3:$U$1101,16,0),"")</f>
        <v/>
      </c>
      <c r="BS78" s="411" t="str">
        <f>_xlfn.IFNA(VLOOKUP($BC78,Programma!$F$3:$V$1101,17,0),"")</f>
        <v/>
      </c>
      <c r="BT78" s="411" t="str">
        <f>_xlfn.IFNA(VLOOKUP($BC78,Programma!$F$3:$W$1101,18,0),"")</f>
        <v/>
      </c>
      <c r="BU78" s="411" t="str">
        <f>_xlfn.IFNA(VLOOKUP($BC78,Programma!$F$3:$X$1101,19,0),"")</f>
        <v/>
      </c>
      <c r="BV78" s="411" t="str">
        <f>_xlfn.IFNA(VLOOKUP($BC78,Programma!$F$3:$Y$1101,20,0),"")</f>
        <v/>
      </c>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c r="EO78" s="28"/>
      <c r="EP78" s="28"/>
      <c r="EQ78" s="28"/>
      <c r="ER78" s="28"/>
      <c r="ES78" s="28"/>
      <c r="ET78" s="28"/>
      <c r="EU78" s="28"/>
      <c r="EV78" s="28"/>
      <c r="EW78" s="28"/>
      <c r="EX78" s="28"/>
      <c r="EY78" s="28"/>
      <c r="EZ78" s="28"/>
      <c r="FA78" s="28"/>
      <c r="FB78" s="28"/>
      <c r="FC78" s="28"/>
      <c r="FD78" s="28"/>
      <c r="FE78" s="28"/>
      <c r="FF78" s="28"/>
      <c r="FG78" s="28"/>
      <c r="FH78" s="28"/>
      <c r="FI78" s="28"/>
      <c r="FJ78" s="28"/>
      <c r="FK78" s="28"/>
      <c r="FL78" s="28"/>
      <c r="FM78" s="28"/>
      <c r="FN78" s="28"/>
      <c r="FO78" s="28"/>
      <c r="FP78" s="28"/>
      <c r="FQ78" s="28"/>
      <c r="FR78" s="28"/>
      <c r="FS78" s="28"/>
      <c r="FT78" s="28"/>
      <c r="FU78" s="28"/>
      <c r="FV78" s="28"/>
      <c r="FW78" s="28"/>
      <c r="FX78" s="28"/>
      <c r="FY78" s="28"/>
      <c r="FZ78" s="28"/>
      <c r="GA78" s="28"/>
      <c r="GB78" s="28"/>
      <c r="GC78" s="28"/>
      <c r="GD78" s="28"/>
      <c r="GE78" s="28"/>
      <c r="GF78" s="28"/>
      <c r="GG78" s="28"/>
      <c r="GH78" s="28"/>
      <c r="GI78" s="28"/>
      <c r="GJ78" s="28"/>
      <c r="GK78" s="28"/>
      <c r="GL78" s="28"/>
      <c r="GM78" s="28"/>
      <c r="GN78" s="28"/>
      <c r="GO78" s="28"/>
      <c r="GP78" s="28"/>
      <c r="GQ78" s="28"/>
      <c r="GR78" s="28"/>
      <c r="GS78" s="28"/>
      <c r="GT78" s="28"/>
      <c r="GU78" s="28"/>
      <c r="GV78" s="28"/>
      <c r="GW78" s="28"/>
      <c r="GX78" s="28"/>
      <c r="GY78" s="28"/>
      <c r="GZ78" s="28"/>
      <c r="HA78" s="28"/>
      <c r="HB78" s="28"/>
      <c r="HC78" s="28"/>
      <c r="HD78" s="28"/>
      <c r="HE78" s="28"/>
      <c r="HF78" s="28"/>
      <c r="HG78" s="28"/>
      <c r="HH78" s="28"/>
      <c r="HI78" s="28"/>
      <c r="HJ78" s="28"/>
      <c r="HK78" s="28"/>
    </row>
    <row r="79" spans="1:219" ht="15" customHeight="1">
      <c r="A79" s="336">
        <v>2</v>
      </c>
      <c r="B79" s="400" t="str">
        <f>VLOOKUP(Ruimtestaat[[#This Row],[Code]],Locaties[[Code]:[Locatie]],2,FALSE)</f>
        <v>Kleine Houtweg</v>
      </c>
      <c r="C79" s="400" t="str">
        <f>VLOOKUP(Ruimtestaat[[#This Row],[Code]],Locaties[[#All],[Code]:[Adres]],4,FALSE)</f>
        <v>Kleine Houtweg 18</v>
      </c>
      <c r="D79" s="400" t="str">
        <f>VLOOKUP(Ruimtestaat[[#This Row],[Code]],Locaties[[#All],[Code]:[Postcode]],5,FALSE)</f>
        <v>2012 CH</v>
      </c>
      <c r="E79" s="400" t="str">
        <f>VLOOKUP(Ruimtestaat[[#This Row],[Code]],Locaties[#All],6,FALSE)</f>
        <v>Haarlem</v>
      </c>
      <c r="F79" s="399"/>
      <c r="G79" s="399" t="s">
        <v>1639</v>
      </c>
      <c r="H79" s="401">
        <v>4</v>
      </c>
      <c r="I79" s="402" t="s">
        <v>1663</v>
      </c>
      <c r="J79" s="336">
        <v>12</v>
      </c>
      <c r="K79" s="414" t="str">
        <f>VLOOKUP(Ruimtestaat[[#This Row],[Ruimte code]],Ruimtegroepen[[#All],[Code]:[Ruimte omschrijving]],2,FALSE)</f>
        <v>Kantine/Aula</v>
      </c>
      <c r="L79" s="399" t="s">
        <v>101</v>
      </c>
      <c r="M79" s="402" t="s">
        <v>1661</v>
      </c>
      <c r="N79" s="404">
        <v>48.9</v>
      </c>
      <c r="O79" s="413"/>
      <c r="P79" s="405" t="str">
        <f>VLOOKUP(Ruimtestaat[[#This Row],[Ruimte code]],Ruimtegroepen[],4,FALSE)</f>
        <v>Ve</v>
      </c>
      <c r="Q79" s="399">
        <v>51</v>
      </c>
      <c r="R79" s="399" t="s">
        <v>2</v>
      </c>
      <c r="S79" s="399">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9" s="399">
        <f>IF(S79&gt;0,VLOOKUP($J79,Ruimtegroepen[],3,FALSE)*VLOOKUP($L79,Vloersoorten[],3,FALSE)*VLOOKUP($R79,Frequenties[],3,FALSE)*VLOOKUP($A79,Locaties[],3,FALSE),0)</f>
        <v>0</v>
      </c>
      <c r="U79" s="399">
        <f>Ruimtestaat[[#This Row],[Uitvoeringen werkdagen]]*Ruimtestaat[[#This Row],[Oppervlak (netto)]]</f>
        <v>12469.5</v>
      </c>
      <c r="V79" s="406">
        <f>IF(T79&gt;0,Ruimtestaat[[#This Row],[Prest. (m2 /jaar) werkdagen]]/Ruimtestaat[[#This Row],[Norm (m2/uur) werkdagen]],0)</f>
        <v>0</v>
      </c>
      <c r="W79" s="407">
        <f>Ruimtestaat[[#This Row],[uren / jaar werkdagen]]*Tariefsopbouw!$E$35</f>
        <v>0</v>
      </c>
      <c r="X79" s="399"/>
      <c r="Y79" s="399">
        <f>IF(Ruimtestaat[[#This Row],[Frequentie weekend]]&gt;0,VALUE(LEFT(X79,1))*Q79,0)</f>
        <v>0</v>
      </c>
      <c r="Z79" s="408">
        <f>IF($Y79&gt;0,VLOOKUP($J79,Ruimtegroepen[],3,FALSE)*VLOOKUP($L79,Vloersoorten[],3,FALSE)*VLOOKUP($X79,Frequenties[],3,FALSE)*VLOOKUP(Ruimtestaat[[#This Row],[Code]],Locaties[],3,FALSE),0)</f>
        <v>0</v>
      </c>
      <c r="AA79" s="408">
        <f>Ruimtestaat[[#This Row],[Uitvoeringen weekend]]*Ruimtestaat[[#This Row],[Oppervlak (netto)]]</f>
        <v>0</v>
      </c>
      <c r="AB79" s="408">
        <f>IF(Z79&gt;0,Ruimtestaat[[#This Row],[Prest. (m2 /jaar) weekend]]/Ruimtestaat[[#This Row],[Norm (m2/uur) weekend]],0)</f>
        <v>0</v>
      </c>
      <c r="AC79" s="407">
        <f>Ruimtestaat[[#This Row],[uren / jaar weekend]]*Tariefsopbouw!$D$40</f>
        <v>0</v>
      </c>
      <c r="AD79" s="406">
        <f>Ruimtestaat[[#This Row],[Prest. (m2 /jaar) weekend]]+Ruimtestaat[[#This Row],[Prest. (m2 /jaar) werkdagen]]</f>
        <v>12469.5</v>
      </c>
      <c r="AE79" s="406">
        <f>Ruimtestaat[[#This Row],[uren / jaar weekend]]+Ruimtestaat[[#This Row],[uren / jaar werkdagen]]</f>
        <v>0</v>
      </c>
      <c r="AF79" s="409">
        <f>Ruimtestaat[[#This Row],[kosten / jaar weekend]]+Ruimtestaat[[#This Row],[kosten / jaar werkdagen]]</f>
        <v>0</v>
      </c>
      <c r="AG79" s="409"/>
      <c r="AH79" s="410" t="str">
        <f>IF(Ruimtestaat[[#This Row],[Frequentie werkdagen]]="","",_xlfn.CONCAT(Ruimtestaat[[#This Row],[Ruimte code]],"-",Ruimtestaat[[#This Row],[Frequentie werkdagen]]," ",Ruimtestaat[[#This Row],[Vloer code]]))</f>
        <v>12-5w S</v>
      </c>
      <c r="AI79" s="411" t="str">
        <f>_xlfn.IFNA(VLOOKUP($AH79,Programma!$F$3:$G$1101,2,0),"")</f>
        <v>_</v>
      </c>
      <c r="AJ79" s="411" t="str">
        <f>_xlfn.IFNA(VLOOKUP($AH79,Programma!$F$3:$H$1101,3,0),"")</f>
        <v>_</v>
      </c>
      <c r="AK79" s="411" t="str">
        <f>_xlfn.IFNA(VLOOKUP($AH79,Programma!$F$3:$I$1101,4,0),"")</f>
        <v>5w</v>
      </c>
      <c r="AL79" s="411" t="str">
        <f>_xlfn.IFNA(VLOOKUP($AH79,Programma!$F$3:$J$1101,5,0),"")</f>
        <v>_</v>
      </c>
      <c r="AM79" s="411" t="str">
        <f>_xlfn.IFNA(VLOOKUP($AH79,Programma!$F$3:$K$1101,6,0),"")</f>
        <v>5w</v>
      </c>
      <c r="AN79" s="411" t="str">
        <f>_xlfn.IFNA(VLOOKUP($AH79,Programma!$F$3:$L$1101,7,0),"")</f>
        <v>_</v>
      </c>
      <c r="AO79" s="411" t="str">
        <f>_xlfn.IFNA(VLOOKUP($AH79,Programma!$F$3:$M$1101,8,0),"")</f>
        <v>_</v>
      </c>
      <c r="AP79" s="411" t="str">
        <f>_xlfn.IFNA(VLOOKUP($AH79,Programma!$F$3:$N$1101,9,0),"")</f>
        <v>_</v>
      </c>
      <c r="AQ79" s="411" t="str">
        <f>_xlfn.IFNA(VLOOKUP($AH79,Programma!$F$3:$O$1101,10,0),"")</f>
        <v>5w</v>
      </c>
      <c r="AR79" s="411" t="str">
        <f>_xlfn.IFNA(VLOOKUP($AH79,Programma!$F$3:$P$1101,11,0),"")</f>
        <v>5w</v>
      </c>
      <c r="AS79" s="411" t="str">
        <f>_xlfn.IFNA(VLOOKUP($AH79,Programma!$F$3:$Q$1101,12,0),"")</f>
        <v>1w</v>
      </c>
      <c r="AT79" s="411" t="str">
        <f>_xlfn.IFNA(VLOOKUP($AH79,Programma!$F$3:$R$1101,13,0),"")</f>
        <v>1w</v>
      </c>
      <c r="AU79" s="411" t="str">
        <f>_xlfn.IFNA(VLOOKUP($AH79,Programma!$F$3:$S$1101,14,0),"")</f>
        <v>1m</v>
      </c>
      <c r="AV79" s="411" t="str">
        <f>_xlfn.IFNA(VLOOKUP($AH79,Programma!$F$3:$T$1101,15,0),"")</f>
        <v>2j</v>
      </c>
      <c r="AW79" s="411" t="str">
        <f>_xlfn.IFNA(VLOOKUP($AH79,Programma!$F$3:$U$1101,16,0),"")</f>
        <v>1j</v>
      </c>
      <c r="AX79" s="411" t="str">
        <f>_xlfn.IFNA(VLOOKUP($AH79,Programma!$F$3:$V$1101,17,0),"")</f>
        <v>_</v>
      </c>
      <c r="AY79" s="411" t="str">
        <f>_xlfn.IFNA(VLOOKUP($AH79,Programma!$F$3:$W$1101,18,0),"")</f>
        <v>_</v>
      </c>
      <c r="AZ79" s="411" t="str">
        <f>_xlfn.IFNA(VLOOKUP($AH79,Programma!$F$3:$X$1101,19,0),"")</f>
        <v>_</v>
      </c>
      <c r="BA79" s="411" t="str">
        <f>_xlfn.IFNA(VLOOKUP($AH79,Programma!$F$3:$Y$1101,20,0),"")</f>
        <v>_</v>
      </c>
      <c r="BB79" s="412"/>
      <c r="BC79" s="410" t="str">
        <f>IF(Ruimtestaat[[#This Row],[Frequentie weekend]]="","",_xlfn.CONCAT(Ruimtestaat[[#This Row],[Ruimte code]],"-",Ruimtestaat[[#This Row],[Frequentie weekend]]," ",Ruimtestaat[[#This Row],[Vloer code]]))</f>
        <v/>
      </c>
      <c r="BD79" s="411" t="str">
        <f>_xlfn.IFNA(VLOOKUP($BC79,Programma!$F$3:$G$1101,2,0),"")</f>
        <v/>
      </c>
      <c r="BE79" s="411" t="str">
        <f>_xlfn.IFNA(VLOOKUP($BC79,Programma!$F$3:$H$1101,3,0),"")</f>
        <v/>
      </c>
      <c r="BF79" s="411" t="str">
        <f>_xlfn.IFNA(VLOOKUP($BC79,Programma!$F$3:$I$1101,4,0),"")</f>
        <v/>
      </c>
      <c r="BG79" s="411" t="str">
        <f>_xlfn.IFNA(VLOOKUP($BC79,Programma!$F$3:$J$1101,5,0),"")</f>
        <v/>
      </c>
      <c r="BH79" s="411" t="str">
        <f>_xlfn.IFNA(VLOOKUP($BC79,Programma!$F$3:$K$1101,6,0),"")</f>
        <v/>
      </c>
      <c r="BI79" s="411" t="str">
        <f>_xlfn.IFNA(VLOOKUP($BC79,Programma!$F$3:$L$1101,7,0),"")</f>
        <v/>
      </c>
      <c r="BJ79" s="411" t="str">
        <f>_xlfn.IFNA(VLOOKUP($BC79,Programma!$F$3:$M$1101,8,0),"")</f>
        <v/>
      </c>
      <c r="BK79" s="411" t="str">
        <f>_xlfn.IFNA(VLOOKUP($BC79,Programma!$F$3:$N$1101,9,0),"")</f>
        <v/>
      </c>
      <c r="BL79" s="411" t="str">
        <f>_xlfn.IFNA(VLOOKUP($BC79,Programma!$F$3:$O$1101,10,0),"")</f>
        <v/>
      </c>
      <c r="BM79" s="411" t="str">
        <f>_xlfn.IFNA(VLOOKUP($BC79,Programma!$F$3:$P$1101,11,0),"")</f>
        <v/>
      </c>
      <c r="BN79" s="411" t="str">
        <f>_xlfn.IFNA(VLOOKUP($BC79,Programma!$F$3:$Q$1101,12,0),"")</f>
        <v/>
      </c>
      <c r="BO79" s="411" t="str">
        <f>_xlfn.IFNA(VLOOKUP($BC79,Programma!$F$3:$R$1101,13,0),"")</f>
        <v/>
      </c>
      <c r="BP79" s="411" t="str">
        <f>_xlfn.IFNA(VLOOKUP($BC79,Programma!$F$3:$S$1101,14,0),"")</f>
        <v/>
      </c>
      <c r="BQ79" s="411" t="str">
        <f>_xlfn.IFNA(VLOOKUP($BC79,Programma!$F$3:$T$1101,15,0),"")</f>
        <v/>
      </c>
      <c r="BR79" s="411" t="str">
        <f>_xlfn.IFNA(VLOOKUP($BC79,Programma!$F$3:$U$1101,16,0),"")</f>
        <v/>
      </c>
      <c r="BS79" s="411" t="str">
        <f>_xlfn.IFNA(VLOOKUP($BC79,Programma!$F$3:$V$1101,17,0),"")</f>
        <v/>
      </c>
      <c r="BT79" s="411" t="str">
        <f>_xlfn.IFNA(VLOOKUP($BC79,Programma!$F$3:$W$1101,18,0),"")</f>
        <v/>
      </c>
      <c r="BU79" s="411" t="str">
        <f>_xlfn.IFNA(VLOOKUP($BC79,Programma!$F$3:$X$1101,19,0),"")</f>
        <v/>
      </c>
      <c r="BV79" s="411" t="str">
        <f>_xlfn.IFNA(VLOOKUP($BC79,Programma!$F$3:$Y$1101,20,0),"")</f>
        <v/>
      </c>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c r="EO79" s="28"/>
      <c r="EP79" s="28"/>
      <c r="EQ79" s="28"/>
      <c r="ER79" s="28"/>
      <c r="ES79" s="28"/>
      <c r="ET79" s="28"/>
      <c r="EU79" s="28"/>
      <c r="EV79" s="28"/>
      <c r="EW79" s="28"/>
      <c r="EX79" s="28"/>
      <c r="EY79" s="28"/>
      <c r="EZ79" s="28"/>
      <c r="FA79" s="28"/>
      <c r="FB79" s="28"/>
      <c r="FC79" s="28"/>
      <c r="FD79" s="28"/>
      <c r="FE79" s="28"/>
      <c r="FF79" s="28"/>
      <c r="FG79" s="28"/>
      <c r="FH79" s="28"/>
      <c r="FI79" s="28"/>
      <c r="FJ79" s="28"/>
      <c r="FK79" s="28"/>
      <c r="FL79" s="28"/>
      <c r="FM79" s="28"/>
      <c r="FN79" s="28"/>
      <c r="FO79" s="28"/>
      <c r="FP79" s="28"/>
      <c r="FQ79" s="28"/>
      <c r="FR79" s="28"/>
      <c r="FS79" s="28"/>
      <c r="FT79" s="28"/>
      <c r="FU79" s="28"/>
      <c r="FV79" s="28"/>
      <c r="FW79" s="28"/>
      <c r="FX79" s="28"/>
      <c r="FY79" s="28"/>
      <c r="FZ79" s="28"/>
      <c r="GA79" s="28"/>
      <c r="GB79" s="28"/>
      <c r="GC79" s="28"/>
      <c r="GD79" s="28"/>
      <c r="GE79" s="28"/>
      <c r="GF79" s="28"/>
      <c r="GG79" s="28"/>
      <c r="GH79" s="28"/>
      <c r="GI79" s="28"/>
      <c r="GJ79" s="28"/>
      <c r="GK79" s="28"/>
      <c r="GL79" s="28"/>
      <c r="GM79" s="28"/>
      <c r="GN79" s="28"/>
      <c r="GO79" s="28"/>
      <c r="GP79" s="28"/>
      <c r="GQ79" s="28"/>
      <c r="GR79" s="28"/>
      <c r="GS79" s="28"/>
      <c r="GT79" s="28"/>
      <c r="GU79" s="28"/>
      <c r="GV79" s="28"/>
      <c r="GW79" s="28"/>
      <c r="GX79" s="28"/>
      <c r="GY79" s="28"/>
      <c r="GZ79" s="28"/>
      <c r="HA79" s="28"/>
      <c r="HB79" s="28"/>
      <c r="HC79" s="28"/>
      <c r="HD79" s="28"/>
      <c r="HE79" s="28"/>
      <c r="HF79" s="28"/>
      <c r="HG79" s="28"/>
      <c r="HH79" s="28"/>
      <c r="HI79" s="28"/>
      <c r="HJ79" s="28"/>
      <c r="HK79" s="28"/>
    </row>
    <row r="80" spans="1:219" ht="15" customHeight="1">
      <c r="A80" s="336">
        <v>2</v>
      </c>
      <c r="B80" s="400" t="str">
        <f>VLOOKUP(Ruimtestaat[[#This Row],[Code]],Locaties[[Code]:[Locatie]],2,FALSE)</f>
        <v>Kleine Houtweg</v>
      </c>
      <c r="C80" s="400" t="str">
        <f>VLOOKUP(Ruimtestaat[[#This Row],[Code]],Locaties[[#All],[Code]:[Adres]],4,FALSE)</f>
        <v>Kleine Houtweg 18</v>
      </c>
      <c r="D80" s="400" t="str">
        <f>VLOOKUP(Ruimtestaat[[#This Row],[Code]],Locaties[[#All],[Code]:[Postcode]],5,FALSE)</f>
        <v>2012 CH</v>
      </c>
      <c r="E80" s="400" t="str">
        <f>VLOOKUP(Ruimtestaat[[#This Row],[Code]],Locaties[#All],6,FALSE)</f>
        <v>Haarlem</v>
      </c>
      <c r="F80" s="399"/>
      <c r="G80" s="399" t="s">
        <v>1639</v>
      </c>
      <c r="H80" s="401">
        <v>5</v>
      </c>
      <c r="I80" s="402" t="s">
        <v>1646</v>
      </c>
      <c r="J80" s="336">
        <v>2</v>
      </c>
      <c r="K80" s="414" t="str">
        <f>VLOOKUP(Ruimtestaat[[#This Row],[Ruimte code]],Ruimtegroepen[[#All],[Code]:[Ruimte omschrijving]],2,FALSE)</f>
        <v>Kantoren</v>
      </c>
      <c r="L80" s="399" t="s">
        <v>101</v>
      </c>
      <c r="M80" s="402" t="s">
        <v>1661</v>
      </c>
      <c r="N80" s="404">
        <v>13.8</v>
      </c>
      <c r="O80" s="413"/>
      <c r="P80" s="405" t="str">
        <f>VLOOKUP(Ruimtestaat[[#This Row],[Ruimte code]],Ruimtegroepen[],4,FALSE)</f>
        <v>Bu</v>
      </c>
      <c r="Q80" s="399">
        <v>51</v>
      </c>
      <c r="R80" s="399" t="s">
        <v>18</v>
      </c>
      <c r="S80" s="399">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80" s="399">
        <f>IF(S80&gt;0,VLOOKUP($J80,Ruimtegroepen[],3,FALSE)*VLOOKUP($L80,Vloersoorten[],3,FALSE)*VLOOKUP($R80,Frequenties[],3,FALSE)*VLOOKUP($A80,Locaties[],3,FALSE),0)</f>
        <v>0</v>
      </c>
      <c r="U80" s="399">
        <f>Ruimtestaat[[#This Row],[Uitvoeringen werkdagen]]*Ruimtestaat[[#This Row],[Oppervlak (netto)]]</f>
        <v>2111.4</v>
      </c>
      <c r="V80" s="406">
        <f>IF(T80&gt;0,Ruimtestaat[[#This Row],[Prest. (m2 /jaar) werkdagen]]/Ruimtestaat[[#This Row],[Norm (m2/uur) werkdagen]],0)</f>
        <v>0</v>
      </c>
      <c r="W80" s="407">
        <f>Ruimtestaat[[#This Row],[uren / jaar werkdagen]]*Tariefsopbouw!$E$35</f>
        <v>0</v>
      </c>
      <c r="X80" s="399"/>
      <c r="Y80" s="399">
        <f>IF(Ruimtestaat[[#This Row],[Frequentie weekend]]&gt;0,VALUE(LEFT(X80,1))*Q80,0)</f>
        <v>0</v>
      </c>
      <c r="Z80" s="408">
        <f>IF($Y80&gt;0,VLOOKUP($J80,Ruimtegroepen[],3,FALSE)*VLOOKUP($L80,Vloersoorten[],3,FALSE)*VLOOKUP($X80,Frequenties[],3,FALSE)*VLOOKUP(Ruimtestaat[[#This Row],[Code]],Locaties[],3,FALSE),0)</f>
        <v>0</v>
      </c>
      <c r="AA80" s="408">
        <f>Ruimtestaat[[#This Row],[Uitvoeringen weekend]]*Ruimtestaat[[#This Row],[Oppervlak (netto)]]</f>
        <v>0</v>
      </c>
      <c r="AB80" s="408">
        <f>IF(Z80&gt;0,Ruimtestaat[[#This Row],[Prest. (m2 /jaar) weekend]]/Ruimtestaat[[#This Row],[Norm (m2/uur) weekend]],0)</f>
        <v>0</v>
      </c>
      <c r="AC80" s="407">
        <f>Ruimtestaat[[#This Row],[uren / jaar weekend]]*Tariefsopbouw!$D$40</f>
        <v>0</v>
      </c>
      <c r="AD80" s="406">
        <f>Ruimtestaat[[#This Row],[Prest. (m2 /jaar) weekend]]+Ruimtestaat[[#This Row],[Prest. (m2 /jaar) werkdagen]]</f>
        <v>2111.4</v>
      </c>
      <c r="AE80" s="406">
        <f>Ruimtestaat[[#This Row],[uren / jaar weekend]]+Ruimtestaat[[#This Row],[uren / jaar werkdagen]]</f>
        <v>0</v>
      </c>
      <c r="AF80" s="409">
        <f>Ruimtestaat[[#This Row],[kosten / jaar weekend]]+Ruimtestaat[[#This Row],[kosten / jaar werkdagen]]</f>
        <v>0</v>
      </c>
      <c r="AG80" s="409"/>
      <c r="AH80" s="410" t="str">
        <f>IF(Ruimtestaat[[#This Row],[Frequentie werkdagen]]="","",_xlfn.CONCAT(Ruimtestaat[[#This Row],[Ruimte code]],"-",Ruimtestaat[[#This Row],[Frequentie werkdagen]]," ",Ruimtestaat[[#This Row],[Vloer code]]))</f>
        <v>2-3w S</v>
      </c>
      <c r="AI80" s="411" t="str">
        <f>_xlfn.IFNA(VLOOKUP($AH80,Programma!$F$3:$G$1101,2,0),"")</f>
        <v>_</v>
      </c>
      <c r="AJ80" s="411" t="str">
        <f>_xlfn.IFNA(VLOOKUP($AH80,Programma!$F$3:$H$1101,3,0),"")</f>
        <v>_</v>
      </c>
      <c r="AK80" s="411" t="str">
        <f>_xlfn.IFNA(VLOOKUP($AH80,Programma!$F$3:$I$1101,4,0),"")</f>
        <v>2w</v>
      </c>
      <c r="AL80" s="411" t="str">
        <f>_xlfn.IFNA(VLOOKUP($AH80,Programma!$F$3:$J$1101,5,0),"")</f>
        <v>1w</v>
      </c>
      <c r="AM80" s="411" t="str">
        <f>_xlfn.IFNA(VLOOKUP($AH80,Programma!$F$3:$K$1101,6,0),"")</f>
        <v>1j</v>
      </c>
      <c r="AN80" s="411" t="str">
        <f>_xlfn.IFNA(VLOOKUP($AH80,Programma!$F$3:$L$1101,7,0),"")</f>
        <v>_</v>
      </c>
      <c r="AO80" s="411" t="str">
        <f>_xlfn.IFNA(VLOOKUP($AH80,Programma!$F$3:$M$1101,8,0),"")</f>
        <v>_</v>
      </c>
      <c r="AP80" s="411" t="str">
        <f>_xlfn.IFNA(VLOOKUP($AH80,Programma!$F$3:$N$1101,9,0),"")</f>
        <v>_</v>
      </c>
      <c r="AQ80" s="411" t="str">
        <f>_xlfn.IFNA(VLOOKUP($AH80,Programma!$F$3:$O$1101,10,0),"")</f>
        <v>3w</v>
      </c>
      <c r="AR80" s="411" t="str">
        <f>_xlfn.IFNA(VLOOKUP($AH80,Programma!$F$3:$P$1101,11,0),"")</f>
        <v>3w</v>
      </c>
      <c r="AS80" s="411" t="str">
        <f>_xlfn.IFNA(VLOOKUP($AH80,Programma!$F$3:$Q$1101,12,0),"")</f>
        <v>1w</v>
      </c>
      <c r="AT80" s="411" t="str">
        <f>_xlfn.IFNA(VLOOKUP($AH80,Programma!$F$3:$R$1101,13,0),"")</f>
        <v>1w</v>
      </c>
      <c r="AU80" s="411" t="str">
        <f>_xlfn.IFNA(VLOOKUP($AH80,Programma!$F$3:$S$1101,14,0),"")</f>
        <v>1m</v>
      </c>
      <c r="AV80" s="411" t="str">
        <f>_xlfn.IFNA(VLOOKUP($AH80,Programma!$F$3:$T$1101,15,0),"")</f>
        <v>2j</v>
      </c>
      <c r="AW80" s="411" t="str">
        <f>_xlfn.IFNA(VLOOKUP($AH80,Programma!$F$3:$U$1101,16,0),"")</f>
        <v>1j</v>
      </c>
      <c r="AX80" s="411" t="str">
        <f>_xlfn.IFNA(VLOOKUP($AH80,Programma!$F$3:$V$1101,17,0),"")</f>
        <v>_</v>
      </c>
      <c r="AY80" s="411" t="str">
        <f>_xlfn.IFNA(VLOOKUP($AH80,Programma!$F$3:$W$1101,18,0),"")</f>
        <v>_</v>
      </c>
      <c r="AZ80" s="411" t="str">
        <f>_xlfn.IFNA(VLOOKUP($AH80,Programma!$F$3:$X$1101,19,0),"")</f>
        <v>_</v>
      </c>
      <c r="BA80" s="411" t="str">
        <f>_xlfn.IFNA(VLOOKUP($AH80,Programma!$F$3:$Y$1101,20,0),"")</f>
        <v>_</v>
      </c>
      <c r="BB80" s="412"/>
      <c r="BC80" s="410" t="str">
        <f>IF(Ruimtestaat[[#This Row],[Frequentie weekend]]="","",_xlfn.CONCAT(Ruimtestaat[[#This Row],[Ruimte code]],"-",Ruimtestaat[[#This Row],[Frequentie weekend]]," ",Ruimtestaat[[#This Row],[Vloer code]]))</f>
        <v/>
      </c>
      <c r="BD80" s="411" t="str">
        <f>_xlfn.IFNA(VLOOKUP($BC80,Programma!$F$3:$G$1101,2,0),"")</f>
        <v/>
      </c>
      <c r="BE80" s="411" t="str">
        <f>_xlfn.IFNA(VLOOKUP($BC80,Programma!$F$3:$H$1101,3,0),"")</f>
        <v/>
      </c>
      <c r="BF80" s="411" t="str">
        <f>_xlfn.IFNA(VLOOKUP($BC80,Programma!$F$3:$I$1101,4,0),"")</f>
        <v/>
      </c>
      <c r="BG80" s="411" t="str">
        <f>_xlfn.IFNA(VLOOKUP($BC80,Programma!$F$3:$J$1101,5,0),"")</f>
        <v/>
      </c>
      <c r="BH80" s="411" t="str">
        <f>_xlfn.IFNA(VLOOKUP($BC80,Programma!$F$3:$K$1101,6,0),"")</f>
        <v/>
      </c>
      <c r="BI80" s="411" t="str">
        <f>_xlfn.IFNA(VLOOKUP($BC80,Programma!$F$3:$L$1101,7,0),"")</f>
        <v/>
      </c>
      <c r="BJ80" s="411" t="str">
        <f>_xlfn.IFNA(VLOOKUP($BC80,Programma!$F$3:$M$1101,8,0),"")</f>
        <v/>
      </c>
      <c r="BK80" s="411" t="str">
        <f>_xlfn.IFNA(VLOOKUP($BC80,Programma!$F$3:$N$1101,9,0),"")</f>
        <v/>
      </c>
      <c r="BL80" s="411" t="str">
        <f>_xlfn.IFNA(VLOOKUP($BC80,Programma!$F$3:$O$1101,10,0),"")</f>
        <v/>
      </c>
      <c r="BM80" s="411" t="str">
        <f>_xlfn.IFNA(VLOOKUP($BC80,Programma!$F$3:$P$1101,11,0),"")</f>
        <v/>
      </c>
      <c r="BN80" s="411" t="str">
        <f>_xlfn.IFNA(VLOOKUP($BC80,Programma!$F$3:$Q$1101,12,0),"")</f>
        <v/>
      </c>
      <c r="BO80" s="411" t="str">
        <f>_xlfn.IFNA(VLOOKUP($BC80,Programma!$F$3:$R$1101,13,0),"")</f>
        <v/>
      </c>
      <c r="BP80" s="411" t="str">
        <f>_xlfn.IFNA(VLOOKUP($BC80,Programma!$F$3:$S$1101,14,0),"")</f>
        <v/>
      </c>
      <c r="BQ80" s="411" t="str">
        <f>_xlfn.IFNA(VLOOKUP($BC80,Programma!$F$3:$T$1101,15,0),"")</f>
        <v/>
      </c>
      <c r="BR80" s="411" t="str">
        <f>_xlfn.IFNA(VLOOKUP($BC80,Programma!$F$3:$U$1101,16,0),"")</f>
        <v/>
      </c>
      <c r="BS80" s="411" t="str">
        <f>_xlfn.IFNA(VLOOKUP($BC80,Programma!$F$3:$V$1101,17,0),"")</f>
        <v/>
      </c>
      <c r="BT80" s="411" t="str">
        <f>_xlfn.IFNA(VLOOKUP($BC80,Programma!$F$3:$W$1101,18,0),"")</f>
        <v/>
      </c>
      <c r="BU80" s="411" t="str">
        <f>_xlfn.IFNA(VLOOKUP($BC80,Programma!$F$3:$X$1101,19,0),"")</f>
        <v/>
      </c>
      <c r="BV80" s="411" t="str">
        <f>_xlfn.IFNA(VLOOKUP($BC80,Programma!$F$3:$Y$1101,20,0),"")</f>
        <v/>
      </c>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row>
    <row r="81" spans="1:219" ht="15" customHeight="1">
      <c r="A81" s="336">
        <v>2</v>
      </c>
      <c r="B81" s="400" t="str">
        <f>VLOOKUP(Ruimtestaat[[#This Row],[Code]],Locaties[[Code]:[Locatie]],2,FALSE)</f>
        <v>Kleine Houtweg</v>
      </c>
      <c r="C81" s="400" t="str">
        <f>VLOOKUP(Ruimtestaat[[#This Row],[Code]],Locaties[[#All],[Code]:[Adres]],4,FALSE)</f>
        <v>Kleine Houtweg 18</v>
      </c>
      <c r="D81" s="400" t="str">
        <f>VLOOKUP(Ruimtestaat[[#This Row],[Code]],Locaties[[#All],[Code]:[Postcode]],5,FALSE)</f>
        <v>2012 CH</v>
      </c>
      <c r="E81" s="400" t="str">
        <f>VLOOKUP(Ruimtestaat[[#This Row],[Code]],Locaties[#All],6,FALSE)</f>
        <v>Haarlem</v>
      </c>
      <c r="F81" s="399"/>
      <c r="G81" s="399" t="s">
        <v>1639</v>
      </c>
      <c r="H81" s="401">
        <v>6</v>
      </c>
      <c r="I81" s="402" t="s">
        <v>1646</v>
      </c>
      <c r="J81" s="336">
        <v>2</v>
      </c>
      <c r="K81" s="414" t="str">
        <f>VLOOKUP(Ruimtestaat[[#This Row],[Ruimte code]],Ruimtegroepen[[#All],[Code]:[Ruimte omschrijving]],2,FALSE)</f>
        <v>Kantoren</v>
      </c>
      <c r="L81" s="399" t="s">
        <v>101</v>
      </c>
      <c r="M81" s="402" t="s">
        <v>1661</v>
      </c>
      <c r="N81" s="404">
        <v>13.8</v>
      </c>
      <c r="O81" s="399"/>
      <c r="P81" s="405" t="str">
        <f>VLOOKUP(Ruimtestaat[[#This Row],[Ruimte code]],Ruimtegroepen[],4,FALSE)</f>
        <v>Bu</v>
      </c>
      <c r="Q81" s="399">
        <v>51</v>
      </c>
      <c r="R81" s="399" t="s">
        <v>18</v>
      </c>
      <c r="S81" s="399">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81" s="399">
        <f>IF(S81&gt;0,VLOOKUP($J81,Ruimtegroepen[],3,FALSE)*VLOOKUP($L81,Vloersoorten[],3,FALSE)*VLOOKUP($R81,Frequenties[],3,FALSE)*VLOOKUP($A81,Locaties[],3,FALSE),0)</f>
        <v>0</v>
      </c>
      <c r="U81" s="399">
        <f>Ruimtestaat[[#This Row],[Uitvoeringen werkdagen]]*Ruimtestaat[[#This Row],[Oppervlak (netto)]]</f>
        <v>2111.4</v>
      </c>
      <c r="V81" s="406">
        <f>IF(T81&gt;0,Ruimtestaat[[#This Row],[Prest. (m2 /jaar) werkdagen]]/Ruimtestaat[[#This Row],[Norm (m2/uur) werkdagen]],0)</f>
        <v>0</v>
      </c>
      <c r="W81" s="407">
        <f>Ruimtestaat[[#This Row],[uren / jaar werkdagen]]*Tariefsopbouw!$E$35</f>
        <v>0</v>
      </c>
      <c r="X81" s="399"/>
      <c r="Y81" s="399">
        <f>IF(Ruimtestaat[[#This Row],[Frequentie weekend]]&gt;0,VALUE(LEFT(X81,1))*Q81,0)</f>
        <v>0</v>
      </c>
      <c r="Z81" s="408">
        <f>IF($Y81&gt;0,VLOOKUP($J81,Ruimtegroepen[],3,FALSE)*VLOOKUP($L81,Vloersoorten[],3,FALSE)*VLOOKUP($X81,Frequenties[],3,FALSE)*VLOOKUP(Ruimtestaat[[#This Row],[Code]],Locaties[],3,FALSE),0)</f>
        <v>0</v>
      </c>
      <c r="AA81" s="408">
        <f>Ruimtestaat[[#This Row],[Uitvoeringen weekend]]*Ruimtestaat[[#This Row],[Oppervlak (netto)]]</f>
        <v>0</v>
      </c>
      <c r="AB81" s="408">
        <f>IF(Z81&gt;0,Ruimtestaat[[#This Row],[Prest. (m2 /jaar) weekend]]/Ruimtestaat[[#This Row],[Norm (m2/uur) weekend]],0)</f>
        <v>0</v>
      </c>
      <c r="AC81" s="407">
        <f>Ruimtestaat[[#This Row],[uren / jaar weekend]]*Tariefsopbouw!$D$40</f>
        <v>0</v>
      </c>
      <c r="AD81" s="406">
        <f>Ruimtestaat[[#This Row],[Prest. (m2 /jaar) weekend]]+Ruimtestaat[[#This Row],[Prest. (m2 /jaar) werkdagen]]</f>
        <v>2111.4</v>
      </c>
      <c r="AE81" s="406">
        <f>Ruimtestaat[[#This Row],[uren / jaar weekend]]+Ruimtestaat[[#This Row],[uren / jaar werkdagen]]</f>
        <v>0</v>
      </c>
      <c r="AF81" s="409">
        <f>Ruimtestaat[[#This Row],[kosten / jaar weekend]]+Ruimtestaat[[#This Row],[kosten / jaar werkdagen]]</f>
        <v>0</v>
      </c>
      <c r="AG81" s="409"/>
      <c r="AH81" s="410" t="str">
        <f>IF(Ruimtestaat[[#This Row],[Frequentie werkdagen]]="","",_xlfn.CONCAT(Ruimtestaat[[#This Row],[Ruimte code]],"-",Ruimtestaat[[#This Row],[Frequentie werkdagen]]," ",Ruimtestaat[[#This Row],[Vloer code]]))</f>
        <v>2-3w S</v>
      </c>
      <c r="AI81" s="411" t="str">
        <f>_xlfn.IFNA(VLOOKUP($AH81,Programma!$F$3:$G$1101,2,0),"")</f>
        <v>_</v>
      </c>
      <c r="AJ81" s="411" t="str">
        <f>_xlfn.IFNA(VLOOKUP($AH81,Programma!$F$3:$H$1101,3,0),"")</f>
        <v>_</v>
      </c>
      <c r="AK81" s="411" t="str">
        <f>_xlfn.IFNA(VLOOKUP($AH81,Programma!$F$3:$I$1101,4,0),"")</f>
        <v>2w</v>
      </c>
      <c r="AL81" s="411" t="str">
        <f>_xlfn.IFNA(VLOOKUP($AH81,Programma!$F$3:$J$1101,5,0),"")</f>
        <v>1w</v>
      </c>
      <c r="AM81" s="411" t="str">
        <f>_xlfn.IFNA(VLOOKUP($AH81,Programma!$F$3:$K$1101,6,0),"")</f>
        <v>1j</v>
      </c>
      <c r="AN81" s="411" t="str">
        <f>_xlfn.IFNA(VLOOKUP($AH81,Programma!$F$3:$L$1101,7,0),"")</f>
        <v>_</v>
      </c>
      <c r="AO81" s="411" t="str">
        <f>_xlfn.IFNA(VLOOKUP($AH81,Programma!$F$3:$M$1101,8,0),"")</f>
        <v>_</v>
      </c>
      <c r="AP81" s="411" t="str">
        <f>_xlfn.IFNA(VLOOKUP($AH81,Programma!$F$3:$N$1101,9,0),"")</f>
        <v>_</v>
      </c>
      <c r="AQ81" s="411" t="str">
        <f>_xlfn.IFNA(VLOOKUP($AH81,Programma!$F$3:$O$1101,10,0),"")</f>
        <v>3w</v>
      </c>
      <c r="AR81" s="411" t="str">
        <f>_xlfn.IFNA(VLOOKUP($AH81,Programma!$F$3:$P$1101,11,0),"")</f>
        <v>3w</v>
      </c>
      <c r="AS81" s="411" t="str">
        <f>_xlfn.IFNA(VLOOKUP($AH81,Programma!$F$3:$Q$1101,12,0),"")</f>
        <v>1w</v>
      </c>
      <c r="AT81" s="411" t="str">
        <f>_xlfn.IFNA(VLOOKUP($AH81,Programma!$F$3:$R$1101,13,0),"")</f>
        <v>1w</v>
      </c>
      <c r="AU81" s="411" t="str">
        <f>_xlfn.IFNA(VLOOKUP($AH81,Programma!$F$3:$S$1101,14,0),"")</f>
        <v>1m</v>
      </c>
      <c r="AV81" s="411" t="str">
        <f>_xlfn.IFNA(VLOOKUP($AH81,Programma!$F$3:$T$1101,15,0),"")</f>
        <v>2j</v>
      </c>
      <c r="AW81" s="411" t="str">
        <f>_xlfn.IFNA(VLOOKUP($AH81,Programma!$F$3:$U$1101,16,0),"")</f>
        <v>1j</v>
      </c>
      <c r="AX81" s="411" t="str">
        <f>_xlfn.IFNA(VLOOKUP($AH81,Programma!$F$3:$V$1101,17,0),"")</f>
        <v>_</v>
      </c>
      <c r="AY81" s="411" t="str">
        <f>_xlfn.IFNA(VLOOKUP($AH81,Programma!$F$3:$W$1101,18,0),"")</f>
        <v>_</v>
      </c>
      <c r="AZ81" s="411" t="str">
        <f>_xlfn.IFNA(VLOOKUP($AH81,Programma!$F$3:$X$1101,19,0),"")</f>
        <v>_</v>
      </c>
      <c r="BA81" s="411" t="str">
        <f>_xlfn.IFNA(VLOOKUP($AH81,Programma!$F$3:$Y$1101,20,0),"")</f>
        <v>_</v>
      </c>
      <c r="BB81" s="412"/>
      <c r="BC81" s="410" t="str">
        <f>IF(Ruimtestaat[[#This Row],[Frequentie weekend]]="","",_xlfn.CONCAT(Ruimtestaat[[#This Row],[Ruimte code]],"-",Ruimtestaat[[#This Row],[Frequentie weekend]]," ",Ruimtestaat[[#This Row],[Vloer code]]))</f>
        <v/>
      </c>
      <c r="BD81" s="411" t="str">
        <f>_xlfn.IFNA(VLOOKUP($BC81,Programma!$F$3:$G$1101,2,0),"")</f>
        <v/>
      </c>
      <c r="BE81" s="411" t="str">
        <f>_xlfn.IFNA(VLOOKUP($BC81,Programma!$F$3:$H$1101,3,0),"")</f>
        <v/>
      </c>
      <c r="BF81" s="411" t="str">
        <f>_xlfn.IFNA(VLOOKUP($BC81,Programma!$F$3:$I$1101,4,0),"")</f>
        <v/>
      </c>
      <c r="BG81" s="411" t="str">
        <f>_xlfn.IFNA(VLOOKUP($BC81,Programma!$F$3:$J$1101,5,0),"")</f>
        <v/>
      </c>
      <c r="BH81" s="411" t="str">
        <f>_xlfn.IFNA(VLOOKUP($BC81,Programma!$F$3:$K$1101,6,0),"")</f>
        <v/>
      </c>
      <c r="BI81" s="411" t="str">
        <f>_xlfn.IFNA(VLOOKUP($BC81,Programma!$F$3:$L$1101,7,0),"")</f>
        <v/>
      </c>
      <c r="BJ81" s="411" t="str">
        <f>_xlfn.IFNA(VLOOKUP($BC81,Programma!$F$3:$M$1101,8,0),"")</f>
        <v/>
      </c>
      <c r="BK81" s="411" t="str">
        <f>_xlfn.IFNA(VLOOKUP($BC81,Programma!$F$3:$N$1101,9,0),"")</f>
        <v/>
      </c>
      <c r="BL81" s="411" t="str">
        <f>_xlfn.IFNA(VLOOKUP($BC81,Programma!$F$3:$O$1101,10,0),"")</f>
        <v/>
      </c>
      <c r="BM81" s="411" t="str">
        <f>_xlfn.IFNA(VLOOKUP($BC81,Programma!$F$3:$P$1101,11,0),"")</f>
        <v/>
      </c>
      <c r="BN81" s="411" t="str">
        <f>_xlfn.IFNA(VLOOKUP($BC81,Programma!$F$3:$Q$1101,12,0),"")</f>
        <v/>
      </c>
      <c r="BO81" s="411" t="str">
        <f>_xlfn.IFNA(VLOOKUP($BC81,Programma!$F$3:$R$1101,13,0),"")</f>
        <v/>
      </c>
      <c r="BP81" s="411" t="str">
        <f>_xlfn.IFNA(VLOOKUP($BC81,Programma!$F$3:$S$1101,14,0),"")</f>
        <v/>
      </c>
      <c r="BQ81" s="411" t="str">
        <f>_xlfn.IFNA(VLOOKUP($BC81,Programma!$F$3:$T$1101,15,0),"")</f>
        <v/>
      </c>
      <c r="BR81" s="411" t="str">
        <f>_xlfn.IFNA(VLOOKUP($BC81,Programma!$F$3:$U$1101,16,0),"")</f>
        <v/>
      </c>
      <c r="BS81" s="411" t="str">
        <f>_xlfn.IFNA(VLOOKUP($BC81,Programma!$F$3:$V$1101,17,0),"")</f>
        <v/>
      </c>
      <c r="BT81" s="411" t="str">
        <f>_xlfn.IFNA(VLOOKUP($BC81,Programma!$F$3:$W$1101,18,0),"")</f>
        <v/>
      </c>
      <c r="BU81" s="411" t="str">
        <f>_xlfn.IFNA(VLOOKUP($BC81,Programma!$F$3:$X$1101,19,0),"")</f>
        <v/>
      </c>
      <c r="BV81" s="411" t="str">
        <f>_xlfn.IFNA(VLOOKUP($BC81,Programma!$F$3:$Y$1101,20,0),"")</f>
        <v/>
      </c>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c r="EO81" s="28"/>
      <c r="EP81" s="28"/>
      <c r="EQ81" s="28"/>
      <c r="ER81" s="28"/>
      <c r="ES81" s="28"/>
      <c r="ET81" s="28"/>
      <c r="EU81" s="28"/>
      <c r="EV81" s="28"/>
      <c r="EW81" s="28"/>
      <c r="EX81" s="28"/>
      <c r="EY81" s="28"/>
      <c r="EZ81" s="28"/>
      <c r="FA81" s="28"/>
      <c r="FB81" s="28"/>
      <c r="FC81" s="28"/>
      <c r="FD81" s="28"/>
      <c r="FE81" s="28"/>
      <c r="FF81" s="28"/>
      <c r="FG81" s="28"/>
      <c r="FH81" s="28"/>
      <c r="FI81" s="28"/>
      <c r="FJ81" s="28"/>
      <c r="FK81" s="28"/>
      <c r="FL81" s="28"/>
      <c r="FM81" s="28"/>
      <c r="FN81" s="28"/>
      <c r="FO81" s="28"/>
      <c r="FP81" s="28"/>
      <c r="FQ81" s="28"/>
      <c r="FR81" s="28"/>
      <c r="FS81" s="28"/>
      <c r="FT81" s="28"/>
      <c r="FU81" s="28"/>
      <c r="FV81" s="28"/>
      <c r="FW81" s="28"/>
      <c r="FX81" s="28"/>
      <c r="FY81" s="28"/>
      <c r="FZ81" s="28"/>
      <c r="GA81" s="28"/>
      <c r="GB81" s="28"/>
      <c r="GC81" s="28"/>
      <c r="GD81" s="28"/>
      <c r="GE81" s="28"/>
      <c r="GF81" s="28"/>
      <c r="GG81" s="28"/>
      <c r="GH81" s="28"/>
      <c r="GI81" s="28"/>
      <c r="GJ81" s="28"/>
      <c r="GK81" s="28"/>
      <c r="GL81" s="28"/>
      <c r="GM81" s="28"/>
      <c r="GN81" s="28"/>
      <c r="GO81" s="28"/>
      <c r="GP81" s="28"/>
      <c r="GQ81" s="28"/>
      <c r="GR81" s="28"/>
      <c r="GS81" s="28"/>
      <c r="GT81" s="28"/>
      <c r="GU81" s="28"/>
      <c r="GV81" s="28"/>
      <c r="GW81" s="28"/>
      <c r="GX81" s="28"/>
      <c r="GY81" s="28"/>
      <c r="GZ81" s="28"/>
      <c r="HA81" s="28"/>
      <c r="HB81" s="28"/>
      <c r="HC81" s="28"/>
      <c r="HD81" s="28"/>
      <c r="HE81" s="28"/>
      <c r="HF81" s="28"/>
      <c r="HG81" s="28"/>
      <c r="HH81" s="28"/>
      <c r="HI81" s="28"/>
      <c r="HJ81" s="28"/>
      <c r="HK81" s="28"/>
    </row>
    <row r="82" spans="1:219" ht="15" customHeight="1">
      <c r="A82" s="336">
        <v>2</v>
      </c>
      <c r="B82" s="400" t="str">
        <f>VLOOKUP(Ruimtestaat[[#This Row],[Code]],Locaties[[Code]:[Locatie]],2,FALSE)</f>
        <v>Kleine Houtweg</v>
      </c>
      <c r="C82" s="400" t="str">
        <f>VLOOKUP(Ruimtestaat[[#This Row],[Code]],Locaties[[#All],[Code]:[Adres]],4,FALSE)</f>
        <v>Kleine Houtweg 18</v>
      </c>
      <c r="D82" s="400" t="str">
        <f>VLOOKUP(Ruimtestaat[[#This Row],[Code]],Locaties[[#All],[Code]:[Postcode]],5,FALSE)</f>
        <v>2012 CH</v>
      </c>
      <c r="E82" s="400" t="str">
        <f>VLOOKUP(Ruimtestaat[[#This Row],[Code]],Locaties[#All],6,FALSE)</f>
        <v>Haarlem</v>
      </c>
      <c r="F82" s="399"/>
      <c r="G82" s="399" t="s">
        <v>1639</v>
      </c>
      <c r="H82" s="401">
        <v>7</v>
      </c>
      <c r="I82" s="402" t="s">
        <v>1646</v>
      </c>
      <c r="J82" s="336">
        <v>2</v>
      </c>
      <c r="K82" s="414" t="str">
        <f>VLOOKUP(Ruimtestaat[[#This Row],[Ruimte code]],Ruimtegroepen[[#All],[Code]:[Ruimte omschrijving]],2,FALSE)</f>
        <v>Kantoren</v>
      </c>
      <c r="L82" s="399" t="s">
        <v>101</v>
      </c>
      <c r="M82" s="402" t="s">
        <v>1661</v>
      </c>
      <c r="N82" s="404">
        <v>7.8</v>
      </c>
      <c r="O82" s="413"/>
      <c r="P82" s="405" t="str">
        <f>VLOOKUP(Ruimtestaat[[#This Row],[Ruimte code]],Ruimtegroepen[],4,FALSE)</f>
        <v>Bu</v>
      </c>
      <c r="Q82" s="399">
        <v>51</v>
      </c>
      <c r="R82" s="399" t="s">
        <v>18</v>
      </c>
      <c r="S82" s="399">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82" s="399">
        <f>IF(S82&gt;0,VLOOKUP($J82,Ruimtegroepen[],3,FALSE)*VLOOKUP($L82,Vloersoorten[],3,FALSE)*VLOOKUP($R82,Frequenties[],3,FALSE)*VLOOKUP($A82,Locaties[],3,FALSE),0)</f>
        <v>0</v>
      </c>
      <c r="U82" s="399">
        <f>Ruimtestaat[[#This Row],[Uitvoeringen werkdagen]]*Ruimtestaat[[#This Row],[Oppervlak (netto)]]</f>
        <v>1193.3999999999999</v>
      </c>
      <c r="V82" s="406">
        <f>IF(T82&gt;0,Ruimtestaat[[#This Row],[Prest. (m2 /jaar) werkdagen]]/Ruimtestaat[[#This Row],[Norm (m2/uur) werkdagen]],0)</f>
        <v>0</v>
      </c>
      <c r="W82" s="407">
        <f>Ruimtestaat[[#This Row],[uren / jaar werkdagen]]*Tariefsopbouw!$E$35</f>
        <v>0</v>
      </c>
      <c r="X82" s="399"/>
      <c r="Y82" s="399">
        <f>IF(Ruimtestaat[[#This Row],[Frequentie weekend]]&gt;0,VALUE(LEFT(X82,1))*Q82,0)</f>
        <v>0</v>
      </c>
      <c r="Z82" s="408">
        <f>IF($Y82&gt;0,VLOOKUP($J82,Ruimtegroepen[],3,FALSE)*VLOOKUP($L82,Vloersoorten[],3,FALSE)*VLOOKUP($X82,Frequenties[],3,FALSE)*VLOOKUP(Ruimtestaat[[#This Row],[Code]],Locaties[],3,FALSE),0)</f>
        <v>0</v>
      </c>
      <c r="AA82" s="408">
        <f>Ruimtestaat[[#This Row],[Uitvoeringen weekend]]*Ruimtestaat[[#This Row],[Oppervlak (netto)]]</f>
        <v>0</v>
      </c>
      <c r="AB82" s="408">
        <f>IF(Z82&gt;0,Ruimtestaat[[#This Row],[Prest. (m2 /jaar) weekend]]/Ruimtestaat[[#This Row],[Norm (m2/uur) weekend]],0)</f>
        <v>0</v>
      </c>
      <c r="AC82" s="407">
        <f>Ruimtestaat[[#This Row],[uren / jaar weekend]]*Tariefsopbouw!$D$40</f>
        <v>0</v>
      </c>
      <c r="AD82" s="406">
        <f>Ruimtestaat[[#This Row],[Prest. (m2 /jaar) weekend]]+Ruimtestaat[[#This Row],[Prest. (m2 /jaar) werkdagen]]</f>
        <v>1193.3999999999999</v>
      </c>
      <c r="AE82" s="406">
        <f>Ruimtestaat[[#This Row],[uren / jaar weekend]]+Ruimtestaat[[#This Row],[uren / jaar werkdagen]]</f>
        <v>0</v>
      </c>
      <c r="AF82" s="409">
        <f>Ruimtestaat[[#This Row],[kosten / jaar weekend]]+Ruimtestaat[[#This Row],[kosten / jaar werkdagen]]</f>
        <v>0</v>
      </c>
      <c r="AG82" s="409"/>
      <c r="AH82" s="410" t="str">
        <f>IF(Ruimtestaat[[#This Row],[Frequentie werkdagen]]="","",_xlfn.CONCAT(Ruimtestaat[[#This Row],[Ruimte code]],"-",Ruimtestaat[[#This Row],[Frequentie werkdagen]]," ",Ruimtestaat[[#This Row],[Vloer code]]))</f>
        <v>2-3w S</v>
      </c>
      <c r="AI82" s="411" t="str">
        <f>_xlfn.IFNA(VLOOKUP($AH82,Programma!$F$3:$G$1101,2,0),"")</f>
        <v>_</v>
      </c>
      <c r="AJ82" s="411" t="str">
        <f>_xlfn.IFNA(VLOOKUP($AH82,Programma!$F$3:$H$1101,3,0),"")</f>
        <v>_</v>
      </c>
      <c r="AK82" s="411" t="str">
        <f>_xlfn.IFNA(VLOOKUP($AH82,Programma!$F$3:$I$1101,4,0),"")</f>
        <v>2w</v>
      </c>
      <c r="AL82" s="411" t="str">
        <f>_xlfn.IFNA(VLOOKUP($AH82,Programma!$F$3:$J$1101,5,0),"")</f>
        <v>1w</v>
      </c>
      <c r="AM82" s="411" t="str">
        <f>_xlfn.IFNA(VLOOKUP($AH82,Programma!$F$3:$K$1101,6,0),"")</f>
        <v>1j</v>
      </c>
      <c r="AN82" s="411" t="str">
        <f>_xlfn.IFNA(VLOOKUP($AH82,Programma!$F$3:$L$1101,7,0),"")</f>
        <v>_</v>
      </c>
      <c r="AO82" s="411" t="str">
        <f>_xlfn.IFNA(VLOOKUP($AH82,Programma!$F$3:$M$1101,8,0),"")</f>
        <v>_</v>
      </c>
      <c r="AP82" s="411" t="str">
        <f>_xlfn.IFNA(VLOOKUP($AH82,Programma!$F$3:$N$1101,9,0),"")</f>
        <v>_</v>
      </c>
      <c r="AQ82" s="411" t="str">
        <f>_xlfn.IFNA(VLOOKUP($AH82,Programma!$F$3:$O$1101,10,0),"")</f>
        <v>3w</v>
      </c>
      <c r="AR82" s="411" t="str">
        <f>_xlfn.IFNA(VLOOKUP($AH82,Programma!$F$3:$P$1101,11,0),"")</f>
        <v>3w</v>
      </c>
      <c r="AS82" s="411" t="str">
        <f>_xlfn.IFNA(VLOOKUP($AH82,Programma!$F$3:$Q$1101,12,0),"")</f>
        <v>1w</v>
      </c>
      <c r="AT82" s="411" t="str">
        <f>_xlfn.IFNA(VLOOKUP($AH82,Programma!$F$3:$R$1101,13,0),"")</f>
        <v>1w</v>
      </c>
      <c r="AU82" s="411" t="str">
        <f>_xlfn.IFNA(VLOOKUP($AH82,Programma!$F$3:$S$1101,14,0),"")</f>
        <v>1m</v>
      </c>
      <c r="AV82" s="411" t="str">
        <f>_xlfn.IFNA(VLOOKUP($AH82,Programma!$F$3:$T$1101,15,0),"")</f>
        <v>2j</v>
      </c>
      <c r="AW82" s="411" t="str">
        <f>_xlfn.IFNA(VLOOKUP($AH82,Programma!$F$3:$U$1101,16,0),"")</f>
        <v>1j</v>
      </c>
      <c r="AX82" s="411" t="str">
        <f>_xlfn.IFNA(VLOOKUP($AH82,Programma!$F$3:$V$1101,17,0),"")</f>
        <v>_</v>
      </c>
      <c r="AY82" s="411" t="str">
        <f>_xlfn.IFNA(VLOOKUP($AH82,Programma!$F$3:$W$1101,18,0),"")</f>
        <v>_</v>
      </c>
      <c r="AZ82" s="411" t="str">
        <f>_xlfn.IFNA(VLOOKUP($AH82,Programma!$F$3:$X$1101,19,0),"")</f>
        <v>_</v>
      </c>
      <c r="BA82" s="411" t="str">
        <f>_xlfn.IFNA(VLOOKUP($AH82,Programma!$F$3:$Y$1101,20,0),"")</f>
        <v>_</v>
      </c>
      <c r="BB82" s="412"/>
      <c r="BC82" s="410" t="str">
        <f>IF(Ruimtestaat[[#This Row],[Frequentie weekend]]="","",_xlfn.CONCAT(Ruimtestaat[[#This Row],[Ruimte code]],"-",Ruimtestaat[[#This Row],[Frequentie weekend]]," ",Ruimtestaat[[#This Row],[Vloer code]]))</f>
        <v/>
      </c>
      <c r="BD82" s="411" t="str">
        <f>_xlfn.IFNA(VLOOKUP($BC82,Programma!$F$3:$G$1101,2,0),"")</f>
        <v/>
      </c>
      <c r="BE82" s="411" t="str">
        <f>_xlfn.IFNA(VLOOKUP($BC82,Programma!$F$3:$H$1101,3,0),"")</f>
        <v/>
      </c>
      <c r="BF82" s="411" t="str">
        <f>_xlfn.IFNA(VLOOKUP($BC82,Programma!$F$3:$I$1101,4,0),"")</f>
        <v/>
      </c>
      <c r="BG82" s="411" t="str">
        <f>_xlfn.IFNA(VLOOKUP($BC82,Programma!$F$3:$J$1101,5,0),"")</f>
        <v/>
      </c>
      <c r="BH82" s="411" t="str">
        <f>_xlfn.IFNA(VLOOKUP($BC82,Programma!$F$3:$K$1101,6,0),"")</f>
        <v/>
      </c>
      <c r="BI82" s="411" t="str">
        <f>_xlfn.IFNA(VLOOKUP($BC82,Programma!$F$3:$L$1101,7,0),"")</f>
        <v/>
      </c>
      <c r="BJ82" s="411" t="str">
        <f>_xlfn.IFNA(VLOOKUP($BC82,Programma!$F$3:$M$1101,8,0),"")</f>
        <v/>
      </c>
      <c r="BK82" s="411" t="str">
        <f>_xlfn.IFNA(VLOOKUP($BC82,Programma!$F$3:$N$1101,9,0),"")</f>
        <v/>
      </c>
      <c r="BL82" s="411" t="str">
        <f>_xlfn.IFNA(VLOOKUP($BC82,Programma!$F$3:$O$1101,10,0),"")</f>
        <v/>
      </c>
      <c r="BM82" s="411" t="str">
        <f>_xlfn.IFNA(VLOOKUP($BC82,Programma!$F$3:$P$1101,11,0),"")</f>
        <v/>
      </c>
      <c r="BN82" s="411" t="str">
        <f>_xlfn.IFNA(VLOOKUP($BC82,Programma!$F$3:$Q$1101,12,0),"")</f>
        <v/>
      </c>
      <c r="BO82" s="411" t="str">
        <f>_xlfn.IFNA(VLOOKUP($BC82,Programma!$F$3:$R$1101,13,0),"")</f>
        <v/>
      </c>
      <c r="BP82" s="411" t="str">
        <f>_xlfn.IFNA(VLOOKUP($BC82,Programma!$F$3:$S$1101,14,0),"")</f>
        <v/>
      </c>
      <c r="BQ82" s="411" t="str">
        <f>_xlfn.IFNA(VLOOKUP($BC82,Programma!$F$3:$T$1101,15,0),"")</f>
        <v/>
      </c>
      <c r="BR82" s="411" t="str">
        <f>_xlfn.IFNA(VLOOKUP($BC82,Programma!$F$3:$U$1101,16,0),"")</f>
        <v/>
      </c>
      <c r="BS82" s="411" t="str">
        <f>_xlfn.IFNA(VLOOKUP($BC82,Programma!$F$3:$V$1101,17,0),"")</f>
        <v/>
      </c>
      <c r="BT82" s="411" t="str">
        <f>_xlfn.IFNA(VLOOKUP($BC82,Programma!$F$3:$W$1101,18,0),"")</f>
        <v/>
      </c>
      <c r="BU82" s="411" t="str">
        <f>_xlfn.IFNA(VLOOKUP($BC82,Programma!$F$3:$X$1101,19,0),"")</f>
        <v/>
      </c>
      <c r="BV82" s="411" t="str">
        <f>_xlfn.IFNA(VLOOKUP($BC82,Programma!$F$3:$Y$1101,20,0),"")</f>
        <v/>
      </c>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row>
    <row r="83" spans="1:219" ht="15" customHeight="1">
      <c r="A83" s="336">
        <v>2</v>
      </c>
      <c r="B83" s="400" t="str">
        <f>VLOOKUP(Ruimtestaat[[#This Row],[Code]],Locaties[[Code]:[Locatie]],2,FALSE)</f>
        <v>Kleine Houtweg</v>
      </c>
      <c r="C83" s="400" t="str">
        <f>VLOOKUP(Ruimtestaat[[#This Row],[Code]],Locaties[[#All],[Code]:[Adres]],4,FALSE)</f>
        <v>Kleine Houtweg 18</v>
      </c>
      <c r="D83" s="400" t="str">
        <f>VLOOKUP(Ruimtestaat[[#This Row],[Code]],Locaties[[#All],[Code]:[Postcode]],5,FALSE)</f>
        <v>2012 CH</v>
      </c>
      <c r="E83" s="400" t="str">
        <f>VLOOKUP(Ruimtestaat[[#This Row],[Code]],Locaties[#All],6,FALSE)</f>
        <v>Haarlem</v>
      </c>
      <c r="F83" s="399"/>
      <c r="G83" s="399" t="s">
        <v>1639</v>
      </c>
      <c r="H83" s="401">
        <v>8</v>
      </c>
      <c r="I83" s="402" t="s">
        <v>1646</v>
      </c>
      <c r="J83" s="336">
        <v>2</v>
      </c>
      <c r="K83" s="414" t="str">
        <f>VLOOKUP(Ruimtestaat[[#This Row],[Ruimte code]],Ruimtegroepen[[#All],[Code]:[Ruimte omschrijving]],2,FALSE)</f>
        <v>Kantoren</v>
      </c>
      <c r="L83" s="399" t="s">
        <v>101</v>
      </c>
      <c r="M83" s="402" t="s">
        <v>1661</v>
      </c>
      <c r="N83" s="404">
        <v>7.8</v>
      </c>
      <c r="O83" s="413"/>
      <c r="P83" s="405" t="str">
        <f>VLOOKUP(Ruimtestaat[[#This Row],[Ruimte code]],Ruimtegroepen[],4,FALSE)</f>
        <v>Bu</v>
      </c>
      <c r="Q83" s="399">
        <v>51</v>
      </c>
      <c r="R83" s="399" t="s">
        <v>18</v>
      </c>
      <c r="S83" s="399">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83" s="399">
        <f>IF(S83&gt;0,VLOOKUP($J83,Ruimtegroepen[],3,FALSE)*VLOOKUP($L83,Vloersoorten[],3,FALSE)*VLOOKUP($R83,Frequenties[],3,FALSE)*VLOOKUP($A83,Locaties[],3,FALSE),0)</f>
        <v>0</v>
      </c>
      <c r="U83" s="399">
        <f>Ruimtestaat[[#This Row],[Uitvoeringen werkdagen]]*Ruimtestaat[[#This Row],[Oppervlak (netto)]]</f>
        <v>1193.3999999999999</v>
      </c>
      <c r="V83" s="406">
        <f>IF(T83&gt;0,Ruimtestaat[[#This Row],[Prest. (m2 /jaar) werkdagen]]/Ruimtestaat[[#This Row],[Norm (m2/uur) werkdagen]],0)</f>
        <v>0</v>
      </c>
      <c r="W83" s="407">
        <f>Ruimtestaat[[#This Row],[uren / jaar werkdagen]]*Tariefsopbouw!$E$35</f>
        <v>0</v>
      </c>
      <c r="X83" s="399"/>
      <c r="Y83" s="399">
        <f>IF(Ruimtestaat[[#This Row],[Frequentie weekend]]&gt;0,VALUE(LEFT(X83,1))*Q83,0)</f>
        <v>0</v>
      </c>
      <c r="Z83" s="408">
        <f>IF($Y83&gt;0,VLOOKUP($J83,Ruimtegroepen[],3,FALSE)*VLOOKUP($L83,Vloersoorten[],3,FALSE)*VLOOKUP($X83,Frequenties[],3,FALSE)*VLOOKUP(Ruimtestaat[[#This Row],[Code]],Locaties[],3,FALSE),0)</f>
        <v>0</v>
      </c>
      <c r="AA83" s="408">
        <f>Ruimtestaat[[#This Row],[Uitvoeringen weekend]]*Ruimtestaat[[#This Row],[Oppervlak (netto)]]</f>
        <v>0</v>
      </c>
      <c r="AB83" s="408">
        <f>IF(Z83&gt;0,Ruimtestaat[[#This Row],[Prest. (m2 /jaar) weekend]]/Ruimtestaat[[#This Row],[Norm (m2/uur) weekend]],0)</f>
        <v>0</v>
      </c>
      <c r="AC83" s="407">
        <f>Ruimtestaat[[#This Row],[uren / jaar weekend]]*Tariefsopbouw!$D$40</f>
        <v>0</v>
      </c>
      <c r="AD83" s="406">
        <f>Ruimtestaat[[#This Row],[Prest. (m2 /jaar) weekend]]+Ruimtestaat[[#This Row],[Prest. (m2 /jaar) werkdagen]]</f>
        <v>1193.3999999999999</v>
      </c>
      <c r="AE83" s="406">
        <f>Ruimtestaat[[#This Row],[uren / jaar weekend]]+Ruimtestaat[[#This Row],[uren / jaar werkdagen]]</f>
        <v>0</v>
      </c>
      <c r="AF83" s="409">
        <f>Ruimtestaat[[#This Row],[kosten / jaar weekend]]+Ruimtestaat[[#This Row],[kosten / jaar werkdagen]]</f>
        <v>0</v>
      </c>
      <c r="AG83" s="409"/>
      <c r="AH83" s="410" t="str">
        <f>IF(Ruimtestaat[[#This Row],[Frequentie werkdagen]]="","",_xlfn.CONCAT(Ruimtestaat[[#This Row],[Ruimte code]],"-",Ruimtestaat[[#This Row],[Frequentie werkdagen]]," ",Ruimtestaat[[#This Row],[Vloer code]]))</f>
        <v>2-3w S</v>
      </c>
      <c r="AI83" s="411" t="str">
        <f>_xlfn.IFNA(VLOOKUP($AH83,Programma!$F$3:$G$1101,2,0),"")</f>
        <v>_</v>
      </c>
      <c r="AJ83" s="411" t="str">
        <f>_xlfn.IFNA(VLOOKUP($AH83,Programma!$F$3:$H$1101,3,0),"")</f>
        <v>_</v>
      </c>
      <c r="AK83" s="411" t="str">
        <f>_xlfn.IFNA(VLOOKUP($AH83,Programma!$F$3:$I$1101,4,0),"")</f>
        <v>2w</v>
      </c>
      <c r="AL83" s="411" t="str">
        <f>_xlfn.IFNA(VLOOKUP($AH83,Programma!$F$3:$J$1101,5,0),"")</f>
        <v>1w</v>
      </c>
      <c r="AM83" s="411" t="str">
        <f>_xlfn.IFNA(VLOOKUP($AH83,Programma!$F$3:$K$1101,6,0),"")</f>
        <v>1j</v>
      </c>
      <c r="AN83" s="411" t="str">
        <f>_xlfn.IFNA(VLOOKUP($AH83,Programma!$F$3:$L$1101,7,0),"")</f>
        <v>_</v>
      </c>
      <c r="AO83" s="411" t="str">
        <f>_xlfn.IFNA(VLOOKUP($AH83,Programma!$F$3:$M$1101,8,0),"")</f>
        <v>_</v>
      </c>
      <c r="AP83" s="411" t="str">
        <f>_xlfn.IFNA(VLOOKUP($AH83,Programma!$F$3:$N$1101,9,0),"")</f>
        <v>_</v>
      </c>
      <c r="AQ83" s="411" t="str">
        <f>_xlfn.IFNA(VLOOKUP($AH83,Programma!$F$3:$O$1101,10,0),"")</f>
        <v>3w</v>
      </c>
      <c r="AR83" s="411" t="str">
        <f>_xlfn.IFNA(VLOOKUP($AH83,Programma!$F$3:$P$1101,11,0),"")</f>
        <v>3w</v>
      </c>
      <c r="AS83" s="411" t="str">
        <f>_xlfn.IFNA(VLOOKUP($AH83,Programma!$F$3:$Q$1101,12,0),"")</f>
        <v>1w</v>
      </c>
      <c r="AT83" s="411" t="str">
        <f>_xlfn.IFNA(VLOOKUP($AH83,Programma!$F$3:$R$1101,13,0),"")</f>
        <v>1w</v>
      </c>
      <c r="AU83" s="411" t="str">
        <f>_xlfn.IFNA(VLOOKUP($AH83,Programma!$F$3:$S$1101,14,0),"")</f>
        <v>1m</v>
      </c>
      <c r="AV83" s="411" t="str">
        <f>_xlfn.IFNA(VLOOKUP($AH83,Programma!$F$3:$T$1101,15,0),"")</f>
        <v>2j</v>
      </c>
      <c r="AW83" s="411" t="str">
        <f>_xlfn.IFNA(VLOOKUP($AH83,Programma!$F$3:$U$1101,16,0),"")</f>
        <v>1j</v>
      </c>
      <c r="AX83" s="411" t="str">
        <f>_xlfn.IFNA(VLOOKUP($AH83,Programma!$F$3:$V$1101,17,0),"")</f>
        <v>_</v>
      </c>
      <c r="AY83" s="411" t="str">
        <f>_xlfn.IFNA(VLOOKUP($AH83,Programma!$F$3:$W$1101,18,0),"")</f>
        <v>_</v>
      </c>
      <c r="AZ83" s="411" t="str">
        <f>_xlfn.IFNA(VLOOKUP($AH83,Programma!$F$3:$X$1101,19,0),"")</f>
        <v>_</v>
      </c>
      <c r="BA83" s="411" t="str">
        <f>_xlfn.IFNA(VLOOKUP($AH83,Programma!$F$3:$Y$1101,20,0),"")</f>
        <v>_</v>
      </c>
      <c r="BB83" s="412"/>
      <c r="BC83" s="410" t="str">
        <f>IF(Ruimtestaat[[#This Row],[Frequentie weekend]]="","",_xlfn.CONCAT(Ruimtestaat[[#This Row],[Ruimte code]],"-",Ruimtestaat[[#This Row],[Frequentie weekend]]," ",Ruimtestaat[[#This Row],[Vloer code]]))</f>
        <v/>
      </c>
      <c r="BD83" s="411" t="str">
        <f>_xlfn.IFNA(VLOOKUP($BC83,Programma!$F$3:$G$1101,2,0),"")</f>
        <v/>
      </c>
      <c r="BE83" s="411" t="str">
        <f>_xlfn.IFNA(VLOOKUP($BC83,Programma!$F$3:$H$1101,3,0),"")</f>
        <v/>
      </c>
      <c r="BF83" s="411" t="str">
        <f>_xlfn.IFNA(VLOOKUP($BC83,Programma!$F$3:$I$1101,4,0),"")</f>
        <v/>
      </c>
      <c r="BG83" s="411" t="str">
        <f>_xlfn.IFNA(VLOOKUP($BC83,Programma!$F$3:$J$1101,5,0),"")</f>
        <v/>
      </c>
      <c r="BH83" s="411" t="str">
        <f>_xlfn.IFNA(VLOOKUP($BC83,Programma!$F$3:$K$1101,6,0),"")</f>
        <v/>
      </c>
      <c r="BI83" s="411" t="str">
        <f>_xlfn.IFNA(VLOOKUP($BC83,Programma!$F$3:$L$1101,7,0),"")</f>
        <v/>
      </c>
      <c r="BJ83" s="411" t="str">
        <f>_xlfn.IFNA(VLOOKUP($BC83,Programma!$F$3:$M$1101,8,0),"")</f>
        <v/>
      </c>
      <c r="BK83" s="411" t="str">
        <f>_xlfn.IFNA(VLOOKUP($BC83,Programma!$F$3:$N$1101,9,0),"")</f>
        <v/>
      </c>
      <c r="BL83" s="411" t="str">
        <f>_xlfn.IFNA(VLOOKUP($BC83,Programma!$F$3:$O$1101,10,0),"")</f>
        <v/>
      </c>
      <c r="BM83" s="411" t="str">
        <f>_xlfn.IFNA(VLOOKUP($BC83,Programma!$F$3:$P$1101,11,0),"")</f>
        <v/>
      </c>
      <c r="BN83" s="411" t="str">
        <f>_xlfn.IFNA(VLOOKUP($BC83,Programma!$F$3:$Q$1101,12,0),"")</f>
        <v/>
      </c>
      <c r="BO83" s="411" t="str">
        <f>_xlfn.IFNA(VLOOKUP($BC83,Programma!$F$3:$R$1101,13,0),"")</f>
        <v/>
      </c>
      <c r="BP83" s="411" t="str">
        <f>_xlfn.IFNA(VLOOKUP($BC83,Programma!$F$3:$S$1101,14,0),"")</f>
        <v/>
      </c>
      <c r="BQ83" s="411" t="str">
        <f>_xlfn.IFNA(VLOOKUP($BC83,Programma!$F$3:$T$1101,15,0),"")</f>
        <v/>
      </c>
      <c r="BR83" s="411" t="str">
        <f>_xlfn.IFNA(VLOOKUP($BC83,Programma!$F$3:$U$1101,16,0),"")</f>
        <v/>
      </c>
      <c r="BS83" s="411" t="str">
        <f>_xlfn.IFNA(VLOOKUP($BC83,Programma!$F$3:$V$1101,17,0),"")</f>
        <v/>
      </c>
      <c r="BT83" s="411" t="str">
        <f>_xlfn.IFNA(VLOOKUP($BC83,Programma!$F$3:$W$1101,18,0),"")</f>
        <v/>
      </c>
      <c r="BU83" s="411" t="str">
        <f>_xlfn.IFNA(VLOOKUP($BC83,Programma!$F$3:$X$1101,19,0),"")</f>
        <v/>
      </c>
      <c r="BV83" s="411" t="str">
        <f>_xlfn.IFNA(VLOOKUP($BC83,Programma!$F$3:$Y$1101,20,0),"")</f>
        <v/>
      </c>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row>
    <row r="84" spans="1:219" ht="15" customHeight="1">
      <c r="A84" s="336">
        <v>2</v>
      </c>
      <c r="B84" s="400" t="str">
        <f>VLOOKUP(Ruimtestaat[[#This Row],[Code]],Locaties[[Code]:[Locatie]],2,FALSE)</f>
        <v>Kleine Houtweg</v>
      </c>
      <c r="C84" s="400" t="str">
        <f>VLOOKUP(Ruimtestaat[[#This Row],[Code]],Locaties[[#All],[Code]:[Adres]],4,FALSE)</f>
        <v>Kleine Houtweg 18</v>
      </c>
      <c r="D84" s="400" t="str">
        <f>VLOOKUP(Ruimtestaat[[#This Row],[Code]],Locaties[[#All],[Code]:[Postcode]],5,FALSE)</f>
        <v>2012 CH</v>
      </c>
      <c r="E84" s="400" t="str">
        <f>VLOOKUP(Ruimtestaat[[#This Row],[Code]],Locaties[#All],6,FALSE)</f>
        <v>Haarlem</v>
      </c>
      <c r="F84" s="399"/>
      <c r="G84" s="399" t="s">
        <v>1639</v>
      </c>
      <c r="H84" s="401">
        <v>9</v>
      </c>
      <c r="I84" s="402" t="s">
        <v>1646</v>
      </c>
      <c r="J84" s="336">
        <v>2</v>
      </c>
      <c r="K84" s="414" t="str">
        <f>VLOOKUP(Ruimtestaat[[#This Row],[Ruimte code]],Ruimtegroepen[[#All],[Code]:[Ruimte omschrijving]],2,FALSE)</f>
        <v>Kantoren</v>
      </c>
      <c r="L84" s="399" t="s">
        <v>101</v>
      </c>
      <c r="M84" s="402" t="s">
        <v>1661</v>
      </c>
      <c r="N84" s="404">
        <v>13.8</v>
      </c>
      <c r="O84" s="399"/>
      <c r="P84" s="405" t="str">
        <f>VLOOKUP(Ruimtestaat[[#This Row],[Ruimte code]],Ruimtegroepen[],4,FALSE)</f>
        <v>Bu</v>
      </c>
      <c r="Q84" s="399">
        <v>51</v>
      </c>
      <c r="R84" s="399" t="s">
        <v>18</v>
      </c>
      <c r="S84" s="399">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84" s="399">
        <f>IF(S84&gt;0,VLOOKUP($J84,Ruimtegroepen[],3,FALSE)*VLOOKUP($L84,Vloersoorten[],3,FALSE)*VLOOKUP($R84,Frequenties[],3,FALSE)*VLOOKUP($A84,Locaties[],3,FALSE),0)</f>
        <v>0</v>
      </c>
      <c r="U84" s="399">
        <f>Ruimtestaat[[#This Row],[Uitvoeringen werkdagen]]*Ruimtestaat[[#This Row],[Oppervlak (netto)]]</f>
        <v>2111.4</v>
      </c>
      <c r="V84" s="406">
        <f>IF(T84&gt;0,Ruimtestaat[[#This Row],[Prest. (m2 /jaar) werkdagen]]/Ruimtestaat[[#This Row],[Norm (m2/uur) werkdagen]],0)</f>
        <v>0</v>
      </c>
      <c r="W84" s="407">
        <f>Ruimtestaat[[#This Row],[uren / jaar werkdagen]]*Tariefsopbouw!$E$35</f>
        <v>0</v>
      </c>
      <c r="X84" s="399"/>
      <c r="Y84" s="399">
        <f>IF(Ruimtestaat[[#This Row],[Frequentie weekend]]&gt;0,VALUE(LEFT(X84,1))*Q84,0)</f>
        <v>0</v>
      </c>
      <c r="Z84" s="408">
        <f>IF($Y84&gt;0,VLOOKUP($J84,Ruimtegroepen[],3,FALSE)*VLOOKUP($L84,Vloersoorten[],3,FALSE)*VLOOKUP($X84,Frequenties[],3,FALSE)*VLOOKUP(Ruimtestaat[[#This Row],[Code]],Locaties[],3,FALSE),0)</f>
        <v>0</v>
      </c>
      <c r="AA84" s="408">
        <f>Ruimtestaat[[#This Row],[Uitvoeringen weekend]]*Ruimtestaat[[#This Row],[Oppervlak (netto)]]</f>
        <v>0</v>
      </c>
      <c r="AB84" s="408">
        <f>IF(Z84&gt;0,Ruimtestaat[[#This Row],[Prest. (m2 /jaar) weekend]]/Ruimtestaat[[#This Row],[Norm (m2/uur) weekend]],0)</f>
        <v>0</v>
      </c>
      <c r="AC84" s="407">
        <f>Ruimtestaat[[#This Row],[uren / jaar weekend]]*Tariefsopbouw!$D$40</f>
        <v>0</v>
      </c>
      <c r="AD84" s="406">
        <f>Ruimtestaat[[#This Row],[Prest. (m2 /jaar) weekend]]+Ruimtestaat[[#This Row],[Prest. (m2 /jaar) werkdagen]]</f>
        <v>2111.4</v>
      </c>
      <c r="AE84" s="406">
        <f>Ruimtestaat[[#This Row],[uren / jaar weekend]]+Ruimtestaat[[#This Row],[uren / jaar werkdagen]]</f>
        <v>0</v>
      </c>
      <c r="AF84" s="409">
        <f>Ruimtestaat[[#This Row],[kosten / jaar weekend]]+Ruimtestaat[[#This Row],[kosten / jaar werkdagen]]</f>
        <v>0</v>
      </c>
      <c r="AG84" s="409"/>
      <c r="AH84" s="410" t="str">
        <f>IF(Ruimtestaat[[#This Row],[Frequentie werkdagen]]="","",_xlfn.CONCAT(Ruimtestaat[[#This Row],[Ruimte code]],"-",Ruimtestaat[[#This Row],[Frequentie werkdagen]]," ",Ruimtestaat[[#This Row],[Vloer code]]))</f>
        <v>2-3w S</v>
      </c>
      <c r="AI84" s="411" t="str">
        <f>_xlfn.IFNA(VLOOKUP($AH84,Programma!$F$3:$G$1101,2,0),"")</f>
        <v>_</v>
      </c>
      <c r="AJ84" s="411" t="str">
        <f>_xlfn.IFNA(VLOOKUP($AH84,Programma!$F$3:$H$1101,3,0),"")</f>
        <v>_</v>
      </c>
      <c r="AK84" s="411" t="str">
        <f>_xlfn.IFNA(VLOOKUP($AH84,Programma!$F$3:$I$1101,4,0),"")</f>
        <v>2w</v>
      </c>
      <c r="AL84" s="411" t="str">
        <f>_xlfn.IFNA(VLOOKUP($AH84,Programma!$F$3:$J$1101,5,0),"")</f>
        <v>1w</v>
      </c>
      <c r="AM84" s="411" t="str">
        <f>_xlfn.IFNA(VLOOKUP($AH84,Programma!$F$3:$K$1101,6,0),"")</f>
        <v>1j</v>
      </c>
      <c r="AN84" s="411" t="str">
        <f>_xlfn.IFNA(VLOOKUP($AH84,Programma!$F$3:$L$1101,7,0),"")</f>
        <v>_</v>
      </c>
      <c r="AO84" s="411" t="str">
        <f>_xlfn.IFNA(VLOOKUP($AH84,Programma!$F$3:$M$1101,8,0),"")</f>
        <v>_</v>
      </c>
      <c r="AP84" s="411" t="str">
        <f>_xlfn.IFNA(VLOOKUP($AH84,Programma!$F$3:$N$1101,9,0),"")</f>
        <v>_</v>
      </c>
      <c r="AQ84" s="411" t="str">
        <f>_xlfn.IFNA(VLOOKUP($AH84,Programma!$F$3:$O$1101,10,0),"")</f>
        <v>3w</v>
      </c>
      <c r="AR84" s="411" t="str">
        <f>_xlfn.IFNA(VLOOKUP($AH84,Programma!$F$3:$P$1101,11,0),"")</f>
        <v>3w</v>
      </c>
      <c r="AS84" s="411" t="str">
        <f>_xlfn.IFNA(VLOOKUP($AH84,Programma!$F$3:$Q$1101,12,0),"")</f>
        <v>1w</v>
      </c>
      <c r="AT84" s="411" t="str">
        <f>_xlfn.IFNA(VLOOKUP($AH84,Programma!$F$3:$R$1101,13,0),"")</f>
        <v>1w</v>
      </c>
      <c r="AU84" s="411" t="str">
        <f>_xlfn.IFNA(VLOOKUP($AH84,Programma!$F$3:$S$1101,14,0),"")</f>
        <v>1m</v>
      </c>
      <c r="AV84" s="411" t="str">
        <f>_xlfn.IFNA(VLOOKUP($AH84,Programma!$F$3:$T$1101,15,0),"")</f>
        <v>2j</v>
      </c>
      <c r="AW84" s="411" t="str">
        <f>_xlfn.IFNA(VLOOKUP($AH84,Programma!$F$3:$U$1101,16,0),"")</f>
        <v>1j</v>
      </c>
      <c r="AX84" s="411" t="str">
        <f>_xlfn.IFNA(VLOOKUP($AH84,Programma!$F$3:$V$1101,17,0),"")</f>
        <v>_</v>
      </c>
      <c r="AY84" s="411" t="str">
        <f>_xlfn.IFNA(VLOOKUP($AH84,Programma!$F$3:$W$1101,18,0),"")</f>
        <v>_</v>
      </c>
      <c r="AZ84" s="411" t="str">
        <f>_xlfn.IFNA(VLOOKUP($AH84,Programma!$F$3:$X$1101,19,0),"")</f>
        <v>_</v>
      </c>
      <c r="BA84" s="411" t="str">
        <f>_xlfn.IFNA(VLOOKUP($AH84,Programma!$F$3:$Y$1101,20,0),"")</f>
        <v>_</v>
      </c>
      <c r="BB84" s="412"/>
      <c r="BC84" s="410" t="str">
        <f>IF(Ruimtestaat[[#This Row],[Frequentie weekend]]="","",_xlfn.CONCAT(Ruimtestaat[[#This Row],[Ruimte code]],"-",Ruimtestaat[[#This Row],[Frequentie weekend]]," ",Ruimtestaat[[#This Row],[Vloer code]]))</f>
        <v/>
      </c>
      <c r="BD84" s="411" t="str">
        <f>_xlfn.IFNA(VLOOKUP($BC84,Programma!$F$3:$G$1101,2,0),"")</f>
        <v/>
      </c>
      <c r="BE84" s="411" t="str">
        <f>_xlfn.IFNA(VLOOKUP($BC84,Programma!$F$3:$H$1101,3,0),"")</f>
        <v/>
      </c>
      <c r="BF84" s="411" t="str">
        <f>_xlfn.IFNA(VLOOKUP($BC84,Programma!$F$3:$I$1101,4,0),"")</f>
        <v/>
      </c>
      <c r="BG84" s="411" t="str">
        <f>_xlfn.IFNA(VLOOKUP($BC84,Programma!$F$3:$J$1101,5,0),"")</f>
        <v/>
      </c>
      <c r="BH84" s="411" t="str">
        <f>_xlfn.IFNA(VLOOKUP($BC84,Programma!$F$3:$K$1101,6,0),"")</f>
        <v/>
      </c>
      <c r="BI84" s="411" t="str">
        <f>_xlfn.IFNA(VLOOKUP($BC84,Programma!$F$3:$L$1101,7,0),"")</f>
        <v/>
      </c>
      <c r="BJ84" s="411" t="str">
        <f>_xlfn.IFNA(VLOOKUP($BC84,Programma!$F$3:$M$1101,8,0),"")</f>
        <v/>
      </c>
      <c r="BK84" s="411" t="str">
        <f>_xlfn.IFNA(VLOOKUP($BC84,Programma!$F$3:$N$1101,9,0),"")</f>
        <v/>
      </c>
      <c r="BL84" s="411" t="str">
        <f>_xlfn.IFNA(VLOOKUP($BC84,Programma!$F$3:$O$1101,10,0),"")</f>
        <v/>
      </c>
      <c r="BM84" s="411" t="str">
        <f>_xlfn.IFNA(VLOOKUP($BC84,Programma!$F$3:$P$1101,11,0),"")</f>
        <v/>
      </c>
      <c r="BN84" s="411" t="str">
        <f>_xlfn.IFNA(VLOOKUP($BC84,Programma!$F$3:$Q$1101,12,0),"")</f>
        <v/>
      </c>
      <c r="BO84" s="411" t="str">
        <f>_xlfn.IFNA(VLOOKUP($BC84,Programma!$F$3:$R$1101,13,0),"")</f>
        <v/>
      </c>
      <c r="BP84" s="411" t="str">
        <f>_xlfn.IFNA(VLOOKUP($BC84,Programma!$F$3:$S$1101,14,0),"")</f>
        <v/>
      </c>
      <c r="BQ84" s="411" t="str">
        <f>_xlfn.IFNA(VLOOKUP($BC84,Programma!$F$3:$T$1101,15,0),"")</f>
        <v/>
      </c>
      <c r="BR84" s="411" t="str">
        <f>_xlfn.IFNA(VLOOKUP($BC84,Programma!$F$3:$U$1101,16,0),"")</f>
        <v/>
      </c>
      <c r="BS84" s="411" t="str">
        <f>_xlfn.IFNA(VLOOKUP($BC84,Programma!$F$3:$V$1101,17,0),"")</f>
        <v/>
      </c>
      <c r="BT84" s="411" t="str">
        <f>_xlfn.IFNA(VLOOKUP($BC84,Programma!$F$3:$W$1101,18,0),"")</f>
        <v/>
      </c>
      <c r="BU84" s="411" t="str">
        <f>_xlfn.IFNA(VLOOKUP($BC84,Programma!$F$3:$X$1101,19,0),"")</f>
        <v/>
      </c>
      <c r="BV84" s="411" t="str">
        <f>_xlfn.IFNA(VLOOKUP($BC84,Programma!$F$3:$Y$1101,20,0),"")</f>
        <v/>
      </c>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c r="ET84" s="28"/>
      <c r="EU84" s="28"/>
      <c r="EV84" s="28"/>
      <c r="EW84" s="28"/>
      <c r="EX84" s="28"/>
      <c r="EY84" s="28"/>
      <c r="EZ84" s="28"/>
      <c r="FA84" s="28"/>
      <c r="FB84" s="28"/>
      <c r="FC84" s="28"/>
      <c r="FD84" s="28"/>
      <c r="FE84" s="28"/>
      <c r="FF84" s="28"/>
      <c r="FG84" s="28"/>
      <c r="FH84" s="28"/>
      <c r="FI84" s="28"/>
      <c r="FJ84" s="28"/>
      <c r="FK84" s="28"/>
      <c r="FL84" s="28"/>
      <c r="FM84" s="28"/>
      <c r="FN84" s="28"/>
      <c r="FO84" s="28"/>
      <c r="FP84" s="28"/>
      <c r="FQ84" s="28"/>
      <c r="FR84" s="28"/>
      <c r="FS84" s="28"/>
      <c r="FT84" s="28"/>
      <c r="FU84" s="28"/>
      <c r="FV84" s="28"/>
      <c r="FW84" s="28"/>
      <c r="FX84" s="28"/>
      <c r="FY84" s="28"/>
      <c r="FZ84" s="28"/>
      <c r="GA84" s="28"/>
      <c r="GB84" s="28"/>
      <c r="GC84" s="28"/>
      <c r="GD84" s="28"/>
      <c r="GE84" s="28"/>
      <c r="GF84" s="28"/>
      <c r="GG84" s="28"/>
      <c r="GH84" s="28"/>
      <c r="GI84" s="28"/>
      <c r="GJ84" s="28"/>
      <c r="GK84" s="28"/>
      <c r="GL84" s="28"/>
      <c r="GM84" s="28"/>
      <c r="GN84" s="28"/>
      <c r="GO84" s="28"/>
      <c r="GP84" s="28"/>
      <c r="GQ84" s="28"/>
      <c r="GR84" s="28"/>
      <c r="GS84" s="28"/>
      <c r="GT84" s="28"/>
      <c r="GU84" s="28"/>
      <c r="GV84" s="28"/>
      <c r="GW84" s="28"/>
      <c r="GX84" s="28"/>
      <c r="GY84" s="28"/>
      <c r="GZ84" s="28"/>
      <c r="HA84" s="28"/>
      <c r="HB84" s="28"/>
      <c r="HC84" s="28"/>
      <c r="HD84" s="28"/>
      <c r="HE84" s="28"/>
      <c r="HF84" s="28"/>
      <c r="HG84" s="28"/>
      <c r="HH84" s="28"/>
      <c r="HI84" s="28"/>
      <c r="HJ84" s="28"/>
      <c r="HK84" s="28"/>
    </row>
    <row r="85" spans="1:219" ht="15" customHeight="1">
      <c r="A85" s="336">
        <v>2</v>
      </c>
      <c r="B85" s="400" t="str">
        <f>VLOOKUP(Ruimtestaat[[#This Row],[Code]],Locaties[[Code]:[Locatie]],2,FALSE)</f>
        <v>Kleine Houtweg</v>
      </c>
      <c r="C85" s="400" t="str">
        <f>VLOOKUP(Ruimtestaat[[#This Row],[Code]],Locaties[[#All],[Code]:[Adres]],4,FALSE)</f>
        <v>Kleine Houtweg 18</v>
      </c>
      <c r="D85" s="400" t="str">
        <f>VLOOKUP(Ruimtestaat[[#This Row],[Code]],Locaties[[#All],[Code]:[Postcode]],5,FALSE)</f>
        <v>2012 CH</v>
      </c>
      <c r="E85" s="400" t="str">
        <f>VLOOKUP(Ruimtestaat[[#This Row],[Code]],Locaties[#All],6,FALSE)</f>
        <v>Haarlem</v>
      </c>
      <c r="F85" s="399"/>
      <c r="G85" s="399" t="s">
        <v>1639</v>
      </c>
      <c r="H85" s="401">
        <v>10</v>
      </c>
      <c r="I85" s="402" t="s">
        <v>1646</v>
      </c>
      <c r="J85" s="336">
        <v>2</v>
      </c>
      <c r="K85" s="414" t="str">
        <f>VLOOKUP(Ruimtestaat[[#This Row],[Ruimte code]],Ruimtegroepen[[#All],[Code]:[Ruimte omschrijving]],2,FALSE)</f>
        <v>Kantoren</v>
      </c>
      <c r="L85" s="399" t="s">
        <v>101</v>
      </c>
      <c r="M85" s="402" t="s">
        <v>1661</v>
      </c>
      <c r="N85" s="404">
        <v>13.8</v>
      </c>
      <c r="O85" s="413"/>
      <c r="P85" s="405" t="str">
        <f>VLOOKUP(Ruimtestaat[[#This Row],[Ruimte code]],Ruimtegroepen[],4,FALSE)</f>
        <v>Bu</v>
      </c>
      <c r="Q85" s="399">
        <v>51</v>
      </c>
      <c r="R85" s="399" t="s">
        <v>18</v>
      </c>
      <c r="S85" s="399">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85" s="399">
        <f>IF(S85&gt;0,VLOOKUP($J85,Ruimtegroepen[],3,FALSE)*VLOOKUP($L85,Vloersoorten[],3,FALSE)*VLOOKUP($R85,Frequenties[],3,FALSE)*VLOOKUP($A85,Locaties[],3,FALSE),0)</f>
        <v>0</v>
      </c>
      <c r="U85" s="399">
        <f>Ruimtestaat[[#This Row],[Uitvoeringen werkdagen]]*Ruimtestaat[[#This Row],[Oppervlak (netto)]]</f>
        <v>2111.4</v>
      </c>
      <c r="V85" s="406">
        <f>IF(T85&gt;0,Ruimtestaat[[#This Row],[Prest. (m2 /jaar) werkdagen]]/Ruimtestaat[[#This Row],[Norm (m2/uur) werkdagen]],0)</f>
        <v>0</v>
      </c>
      <c r="W85" s="407">
        <f>Ruimtestaat[[#This Row],[uren / jaar werkdagen]]*Tariefsopbouw!$E$35</f>
        <v>0</v>
      </c>
      <c r="X85" s="399"/>
      <c r="Y85" s="399">
        <f>IF(Ruimtestaat[[#This Row],[Frequentie weekend]]&gt;0,VALUE(LEFT(X85,1))*Q85,0)</f>
        <v>0</v>
      </c>
      <c r="Z85" s="408">
        <f>IF($Y85&gt;0,VLOOKUP($J85,Ruimtegroepen[],3,FALSE)*VLOOKUP($L85,Vloersoorten[],3,FALSE)*VLOOKUP($X85,Frequenties[],3,FALSE)*VLOOKUP(Ruimtestaat[[#This Row],[Code]],Locaties[],3,FALSE),0)</f>
        <v>0</v>
      </c>
      <c r="AA85" s="408">
        <f>Ruimtestaat[[#This Row],[Uitvoeringen weekend]]*Ruimtestaat[[#This Row],[Oppervlak (netto)]]</f>
        <v>0</v>
      </c>
      <c r="AB85" s="408">
        <f>IF(Z85&gt;0,Ruimtestaat[[#This Row],[Prest. (m2 /jaar) weekend]]/Ruimtestaat[[#This Row],[Norm (m2/uur) weekend]],0)</f>
        <v>0</v>
      </c>
      <c r="AC85" s="407">
        <f>Ruimtestaat[[#This Row],[uren / jaar weekend]]*Tariefsopbouw!$D$40</f>
        <v>0</v>
      </c>
      <c r="AD85" s="406">
        <f>Ruimtestaat[[#This Row],[Prest. (m2 /jaar) weekend]]+Ruimtestaat[[#This Row],[Prest. (m2 /jaar) werkdagen]]</f>
        <v>2111.4</v>
      </c>
      <c r="AE85" s="406">
        <f>Ruimtestaat[[#This Row],[uren / jaar weekend]]+Ruimtestaat[[#This Row],[uren / jaar werkdagen]]</f>
        <v>0</v>
      </c>
      <c r="AF85" s="409">
        <f>Ruimtestaat[[#This Row],[kosten / jaar weekend]]+Ruimtestaat[[#This Row],[kosten / jaar werkdagen]]</f>
        <v>0</v>
      </c>
      <c r="AG85" s="409"/>
      <c r="AH85" s="410" t="str">
        <f>IF(Ruimtestaat[[#This Row],[Frequentie werkdagen]]="","",_xlfn.CONCAT(Ruimtestaat[[#This Row],[Ruimte code]],"-",Ruimtestaat[[#This Row],[Frequentie werkdagen]]," ",Ruimtestaat[[#This Row],[Vloer code]]))</f>
        <v>2-3w S</v>
      </c>
      <c r="AI85" s="411" t="str">
        <f>_xlfn.IFNA(VLOOKUP($AH85,Programma!$F$3:$G$1101,2,0),"")</f>
        <v>_</v>
      </c>
      <c r="AJ85" s="411" t="str">
        <f>_xlfn.IFNA(VLOOKUP($AH85,Programma!$F$3:$H$1101,3,0),"")</f>
        <v>_</v>
      </c>
      <c r="AK85" s="411" t="str">
        <f>_xlfn.IFNA(VLOOKUP($AH85,Programma!$F$3:$I$1101,4,0),"")</f>
        <v>2w</v>
      </c>
      <c r="AL85" s="411" t="str">
        <f>_xlfn.IFNA(VLOOKUP($AH85,Programma!$F$3:$J$1101,5,0),"")</f>
        <v>1w</v>
      </c>
      <c r="AM85" s="411" t="str">
        <f>_xlfn.IFNA(VLOOKUP($AH85,Programma!$F$3:$K$1101,6,0),"")</f>
        <v>1j</v>
      </c>
      <c r="AN85" s="411" t="str">
        <f>_xlfn.IFNA(VLOOKUP($AH85,Programma!$F$3:$L$1101,7,0),"")</f>
        <v>_</v>
      </c>
      <c r="AO85" s="411" t="str">
        <f>_xlfn.IFNA(VLOOKUP($AH85,Programma!$F$3:$M$1101,8,0),"")</f>
        <v>_</v>
      </c>
      <c r="AP85" s="411" t="str">
        <f>_xlfn.IFNA(VLOOKUP($AH85,Programma!$F$3:$N$1101,9,0),"")</f>
        <v>_</v>
      </c>
      <c r="AQ85" s="411" t="str">
        <f>_xlfn.IFNA(VLOOKUP($AH85,Programma!$F$3:$O$1101,10,0),"")</f>
        <v>3w</v>
      </c>
      <c r="AR85" s="411" t="str">
        <f>_xlfn.IFNA(VLOOKUP($AH85,Programma!$F$3:$P$1101,11,0),"")</f>
        <v>3w</v>
      </c>
      <c r="AS85" s="411" t="str">
        <f>_xlfn.IFNA(VLOOKUP($AH85,Programma!$F$3:$Q$1101,12,0),"")</f>
        <v>1w</v>
      </c>
      <c r="AT85" s="411" t="str">
        <f>_xlfn.IFNA(VLOOKUP($AH85,Programma!$F$3:$R$1101,13,0),"")</f>
        <v>1w</v>
      </c>
      <c r="AU85" s="411" t="str">
        <f>_xlfn.IFNA(VLOOKUP($AH85,Programma!$F$3:$S$1101,14,0),"")</f>
        <v>1m</v>
      </c>
      <c r="AV85" s="411" t="str">
        <f>_xlfn.IFNA(VLOOKUP($AH85,Programma!$F$3:$T$1101,15,0),"")</f>
        <v>2j</v>
      </c>
      <c r="AW85" s="411" t="str">
        <f>_xlfn.IFNA(VLOOKUP($AH85,Programma!$F$3:$U$1101,16,0),"")</f>
        <v>1j</v>
      </c>
      <c r="AX85" s="411" t="str">
        <f>_xlfn.IFNA(VLOOKUP($AH85,Programma!$F$3:$V$1101,17,0),"")</f>
        <v>_</v>
      </c>
      <c r="AY85" s="411" t="str">
        <f>_xlfn.IFNA(VLOOKUP($AH85,Programma!$F$3:$W$1101,18,0),"")</f>
        <v>_</v>
      </c>
      <c r="AZ85" s="411" t="str">
        <f>_xlfn.IFNA(VLOOKUP($AH85,Programma!$F$3:$X$1101,19,0),"")</f>
        <v>_</v>
      </c>
      <c r="BA85" s="411" t="str">
        <f>_xlfn.IFNA(VLOOKUP($AH85,Programma!$F$3:$Y$1101,20,0),"")</f>
        <v>_</v>
      </c>
      <c r="BB85" s="412"/>
      <c r="BC85" s="410" t="str">
        <f>IF(Ruimtestaat[[#This Row],[Frequentie weekend]]="","",_xlfn.CONCAT(Ruimtestaat[[#This Row],[Ruimte code]],"-",Ruimtestaat[[#This Row],[Frequentie weekend]]," ",Ruimtestaat[[#This Row],[Vloer code]]))</f>
        <v/>
      </c>
      <c r="BD85" s="411" t="str">
        <f>_xlfn.IFNA(VLOOKUP($BC85,Programma!$F$3:$G$1101,2,0),"")</f>
        <v/>
      </c>
      <c r="BE85" s="411" t="str">
        <f>_xlfn.IFNA(VLOOKUP($BC85,Programma!$F$3:$H$1101,3,0),"")</f>
        <v/>
      </c>
      <c r="BF85" s="411" t="str">
        <f>_xlfn.IFNA(VLOOKUP($BC85,Programma!$F$3:$I$1101,4,0),"")</f>
        <v/>
      </c>
      <c r="BG85" s="411" t="str">
        <f>_xlfn.IFNA(VLOOKUP($BC85,Programma!$F$3:$J$1101,5,0),"")</f>
        <v/>
      </c>
      <c r="BH85" s="411" t="str">
        <f>_xlfn.IFNA(VLOOKUP($BC85,Programma!$F$3:$K$1101,6,0),"")</f>
        <v/>
      </c>
      <c r="BI85" s="411" t="str">
        <f>_xlfn.IFNA(VLOOKUP($BC85,Programma!$F$3:$L$1101,7,0),"")</f>
        <v/>
      </c>
      <c r="BJ85" s="411" t="str">
        <f>_xlfn.IFNA(VLOOKUP($BC85,Programma!$F$3:$M$1101,8,0),"")</f>
        <v/>
      </c>
      <c r="BK85" s="411" t="str">
        <f>_xlfn.IFNA(VLOOKUP($BC85,Programma!$F$3:$N$1101,9,0),"")</f>
        <v/>
      </c>
      <c r="BL85" s="411" t="str">
        <f>_xlfn.IFNA(VLOOKUP($BC85,Programma!$F$3:$O$1101,10,0),"")</f>
        <v/>
      </c>
      <c r="BM85" s="411" t="str">
        <f>_xlfn.IFNA(VLOOKUP($BC85,Programma!$F$3:$P$1101,11,0),"")</f>
        <v/>
      </c>
      <c r="BN85" s="411" t="str">
        <f>_xlfn.IFNA(VLOOKUP($BC85,Programma!$F$3:$Q$1101,12,0),"")</f>
        <v/>
      </c>
      <c r="BO85" s="411" t="str">
        <f>_xlfn.IFNA(VLOOKUP($BC85,Programma!$F$3:$R$1101,13,0),"")</f>
        <v/>
      </c>
      <c r="BP85" s="411" t="str">
        <f>_xlfn.IFNA(VLOOKUP($BC85,Programma!$F$3:$S$1101,14,0),"")</f>
        <v/>
      </c>
      <c r="BQ85" s="411" t="str">
        <f>_xlfn.IFNA(VLOOKUP($BC85,Programma!$F$3:$T$1101,15,0),"")</f>
        <v/>
      </c>
      <c r="BR85" s="411" t="str">
        <f>_xlfn.IFNA(VLOOKUP($BC85,Programma!$F$3:$U$1101,16,0),"")</f>
        <v/>
      </c>
      <c r="BS85" s="411" t="str">
        <f>_xlfn.IFNA(VLOOKUP($BC85,Programma!$F$3:$V$1101,17,0),"")</f>
        <v/>
      </c>
      <c r="BT85" s="411" t="str">
        <f>_xlfn.IFNA(VLOOKUP($BC85,Programma!$F$3:$W$1101,18,0),"")</f>
        <v/>
      </c>
      <c r="BU85" s="411" t="str">
        <f>_xlfn.IFNA(VLOOKUP($BC85,Programma!$F$3:$X$1101,19,0),"")</f>
        <v/>
      </c>
      <c r="BV85" s="411" t="str">
        <f>_xlfn.IFNA(VLOOKUP($BC85,Programma!$F$3:$Y$1101,20,0),"")</f>
        <v/>
      </c>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c r="HG85" s="28"/>
      <c r="HH85" s="28"/>
      <c r="HI85" s="28"/>
      <c r="HJ85" s="28"/>
      <c r="HK85" s="28"/>
    </row>
    <row r="86" spans="1:219" ht="15" customHeight="1">
      <c r="A86" s="336">
        <v>2</v>
      </c>
      <c r="B86" s="400" t="str">
        <f>VLOOKUP(Ruimtestaat[[#This Row],[Code]],Locaties[[Code]:[Locatie]],2,FALSE)</f>
        <v>Kleine Houtweg</v>
      </c>
      <c r="C86" s="400" t="str">
        <f>VLOOKUP(Ruimtestaat[[#This Row],[Code]],Locaties[[#All],[Code]:[Adres]],4,FALSE)</f>
        <v>Kleine Houtweg 18</v>
      </c>
      <c r="D86" s="400" t="str">
        <f>VLOOKUP(Ruimtestaat[[#This Row],[Code]],Locaties[[#All],[Code]:[Postcode]],5,FALSE)</f>
        <v>2012 CH</v>
      </c>
      <c r="E86" s="400" t="str">
        <f>VLOOKUP(Ruimtestaat[[#This Row],[Code]],Locaties[#All],6,FALSE)</f>
        <v>Haarlem</v>
      </c>
      <c r="F86" s="399"/>
      <c r="G86" s="399" t="s">
        <v>1639</v>
      </c>
      <c r="H86" s="401">
        <v>11</v>
      </c>
      <c r="I86" s="402" t="s">
        <v>22</v>
      </c>
      <c r="J86" s="399">
        <v>5</v>
      </c>
      <c r="K86" s="414" t="str">
        <f>VLOOKUP(Ruimtestaat[[#This Row],[Ruimte code]],Ruimtegroepen[[#All],[Code]:[Ruimte omschrijving]],2,FALSE)</f>
        <v>Sanitair</v>
      </c>
      <c r="L86" s="399" t="s">
        <v>101</v>
      </c>
      <c r="M86" s="402" t="s">
        <v>1661</v>
      </c>
      <c r="N86" s="404">
        <v>6.1</v>
      </c>
      <c r="O86" s="413"/>
      <c r="P86" s="405" t="str">
        <f>VLOOKUP(Ruimtestaat[[#This Row],[Ruimte code]],Ruimtegroepen[],4,FALSE)</f>
        <v>Sa</v>
      </c>
      <c r="Q86" s="399">
        <v>51</v>
      </c>
      <c r="R86" s="399" t="s">
        <v>2</v>
      </c>
      <c r="S86" s="399">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6" s="399">
        <f>IF(S86&gt;0,VLOOKUP($J86,Ruimtegroepen[],3,FALSE)*VLOOKUP($L86,Vloersoorten[],3,FALSE)*VLOOKUP($R86,Frequenties[],3,FALSE)*VLOOKUP($A86,Locaties[],3,FALSE),0)</f>
        <v>0</v>
      </c>
      <c r="U86" s="399">
        <f>Ruimtestaat[[#This Row],[Uitvoeringen werkdagen]]*Ruimtestaat[[#This Row],[Oppervlak (netto)]]</f>
        <v>1555.5</v>
      </c>
      <c r="V86" s="406">
        <f>IF(T86&gt;0,Ruimtestaat[[#This Row],[Prest. (m2 /jaar) werkdagen]]/Ruimtestaat[[#This Row],[Norm (m2/uur) werkdagen]],0)</f>
        <v>0</v>
      </c>
      <c r="W86" s="407">
        <f>Ruimtestaat[[#This Row],[uren / jaar werkdagen]]*Tariefsopbouw!$E$35</f>
        <v>0</v>
      </c>
      <c r="X86" s="399"/>
      <c r="Y86" s="399">
        <f>IF(Ruimtestaat[[#This Row],[Frequentie weekend]]&gt;0,VALUE(LEFT(X86,1))*Q86,0)</f>
        <v>0</v>
      </c>
      <c r="Z86" s="408">
        <f>IF($Y86&gt;0,VLOOKUP($J86,Ruimtegroepen[],3,FALSE)*VLOOKUP($L86,Vloersoorten[],3,FALSE)*VLOOKUP($X86,Frequenties[],3,FALSE)*VLOOKUP(Ruimtestaat[[#This Row],[Code]],Locaties[],3,FALSE),0)</f>
        <v>0</v>
      </c>
      <c r="AA86" s="408">
        <f>Ruimtestaat[[#This Row],[Uitvoeringen weekend]]*Ruimtestaat[[#This Row],[Oppervlak (netto)]]</f>
        <v>0</v>
      </c>
      <c r="AB86" s="408">
        <f>IF(Z86&gt;0,Ruimtestaat[[#This Row],[Prest. (m2 /jaar) weekend]]/Ruimtestaat[[#This Row],[Norm (m2/uur) weekend]],0)</f>
        <v>0</v>
      </c>
      <c r="AC86" s="407">
        <f>Ruimtestaat[[#This Row],[uren / jaar weekend]]*Tariefsopbouw!$D$40</f>
        <v>0</v>
      </c>
      <c r="AD86" s="406">
        <f>Ruimtestaat[[#This Row],[Prest. (m2 /jaar) weekend]]+Ruimtestaat[[#This Row],[Prest. (m2 /jaar) werkdagen]]</f>
        <v>1555.5</v>
      </c>
      <c r="AE86" s="406">
        <f>Ruimtestaat[[#This Row],[uren / jaar weekend]]+Ruimtestaat[[#This Row],[uren / jaar werkdagen]]</f>
        <v>0</v>
      </c>
      <c r="AF86" s="409">
        <f>Ruimtestaat[[#This Row],[kosten / jaar weekend]]+Ruimtestaat[[#This Row],[kosten / jaar werkdagen]]</f>
        <v>0</v>
      </c>
      <c r="AG86" s="409"/>
      <c r="AH86" s="410" t="str">
        <f>IF(Ruimtestaat[[#This Row],[Frequentie werkdagen]]="","",_xlfn.CONCAT(Ruimtestaat[[#This Row],[Ruimte code]],"-",Ruimtestaat[[#This Row],[Frequentie werkdagen]]," ",Ruimtestaat[[#This Row],[Vloer code]]))</f>
        <v>5-5w S</v>
      </c>
      <c r="AI86" s="411" t="str">
        <f>_xlfn.IFNA(VLOOKUP($AH86,Programma!$F$3:$G$1101,2,0),"")</f>
        <v>_</v>
      </c>
      <c r="AJ86" s="411" t="str">
        <f>_xlfn.IFNA(VLOOKUP($AH86,Programma!$F$3:$H$1101,3,0),"")</f>
        <v>_</v>
      </c>
      <c r="AK86" s="411" t="str">
        <f>_xlfn.IFNA(VLOOKUP($AH86,Programma!$F$3:$I$1101,4,0),"")</f>
        <v>_</v>
      </c>
      <c r="AL86" s="411" t="str">
        <f>_xlfn.IFNA(VLOOKUP($AH86,Programma!$F$3:$J$1101,5,0),"")</f>
        <v>4w</v>
      </c>
      <c r="AM86" s="411" t="str">
        <f>_xlfn.IFNA(VLOOKUP($AH86,Programma!$F$3:$K$1101,6,0),"")</f>
        <v>1w</v>
      </c>
      <c r="AN86" s="411" t="str">
        <f>_xlfn.IFNA(VLOOKUP($AH86,Programma!$F$3:$L$1101,7,0),"")</f>
        <v>_</v>
      </c>
      <c r="AO86" s="411" t="str">
        <f>_xlfn.IFNA(VLOOKUP($AH86,Programma!$F$3:$M$1101,8,0),"")</f>
        <v>_</v>
      </c>
      <c r="AP86" s="411" t="str">
        <f>_xlfn.IFNA(VLOOKUP($AH86,Programma!$F$3:$N$1101,9,0),"")</f>
        <v>_</v>
      </c>
      <c r="AQ86" s="411" t="str">
        <f>_xlfn.IFNA(VLOOKUP($AH86,Programma!$F$3:$O$1101,10,0),"")</f>
        <v>_</v>
      </c>
      <c r="AR86" s="411" t="str">
        <f>_xlfn.IFNA(VLOOKUP($AH86,Programma!$F$3:$P$1101,11,0),"")</f>
        <v>_</v>
      </c>
      <c r="AS86" s="411" t="str">
        <f>_xlfn.IFNA(VLOOKUP($AH86,Programma!$F$3:$Q$1101,12,0),"")</f>
        <v>_</v>
      </c>
      <c r="AT86" s="411" t="str">
        <f>_xlfn.IFNA(VLOOKUP($AH86,Programma!$F$3:$R$1101,13,0),"")</f>
        <v>_</v>
      </c>
      <c r="AU86" s="411" t="str">
        <f>_xlfn.IFNA(VLOOKUP($AH86,Programma!$F$3:$S$1101,14,0),"")</f>
        <v>_</v>
      </c>
      <c r="AV86" s="411" t="str">
        <f>_xlfn.IFNA(VLOOKUP($AH86,Programma!$F$3:$T$1101,15,0),"")</f>
        <v>_</v>
      </c>
      <c r="AW86" s="411" t="str">
        <f>_xlfn.IFNA(VLOOKUP($AH86,Programma!$F$3:$U$1101,16,0),"")</f>
        <v>_</v>
      </c>
      <c r="AX86" s="411" t="str">
        <f>_xlfn.IFNA(VLOOKUP($AH86,Programma!$F$3:$V$1101,17,0),"")</f>
        <v>_</v>
      </c>
      <c r="AY86" s="411" t="str">
        <f>_xlfn.IFNA(VLOOKUP($AH86,Programma!$F$3:$W$1101,18,0),"")</f>
        <v>4w</v>
      </c>
      <c r="AZ86" s="411" t="str">
        <f>_xlfn.IFNA(VLOOKUP($AH86,Programma!$F$3:$X$1101,19,0),"")</f>
        <v>1w</v>
      </c>
      <c r="BA86" s="411" t="str">
        <f>_xlfn.IFNA(VLOOKUP($AH86,Programma!$F$3:$Y$1101,20,0),"")</f>
        <v>_</v>
      </c>
      <c r="BB86" s="412"/>
      <c r="BC86" s="410" t="str">
        <f>IF(Ruimtestaat[[#This Row],[Frequentie weekend]]="","",_xlfn.CONCAT(Ruimtestaat[[#This Row],[Ruimte code]],"-",Ruimtestaat[[#This Row],[Frequentie weekend]]," ",Ruimtestaat[[#This Row],[Vloer code]]))</f>
        <v/>
      </c>
      <c r="BD86" s="411" t="str">
        <f>_xlfn.IFNA(VLOOKUP($BC86,Programma!$F$3:$G$1101,2,0),"")</f>
        <v/>
      </c>
      <c r="BE86" s="411" t="str">
        <f>_xlfn.IFNA(VLOOKUP($BC86,Programma!$F$3:$H$1101,3,0),"")</f>
        <v/>
      </c>
      <c r="BF86" s="411" t="str">
        <f>_xlfn.IFNA(VLOOKUP($BC86,Programma!$F$3:$I$1101,4,0),"")</f>
        <v/>
      </c>
      <c r="BG86" s="411" t="str">
        <f>_xlfn.IFNA(VLOOKUP($BC86,Programma!$F$3:$J$1101,5,0),"")</f>
        <v/>
      </c>
      <c r="BH86" s="411" t="str">
        <f>_xlfn.IFNA(VLOOKUP($BC86,Programma!$F$3:$K$1101,6,0),"")</f>
        <v/>
      </c>
      <c r="BI86" s="411" t="str">
        <f>_xlfn.IFNA(VLOOKUP($BC86,Programma!$F$3:$L$1101,7,0),"")</f>
        <v/>
      </c>
      <c r="BJ86" s="411" t="str">
        <f>_xlfn.IFNA(VLOOKUP($BC86,Programma!$F$3:$M$1101,8,0),"")</f>
        <v/>
      </c>
      <c r="BK86" s="411" t="str">
        <f>_xlfn.IFNA(VLOOKUP($BC86,Programma!$F$3:$N$1101,9,0),"")</f>
        <v/>
      </c>
      <c r="BL86" s="411" t="str">
        <f>_xlfn.IFNA(VLOOKUP($BC86,Programma!$F$3:$O$1101,10,0),"")</f>
        <v/>
      </c>
      <c r="BM86" s="411" t="str">
        <f>_xlfn.IFNA(VLOOKUP($BC86,Programma!$F$3:$P$1101,11,0),"")</f>
        <v/>
      </c>
      <c r="BN86" s="411" t="str">
        <f>_xlfn.IFNA(VLOOKUP($BC86,Programma!$F$3:$Q$1101,12,0),"")</f>
        <v/>
      </c>
      <c r="BO86" s="411" t="str">
        <f>_xlfn.IFNA(VLOOKUP($BC86,Programma!$F$3:$R$1101,13,0),"")</f>
        <v/>
      </c>
      <c r="BP86" s="411" t="str">
        <f>_xlfn.IFNA(VLOOKUP($BC86,Programma!$F$3:$S$1101,14,0),"")</f>
        <v/>
      </c>
      <c r="BQ86" s="411" t="str">
        <f>_xlfn.IFNA(VLOOKUP($BC86,Programma!$F$3:$T$1101,15,0),"")</f>
        <v/>
      </c>
      <c r="BR86" s="411" t="str">
        <f>_xlfn.IFNA(VLOOKUP($BC86,Programma!$F$3:$U$1101,16,0),"")</f>
        <v/>
      </c>
      <c r="BS86" s="411" t="str">
        <f>_xlfn.IFNA(VLOOKUP($BC86,Programma!$F$3:$V$1101,17,0),"")</f>
        <v/>
      </c>
      <c r="BT86" s="411" t="str">
        <f>_xlfn.IFNA(VLOOKUP($BC86,Programma!$F$3:$W$1101,18,0),"")</f>
        <v/>
      </c>
      <c r="BU86" s="411" t="str">
        <f>_xlfn.IFNA(VLOOKUP($BC86,Programma!$F$3:$X$1101,19,0),"")</f>
        <v/>
      </c>
      <c r="BV86" s="411" t="str">
        <f>_xlfn.IFNA(VLOOKUP($BC86,Programma!$F$3:$Y$1101,20,0),"")</f>
        <v/>
      </c>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8"/>
      <c r="FJ86" s="28"/>
      <c r="FK86" s="28"/>
      <c r="FL86" s="28"/>
      <c r="FM86" s="28"/>
      <c r="FN86" s="28"/>
      <c r="FO86" s="28"/>
      <c r="FP86" s="28"/>
      <c r="FQ86" s="28"/>
      <c r="FR86" s="28"/>
      <c r="FS86" s="28"/>
      <c r="FT86" s="28"/>
      <c r="FU86" s="28"/>
      <c r="FV86" s="28"/>
      <c r="FW86" s="28"/>
      <c r="FX86" s="28"/>
      <c r="FY86" s="28"/>
      <c r="FZ86" s="28"/>
      <c r="GA86" s="28"/>
      <c r="GB86" s="28"/>
      <c r="GC86" s="28"/>
      <c r="GD86" s="28"/>
      <c r="GE86" s="28"/>
      <c r="GF86" s="28"/>
      <c r="GG86" s="28"/>
      <c r="GH86" s="28"/>
      <c r="GI86" s="28"/>
      <c r="GJ86" s="28"/>
      <c r="GK86" s="28"/>
      <c r="GL86" s="28"/>
      <c r="GM86" s="28"/>
      <c r="GN86" s="28"/>
      <c r="GO86" s="28"/>
      <c r="GP86" s="28"/>
      <c r="GQ86" s="28"/>
      <c r="GR86" s="28"/>
      <c r="GS86" s="28"/>
      <c r="GT86" s="28"/>
      <c r="GU86" s="28"/>
      <c r="GV86" s="28"/>
      <c r="GW86" s="28"/>
      <c r="GX86" s="28"/>
      <c r="GY86" s="28"/>
      <c r="GZ86" s="28"/>
      <c r="HA86" s="28"/>
      <c r="HB86" s="28"/>
      <c r="HC86" s="28"/>
      <c r="HD86" s="28"/>
      <c r="HE86" s="28"/>
      <c r="HF86" s="28"/>
      <c r="HG86" s="28"/>
      <c r="HH86" s="28"/>
      <c r="HI86" s="28"/>
      <c r="HJ86" s="28"/>
      <c r="HK86" s="28"/>
    </row>
    <row r="87" spans="1:219" ht="15" customHeight="1">
      <c r="A87" s="336">
        <v>2</v>
      </c>
      <c r="B87" s="400" t="str">
        <f>VLOOKUP(Ruimtestaat[[#This Row],[Code]],Locaties[[Code]:[Locatie]],2,FALSE)</f>
        <v>Kleine Houtweg</v>
      </c>
      <c r="C87" s="400" t="str">
        <f>VLOOKUP(Ruimtestaat[[#This Row],[Code]],Locaties[[#All],[Code]:[Adres]],4,FALSE)</f>
        <v>Kleine Houtweg 18</v>
      </c>
      <c r="D87" s="400" t="str">
        <f>VLOOKUP(Ruimtestaat[[#This Row],[Code]],Locaties[[#All],[Code]:[Postcode]],5,FALSE)</f>
        <v>2012 CH</v>
      </c>
      <c r="E87" s="400" t="str">
        <f>VLOOKUP(Ruimtestaat[[#This Row],[Code]],Locaties[#All],6,FALSE)</f>
        <v>Haarlem</v>
      </c>
      <c r="F87" s="399"/>
      <c r="G87" s="399" t="s">
        <v>1639</v>
      </c>
      <c r="H87" s="401">
        <v>12</v>
      </c>
      <c r="I87" s="402" t="s">
        <v>22</v>
      </c>
      <c r="J87" s="399">
        <v>5</v>
      </c>
      <c r="K87" s="414" t="str">
        <f>VLOOKUP(Ruimtestaat[[#This Row],[Ruimte code]],Ruimtegroepen[[#All],[Code]:[Ruimte omschrijving]],2,FALSE)</f>
        <v>Sanitair</v>
      </c>
      <c r="L87" s="399" t="s">
        <v>101</v>
      </c>
      <c r="M87" s="402" t="s">
        <v>1661</v>
      </c>
      <c r="N87" s="404">
        <v>6.1</v>
      </c>
      <c r="O87" s="399"/>
      <c r="P87" s="405" t="str">
        <f>VLOOKUP(Ruimtestaat[[#This Row],[Ruimte code]],Ruimtegroepen[],4,FALSE)</f>
        <v>Sa</v>
      </c>
      <c r="Q87" s="399">
        <v>51</v>
      </c>
      <c r="R87" s="399" t="s">
        <v>2</v>
      </c>
      <c r="S87" s="399">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7" s="399">
        <f>IF(S87&gt;0,VLOOKUP($J87,Ruimtegroepen[],3,FALSE)*VLOOKUP($L87,Vloersoorten[],3,FALSE)*VLOOKUP($R87,Frequenties[],3,FALSE)*VLOOKUP($A87,Locaties[],3,FALSE),0)</f>
        <v>0</v>
      </c>
      <c r="U87" s="399">
        <f>Ruimtestaat[[#This Row],[Uitvoeringen werkdagen]]*Ruimtestaat[[#This Row],[Oppervlak (netto)]]</f>
        <v>1555.5</v>
      </c>
      <c r="V87" s="406">
        <f>IF(T87&gt;0,Ruimtestaat[[#This Row],[Prest. (m2 /jaar) werkdagen]]/Ruimtestaat[[#This Row],[Norm (m2/uur) werkdagen]],0)</f>
        <v>0</v>
      </c>
      <c r="W87" s="407">
        <f>Ruimtestaat[[#This Row],[uren / jaar werkdagen]]*Tariefsopbouw!$E$35</f>
        <v>0</v>
      </c>
      <c r="X87" s="399"/>
      <c r="Y87" s="399">
        <f>IF(Ruimtestaat[[#This Row],[Frequentie weekend]]&gt;0,VALUE(LEFT(X87,1))*Q87,0)</f>
        <v>0</v>
      </c>
      <c r="Z87" s="408">
        <f>IF($Y87&gt;0,VLOOKUP($J87,Ruimtegroepen[],3,FALSE)*VLOOKUP($L87,Vloersoorten[],3,FALSE)*VLOOKUP($X87,Frequenties[],3,FALSE)*VLOOKUP(Ruimtestaat[[#This Row],[Code]],Locaties[],3,FALSE),0)</f>
        <v>0</v>
      </c>
      <c r="AA87" s="408">
        <f>Ruimtestaat[[#This Row],[Uitvoeringen weekend]]*Ruimtestaat[[#This Row],[Oppervlak (netto)]]</f>
        <v>0</v>
      </c>
      <c r="AB87" s="408">
        <f>IF(Z87&gt;0,Ruimtestaat[[#This Row],[Prest. (m2 /jaar) weekend]]/Ruimtestaat[[#This Row],[Norm (m2/uur) weekend]],0)</f>
        <v>0</v>
      </c>
      <c r="AC87" s="407">
        <f>Ruimtestaat[[#This Row],[uren / jaar weekend]]*Tariefsopbouw!$D$40</f>
        <v>0</v>
      </c>
      <c r="AD87" s="406">
        <f>Ruimtestaat[[#This Row],[Prest. (m2 /jaar) weekend]]+Ruimtestaat[[#This Row],[Prest. (m2 /jaar) werkdagen]]</f>
        <v>1555.5</v>
      </c>
      <c r="AE87" s="406">
        <f>Ruimtestaat[[#This Row],[uren / jaar weekend]]+Ruimtestaat[[#This Row],[uren / jaar werkdagen]]</f>
        <v>0</v>
      </c>
      <c r="AF87" s="409">
        <f>Ruimtestaat[[#This Row],[kosten / jaar weekend]]+Ruimtestaat[[#This Row],[kosten / jaar werkdagen]]</f>
        <v>0</v>
      </c>
      <c r="AG87" s="409"/>
      <c r="AH87" s="410" t="str">
        <f>IF(Ruimtestaat[[#This Row],[Frequentie werkdagen]]="","",_xlfn.CONCAT(Ruimtestaat[[#This Row],[Ruimte code]],"-",Ruimtestaat[[#This Row],[Frequentie werkdagen]]," ",Ruimtestaat[[#This Row],[Vloer code]]))</f>
        <v>5-5w S</v>
      </c>
      <c r="AI87" s="411" t="str">
        <f>_xlfn.IFNA(VLOOKUP($AH87,Programma!$F$3:$G$1101,2,0),"")</f>
        <v>_</v>
      </c>
      <c r="AJ87" s="411" t="str">
        <f>_xlfn.IFNA(VLOOKUP($AH87,Programma!$F$3:$H$1101,3,0),"")</f>
        <v>_</v>
      </c>
      <c r="AK87" s="411" t="str">
        <f>_xlfn.IFNA(VLOOKUP($AH87,Programma!$F$3:$I$1101,4,0),"")</f>
        <v>_</v>
      </c>
      <c r="AL87" s="411" t="str">
        <f>_xlfn.IFNA(VLOOKUP($AH87,Programma!$F$3:$J$1101,5,0),"")</f>
        <v>4w</v>
      </c>
      <c r="AM87" s="411" t="str">
        <f>_xlfn.IFNA(VLOOKUP($AH87,Programma!$F$3:$K$1101,6,0),"")</f>
        <v>1w</v>
      </c>
      <c r="AN87" s="411" t="str">
        <f>_xlfn.IFNA(VLOOKUP($AH87,Programma!$F$3:$L$1101,7,0),"")</f>
        <v>_</v>
      </c>
      <c r="AO87" s="411" t="str">
        <f>_xlfn.IFNA(VLOOKUP($AH87,Programma!$F$3:$M$1101,8,0),"")</f>
        <v>_</v>
      </c>
      <c r="AP87" s="411" t="str">
        <f>_xlfn.IFNA(VLOOKUP($AH87,Programma!$F$3:$N$1101,9,0),"")</f>
        <v>_</v>
      </c>
      <c r="AQ87" s="411" t="str">
        <f>_xlfn.IFNA(VLOOKUP($AH87,Programma!$F$3:$O$1101,10,0),"")</f>
        <v>_</v>
      </c>
      <c r="AR87" s="411" t="str">
        <f>_xlfn.IFNA(VLOOKUP($AH87,Programma!$F$3:$P$1101,11,0),"")</f>
        <v>_</v>
      </c>
      <c r="AS87" s="411" t="str">
        <f>_xlfn.IFNA(VLOOKUP($AH87,Programma!$F$3:$Q$1101,12,0),"")</f>
        <v>_</v>
      </c>
      <c r="AT87" s="411" t="str">
        <f>_xlfn.IFNA(VLOOKUP($AH87,Programma!$F$3:$R$1101,13,0),"")</f>
        <v>_</v>
      </c>
      <c r="AU87" s="411" t="str">
        <f>_xlfn.IFNA(VLOOKUP($AH87,Programma!$F$3:$S$1101,14,0),"")</f>
        <v>_</v>
      </c>
      <c r="AV87" s="411" t="str">
        <f>_xlfn.IFNA(VLOOKUP($AH87,Programma!$F$3:$T$1101,15,0),"")</f>
        <v>_</v>
      </c>
      <c r="AW87" s="411" t="str">
        <f>_xlfn.IFNA(VLOOKUP($AH87,Programma!$F$3:$U$1101,16,0),"")</f>
        <v>_</v>
      </c>
      <c r="AX87" s="411" t="str">
        <f>_xlfn.IFNA(VLOOKUP($AH87,Programma!$F$3:$V$1101,17,0),"")</f>
        <v>_</v>
      </c>
      <c r="AY87" s="411" t="str">
        <f>_xlfn.IFNA(VLOOKUP($AH87,Programma!$F$3:$W$1101,18,0),"")</f>
        <v>4w</v>
      </c>
      <c r="AZ87" s="411" t="str">
        <f>_xlfn.IFNA(VLOOKUP($AH87,Programma!$F$3:$X$1101,19,0),"")</f>
        <v>1w</v>
      </c>
      <c r="BA87" s="411" t="str">
        <f>_xlfn.IFNA(VLOOKUP($AH87,Programma!$F$3:$Y$1101,20,0),"")</f>
        <v>_</v>
      </c>
      <c r="BB87" s="412"/>
      <c r="BC87" s="410" t="str">
        <f>IF(Ruimtestaat[[#This Row],[Frequentie weekend]]="","",_xlfn.CONCAT(Ruimtestaat[[#This Row],[Ruimte code]],"-",Ruimtestaat[[#This Row],[Frequentie weekend]]," ",Ruimtestaat[[#This Row],[Vloer code]]))</f>
        <v/>
      </c>
      <c r="BD87" s="411" t="str">
        <f>_xlfn.IFNA(VLOOKUP($BC87,Programma!$F$3:$G$1101,2,0),"")</f>
        <v/>
      </c>
      <c r="BE87" s="411" t="str">
        <f>_xlfn.IFNA(VLOOKUP($BC87,Programma!$F$3:$H$1101,3,0),"")</f>
        <v/>
      </c>
      <c r="BF87" s="411" t="str">
        <f>_xlfn.IFNA(VLOOKUP($BC87,Programma!$F$3:$I$1101,4,0),"")</f>
        <v/>
      </c>
      <c r="BG87" s="411" t="str">
        <f>_xlfn.IFNA(VLOOKUP($BC87,Programma!$F$3:$J$1101,5,0),"")</f>
        <v/>
      </c>
      <c r="BH87" s="411" t="str">
        <f>_xlfn.IFNA(VLOOKUP($BC87,Programma!$F$3:$K$1101,6,0),"")</f>
        <v/>
      </c>
      <c r="BI87" s="411" t="str">
        <f>_xlfn.IFNA(VLOOKUP($BC87,Programma!$F$3:$L$1101,7,0),"")</f>
        <v/>
      </c>
      <c r="BJ87" s="411" t="str">
        <f>_xlfn.IFNA(VLOOKUP($BC87,Programma!$F$3:$M$1101,8,0),"")</f>
        <v/>
      </c>
      <c r="BK87" s="411" t="str">
        <f>_xlfn.IFNA(VLOOKUP($BC87,Programma!$F$3:$N$1101,9,0),"")</f>
        <v/>
      </c>
      <c r="BL87" s="411" t="str">
        <f>_xlfn.IFNA(VLOOKUP($BC87,Programma!$F$3:$O$1101,10,0),"")</f>
        <v/>
      </c>
      <c r="BM87" s="411" t="str">
        <f>_xlfn.IFNA(VLOOKUP($BC87,Programma!$F$3:$P$1101,11,0),"")</f>
        <v/>
      </c>
      <c r="BN87" s="411" t="str">
        <f>_xlfn.IFNA(VLOOKUP($BC87,Programma!$F$3:$Q$1101,12,0),"")</f>
        <v/>
      </c>
      <c r="BO87" s="411" t="str">
        <f>_xlfn.IFNA(VLOOKUP($BC87,Programma!$F$3:$R$1101,13,0),"")</f>
        <v/>
      </c>
      <c r="BP87" s="411" t="str">
        <f>_xlfn.IFNA(VLOOKUP($BC87,Programma!$F$3:$S$1101,14,0),"")</f>
        <v/>
      </c>
      <c r="BQ87" s="411" t="str">
        <f>_xlfn.IFNA(VLOOKUP($BC87,Programma!$F$3:$T$1101,15,0),"")</f>
        <v/>
      </c>
      <c r="BR87" s="411" t="str">
        <f>_xlfn.IFNA(VLOOKUP($BC87,Programma!$F$3:$U$1101,16,0),"")</f>
        <v/>
      </c>
      <c r="BS87" s="411" t="str">
        <f>_xlfn.IFNA(VLOOKUP($BC87,Programma!$F$3:$V$1101,17,0),"")</f>
        <v/>
      </c>
      <c r="BT87" s="411" t="str">
        <f>_xlfn.IFNA(VLOOKUP($BC87,Programma!$F$3:$W$1101,18,0),"")</f>
        <v/>
      </c>
      <c r="BU87" s="411" t="str">
        <f>_xlfn.IFNA(VLOOKUP($BC87,Programma!$F$3:$X$1101,19,0),"")</f>
        <v/>
      </c>
      <c r="BV87" s="411" t="str">
        <f>_xlfn.IFNA(VLOOKUP($BC87,Programma!$F$3:$Y$1101,20,0),"")</f>
        <v/>
      </c>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row>
    <row r="88" spans="1:219" ht="15" customHeight="1">
      <c r="A88" s="336">
        <v>2</v>
      </c>
      <c r="B88" s="400" t="str">
        <f>VLOOKUP(Ruimtestaat[[#This Row],[Code]],Locaties[[Code]:[Locatie]],2,FALSE)</f>
        <v>Kleine Houtweg</v>
      </c>
      <c r="C88" s="400" t="str">
        <f>VLOOKUP(Ruimtestaat[[#This Row],[Code]],Locaties[[#All],[Code]:[Adres]],4,FALSE)</f>
        <v>Kleine Houtweg 18</v>
      </c>
      <c r="D88" s="400" t="str">
        <f>VLOOKUP(Ruimtestaat[[#This Row],[Code]],Locaties[[#All],[Code]:[Postcode]],5,FALSE)</f>
        <v>2012 CH</v>
      </c>
      <c r="E88" s="400" t="str">
        <f>VLOOKUP(Ruimtestaat[[#This Row],[Code]],Locaties[#All],6,FALSE)</f>
        <v>Haarlem</v>
      </c>
      <c r="F88" s="399"/>
      <c r="G88" s="399" t="s">
        <v>1639</v>
      </c>
      <c r="H88" s="401">
        <v>13</v>
      </c>
      <c r="I88" s="402" t="s">
        <v>1637</v>
      </c>
      <c r="J88" s="336">
        <v>5</v>
      </c>
      <c r="K88" s="414" t="str">
        <f>VLOOKUP(Ruimtestaat[[#This Row],[Ruimte code]],Ruimtegroepen[[#All],[Code]:[Ruimte omschrijving]],2,FALSE)</f>
        <v>Sanitair</v>
      </c>
      <c r="L88" s="399" t="s">
        <v>101</v>
      </c>
      <c r="M88" s="402" t="s">
        <v>1661</v>
      </c>
      <c r="N88" s="404">
        <v>3.4</v>
      </c>
      <c r="O88" s="413"/>
      <c r="P88" s="405" t="str">
        <f>VLOOKUP(Ruimtestaat[[#This Row],[Ruimte code]],Ruimtegroepen[],4,FALSE)</f>
        <v>Sa</v>
      </c>
      <c r="Q88" s="399">
        <v>51</v>
      </c>
      <c r="R88" s="399" t="s">
        <v>2</v>
      </c>
      <c r="S88" s="399">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8" s="399">
        <f>IF(S88&gt;0,VLOOKUP($J88,Ruimtegroepen[],3,FALSE)*VLOOKUP($L88,Vloersoorten[],3,FALSE)*VLOOKUP($R88,Frequenties[],3,FALSE)*VLOOKUP($A88,Locaties[],3,FALSE),0)</f>
        <v>0</v>
      </c>
      <c r="U88" s="399">
        <f>Ruimtestaat[[#This Row],[Uitvoeringen werkdagen]]*Ruimtestaat[[#This Row],[Oppervlak (netto)]]</f>
        <v>867</v>
      </c>
      <c r="V88" s="406">
        <f>IF(T88&gt;0,Ruimtestaat[[#This Row],[Prest. (m2 /jaar) werkdagen]]/Ruimtestaat[[#This Row],[Norm (m2/uur) werkdagen]],0)</f>
        <v>0</v>
      </c>
      <c r="W88" s="407">
        <f>Ruimtestaat[[#This Row],[uren / jaar werkdagen]]*Tariefsopbouw!$E$35</f>
        <v>0</v>
      </c>
      <c r="X88" s="399"/>
      <c r="Y88" s="399">
        <f>IF(Ruimtestaat[[#This Row],[Frequentie weekend]]&gt;0,VALUE(LEFT(X88,1))*Q88,0)</f>
        <v>0</v>
      </c>
      <c r="Z88" s="408">
        <f>IF($Y88&gt;0,VLOOKUP($J88,Ruimtegroepen[],3,FALSE)*VLOOKUP($L88,Vloersoorten[],3,FALSE)*VLOOKUP($X88,Frequenties[],3,FALSE)*VLOOKUP(Ruimtestaat[[#This Row],[Code]],Locaties[],3,FALSE),0)</f>
        <v>0</v>
      </c>
      <c r="AA88" s="408">
        <f>Ruimtestaat[[#This Row],[Uitvoeringen weekend]]*Ruimtestaat[[#This Row],[Oppervlak (netto)]]</f>
        <v>0</v>
      </c>
      <c r="AB88" s="408">
        <f>IF(Z88&gt;0,Ruimtestaat[[#This Row],[Prest. (m2 /jaar) weekend]]/Ruimtestaat[[#This Row],[Norm (m2/uur) weekend]],0)</f>
        <v>0</v>
      </c>
      <c r="AC88" s="407">
        <f>Ruimtestaat[[#This Row],[uren / jaar weekend]]*Tariefsopbouw!$D$40</f>
        <v>0</v>
      </c>
      <c r="AD88" s="406">
        <f>Ruimtestaat[[#This Row],[Prest. (m2 /jaar) weekend]]+Ruimtestaat[[#This Row],[Prest. (m2 /jaar) werkdagen]]</f>
        <v>867</v>
      </c>
      <c r="AE88" s="406">
        <f>Ruimtestaat[[#This Row],[uren / jaar weekend]]+Ruimtestaat[[#This Row],[uren / jaar werkdagen]]</f>
        <v>0</v>
      </c>
      <c r="AF88" s="409">
        <f>Ruimtestaat[[#This Row],[kosten / jaar weekend]]+Ruimtestaat[[#This Row],[kosten / jaar werkdagen]]</f>
        <v>0</v>
      </c>
      <c r="AG88" s="409"/>
      <c r="AH88" s="410" t="str">
        <f>IF(Ruimtestaat[[#This Row],[Frequentie werkdagen]]="","",_xlfn.CONCAT(Ruimtestaat[[#This Row],[Ruimte code]],"-",Ruimtestaat[[#This Row],[Frequentie werkdagen]]," ",Ruimtestaat[[#This Row],[Vloer code]]))</f>
        <v>5-5w S</v>
      </c>
      <c r="AI88" s="411" t="str">
        <f>_xlfn.IFNA(VLOOKUP($AH88,Programma!$F$3:$G$1101,2,0),"")</f>
        <v>_</v>
      </c>
      <c r="AJ88" s="411" t="str">
        <f>_xlfn.IFNA(VLOOKUP($AH88,Programma!$F$3:$H$1101,3,0),"")</f>
        <v>_</v>
      </c>
      <c r="AK88" s="411" t="str">
        <f>_xlfn.IFNA(VLOOKUP($AH88,Programma!$F$3:$I$1101,4,0),"")</f>
        <v>_</v>
      </c>
      <c r="AL88" s="411" t="str">
        <f>_xlfn.IFNA(VLOOKUP($AH88,Programma!$F$3:$J$1101,5,0),"")</f>
        <v>4w</v>
      </c>
      <c r="AM88" s="411" t="str">
        <f>_xlfn.IFNA(VLOOKUP($AH88,Programma!$F$3:$K$1101,6,0),"")</f>
        <v>1w</v>
      </c>
      <c r="AN88" s="411" t="str">
        <f>_xlfn.IFNA(VLOOKUP($AH88,Programma!$F$3:$L$1101,7,0),"")</f>
        <v>_</v>
      </c>
      <c r="AO88" s="411" t="str">
        <f>_xlfn.IFNA(VLOOKUP($AH88,Programma!$F$3:$M$1101,8,0),"")</f>
        <v>_</v>
      </c>
      <c r="AP88" s="411" t="str">
        <f>_xlfn.IFNA(VLOOKUP($AH88,Programma!$F$3:$N$1101,9,0),"")</f>
        <v>_</v>
      </c>
      <c r="AQ88" s="411" t="str">
        <f>_xlfn.IFNA(VLOOKUP($AH88,Programma!$F$3:$O$1101,10,0),"")</f>
        <v>_</v>
      </c>
      <c r="AR88" s="411" t="str">
        <f>_xlfn.IFNA(VLOOKUP($AH88,Programma!$F$3:$P$1101,11,0),"")</f>
        <v>_</v>
      </c>
      <c r="AS88" s="411" t="str">
        <f>_xlfn.IFNA(VLOOKUP($AH88,Programma!$F$3:$Q$1101,12,0),"")</f>
        <v>_</v>
      </c>
      <c r="AT88" s="411" t="str">
        <f>_xlfn.IFNA(VLOOKUP($AH88,Programma!$F$3:$R$1101,13,0),"")</f>
        <v>_</v>
      </c>
      <c r="AU88" s="411" t="str">
        <f>_xlfn.IFNA(VLOOKUP($AH88,Programma!$F$3:$S$1101,14,0),"")</f>
        <v>_</v>
      </c>
      <c r="AV88" s="411" t="str">
        <f>_xlfn.IFNA(VLOOKUP($AH88,Programma!$F$3:$T$1101,15,0),"")</f>
        <v>_</v>
      </c>
      <c r="AW88" s="411" t="str">
        <f>_xlfn.IFNA(VLOOKUP($AH88,Programma!$F$3:$U$1101,16,0),"")</f>
        <v>_</v>
      </c>
      <c r="AX88" s="411" t="str">
        <f>_xlfn.IFNA(VLOOKUP($AH88,Programma!$F$3:$V$1101,17,0),"")</f>
        <v>_</v>
      </c>
      <c r="AY88" s="411" t="str">
        <f>_xlfn.IFNA(VLOOKUP($AH88,Programma!$F$3:$W$1101,18,0),"")</f>
        <v>4w</v>
      </c>
      <c r="AZ88" s="411" t="str">
        <f>_xlfn.IFNA(VLOOKUP($AH88,Programma!$F$3:$X$1101,19,0),"")</f>
        <v>1w</v>
      </c>
      <c r="BA88" s="411" t="str">
        <f>_xlfn.IFNA(VLOOKUP($AH88,Programma!$F$3:$Y$1101,20,0),"")</f>
        <v>_</v>
      </c>
      <c r="BB88" s="412"/>
      <c r="BC88" s="410" t="str">
        <f>IF(Ruimtestaat[[#This Row],[Frequentie weekend]]="","",_xlfn.CONCAT(Ruimtestaat[[#This Row],[Ruimte code]],"-",Ruimtestaat[[#This Row],[Frequentie weekend]]," ",Ruimtestaat[[#This Row],[Vloer code]]))</f>
        <v/>
      </c>
      <c r="BD88" s="411" t="str">
        <f>_xlfn.IFNA(VLOOKUP($BC88,Programma!$F$3:$G$1101,2,0),"")</f>
        <v/>
      </c>
      <c r="BE88" s="411" t="str">
        <f>_xlfn.IFNA(VLOOKUP($BC88,Programma!$F$3:$H$1101,3,0),"")</f>
        <v/>
      </c>
      <c r="BF88" s="411" t="str">
        <f>_xlfn.IFNA(VLOOKUP($BC88,Programma!$F$3:$I$1101,4,0),"")</f>
        <v/>
      </c>
      <c r="BG88" s="411" t="str">
        <f>_xlfn.IFNA(VLOOKUP($BC88,Programma!$F$3:$J$1101,5,0),"")</f>
        <v/>
      </c>
      <c r="BH88" s="411" t="str">
        <f>_xlfn.IFNA(VLOOKUP($BC88,Programma!$F$3:$K$1101,6,0),"")</f>
        <v/>
      </c>
      <c r="BI88" s="411" t="str">
        <f>_xlfn.IFNA(VLOOKUP($BC88,Programma!$F$3:$L$1101,7,0),"")</f>
        <v/>
      </c>
      <c r="BJ88" s="411" t="str">
        <f>_xlfn.IFNA(VLOOKUP($BC88,Programma!$F$3:$M$1101,8,0),"")</f>
        <v/>
      </c>
      <c r="BK88" s="411" t="str">
        <f>_xlfn.IFNA(VLOOKUP($BC88,Programma!$F$3:$N$1101,9,0),"")</f>
        <v/>
      </c>
      <c r="BL88" s="411" t="str">
        <f>_xlfn.IFNA(VLOOKUP($BC88,Programma!$F$3:$O$1101,10,0),"")</f>
        <v/>
      </c>
      <c r="BM88" s="411" t="str">
        <f>_xlfn.IFNA(VLOOKUP($BC88,Programma!$F$3:$P$1101,11,0),"")</f>
        <v/>
      </c>
      <c r="BN88" s="411" t="str">
        <f>_xlfn.IFNA(VLOOKUP($BC88,Programma!$F$3:$Q$1101,12,0),"")</f>
        <v/>
      </c>
      <c r="BO88" s="411" t="str">
        <f>_xlfn.IFNA(VLOOKUP($BC88,Programma!$F$3:$R$1101,13,0),"")</f>
        <v/>
      </c>
      <c r="BP88" s="411" t="str">
        <f>_xlfn.IFNA(VLOOKUP($BC88,Programma!$F$3:$S$1101,14,0),"")</f>
        <v/>
      </c>
      <c r="BQ88" s="411" t="str">
        <f>_xlfn.IFNA(VLOOKUP($BC88,Programma!$F$3:$T$1101,15,0),"")</f>
        <v/>
      </c>
      <c r="BR88" s="411" t="str">
        <f>_xlfn.IFNA(VLOOKUP($BC88,Programma!$F$3:$U$1101,16,0),"")</f>
        <v/>
      </c>
      <c r="BS88" s="411" t="str">
        <f>_xlfn.IFNA(VLOOKUP($BC88,Programma!$F$3:$V$1101,17,0),"")</f>
        <v/>
      </c>
      <c r="BT88" s="411" t="str">
        <f>_xlfn.IFNA(VLOOKUP($BC88,Programma!$F$3:$W$1101,18,0),"")</f>
        <v/>
      </c>
      <c r="BU88" s="411" t="str">
        <f>_xlfn.IFNA(VLOOKUP($BC88,Programma!$F$3:$X$1101,19,0),"")</f>
        <v/>
      </c>
      <c r="BV88" s="411" t="str">
        <f>_xlfn.IFNA(VLOOKUP($BC88,Programma!$F$3:$Y$1101,20,0),"")</f>
        <v/>
      </c>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c r="EO88" s="28"/>
      <c r="EP88" s="28"/>
      <c r="EQ88" s="28"/>
      <c r="ER88" s="28"/>
      <c r="ES88" s="28"/>
      <c r="ET88" s="28"/>
      <c r="EU88" s="28"/>
      <c r="EV88" s="28"/>
      <c r="EW88" s="28"/>
      <c r="EX88" s="28"/>
      <c r="EY88" s="28"/>
      <c r="EZ88" s="28"/>
      <c r="FA88" s="28"/>
      <c r="FB88" s="28"/>
      <c r="FC88" s="28"/>
      <c r="FD88" s="28"/>
      <c r="FE88" s="28"/>
      <c r="FF88" s="28"/>
      <c r="FG88" s="28"/>
      <c r="FH88" s="28"/>
      <c r="FI88" s="28"/>
      <c r="FJ88" s="28"/>
      <c r="FK88" s="28"/>
      <c r="FL88" s="28"/>
      <c r="FM88" s="28"/>
      <c r="FN88" s="28"/>
      <c r="FO88" s="28"/>
      <c r="FP88" s="28"/>
      <c r="FQ88" s="28"/>
      <c r="FR88" s="28"/>
      <c r="FS88" s="28"/>
      <c r="FT88" s="28"/>
      <c r="FU88" s="28"/>
      <c r="FV88" s="28"/>
      <c r="FW88" s="28"/>
      <c r="FX88" s="28"/>
      <c r="FY88" s="28"/>
      <c r="FZ88" s="28"/>
      <c r="GA88" s="28"/>
      <c r="GB88" s="28"/>
      <c r="GC88" s="28"/>
      <c r="GD88" s="28"/>
      <c r="GE88" s="28"/>
      <c r="GF88" s="28"/>
      <c r="GG88" s="28"/>
      <c r="GH88" s="28"/>
      <c r="GI88" s="28"/>
      <c r="GJ88" s="28"/>
      <c r="GK88" s="28"/>
      <c r="GL88" s="28"/>
      <c r="GM88" s="28"/>
      <c r="GN88" s="28"/>
      <c r="GO88" s="28"/>
      <c r="GP88" s="28"/>
      <c r="GQ88" s="28"/>
      <c r="GR88" s="28"/>
      <c r="GS88" s="28"/>
      <c r="GT88" s="28"/>
      <c r="GU88" s="28"/>
      <c r="GV88" s="28"/>
      <c r="GW88" s="28"/>
      <c r="GX88" s="28"/>
      <c r="GY88" s="28"/>
      <c r="GZ88" s="28"/>
      <c r="HA88" s="28"/>
      <c r="HB88" s="28"/>
      <c r="HC88" s="28"/>
      <c r="HD88" s="28"/>
      <c r="HE88" s="28"/>
      <c r="HF88" s="28"/>
      <c r="HG88" s="28"/>
      <c r="HH88" s="28"/>
      <c r="HI88" s="28"/>
      <c r="HJ88" s="28"/>
      <c r="HK88" s="28"/>
    </row>
    <row r="89" spans="1:219" ht="15" customHeight="1">
      <c r="A89" s="336">
        <v>2</v>
      </c>
      <c r="B89" s="400" t="str">
        <f>VLOOKUP(Ruimtestaat[[#This Row],[Code]],Locaties[[Code]:[Locatie]],2,FALSE)</f>
        <v>Kleine Houtweg</v>
      </c>
      <c r="C89" s="400" t="str">
        <f>VLOOKUP(Ruimtestaat[[#This Row],[Code]],Locaties[[#All],[Code]:[Adres]],4,FALSE)</f>
        <v>Kleine Houtweg 18</v>
      </c>
      <c r="D89" s="400" t="str">
        <f>VLOOKUP(Ruimtestaat[[#This Row],[Code]],Locaties[[#All],[Code]:[Postcode]],5,FALSE)</f>
        <v>2012 CH</v>
      </c>
      <c r="E89" s="400" t="str">
        <f>VLOOKUP(Ruimtestaat[[#This Row],[Code]],Locaties[#All],6,FALSE)</f>
        <v>Haarlem</v>
      </c>
      <c r="F89" s="399"/>
      <c r="G89" s="399" t="s">
        <v>1639</v>
      </c>
      <c r="H89" s="401">
        <v>14</v>
      </c>
      <c r="I89" s="402" t="s">
        <v>1631</v>
      </c>
      <c r="J89" s="336">
        <v>6</v>
      </c>
      <c r="K89" s="414" t="str">
        <f>VLOOKUP(Ruimtestaat[[#This Row],[Ruimte code]],Ruimtegroepen[[#All],[Code]:[Ruimte omschrijving]],2,FALSE)</f>
        <v>Gangen/hallen</v>
      </c>
      <c r="L89" s="399" t="s">
        <v>101</v>
      </c>
      <c r="M89" s="402" t="s">
        <v>1661</v>
      </c>
      <c r="N89" s="404">
        <v>10.5</v>
      </c>
      <c r="O89" s="413"/>
      <c r="P89" s="405" t="str">
        <f>VLOOKUP(Ruimtestaat[[#This Row],[Ruimte code]],Ruimtegroepen[],4,FALSE)</f>
        <v>Ve</v>
      </c>
      <c r="Q89" s="399">
        <v>51</v>
      </c>
      <c r="R89" s="399" t="s">
        <v>2</v>
      </c>
      <c r="S89" s="399">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9" s="399">
        <f>IF(S89&gt;0,VLOOKUP($J89,Ruimtegroepen[],3,FALSE)*VLOOKUP($L89,Vloersoorten[],3,FALSE)*VLOOKUP($R89,Frequenties[],3,FALSE)*VLOOKUP($A89,Locaties[],3,FALSE),0)</f>
        <v>0</v>
      </c>
      <c r="U89" s="399">
        <f>Ruimtestaat[[#This Row],[Uitvoeringen werkdagen]]*Ruimtestaat[[#This Row],[Oppervlak (netto)]]</f>
        <v>2677.5</v>
      </c>
      <c r="V89" s="406">
        <f>IF(T89&gt;0,Ruimtestaat[[#This Row],[Prest. (m2 /jaar) werkdagen]]/Ruimtestaat[[#This Row],[Norm (m2/uur) werkdagen]],0)</f>
        <v>0</v>
      </c>
      <c r="W89" s="407">
        <f>Ruimtestaat[[#This Row],[uren / jaar werkdagen]]*Tariefsopbouw!$E$35</f>
        <v>0</v>
      </c>
      <c r="X89" s="399"/>
      <c r="Y89" s="399">
        <f>IF(Ruimtestaat[[#This Row],[Frequentie weekend]]&gt;0,VALUE(LEFT(X89,1))*Q89,0)</f>
        <v>0</v>
      </c>
      <c r="Z89" s="408">
        <f>IF($Y89&gt;0,VLOOKUP($J89,Ruimtegroepen[],3,FALSE)*VLOOKUP($L89,Vloersoorten[],3,FALSE)*VLOOKUP($X89,Frequenties[],3,FALSE)*VLOOKUP(Ruimtestaat[[#This Row],[Code]],Locaties[],3,FALSE),0)</f>
        <v>0</v>
      </c>
      <c r="AA89" s="408">
        <f>Ruimtestaat[[#This Row],[Uitvoeringen weekend]]*Ruimtestaat[[#This Row],[Oppervlak (netto)]]</f>
        <v>0</v>
      </c>
      <c r="AB89" s="408">
        <f>IF(Z89&gt;0,Ruimtestaat[[#This Row],[Prest. (m2 /jaar) weekend]]/Ruimtestaat[[#This Row],[Norm (m2/uur) weekend]],0)</f>
        <v>0</v>
      </c>
      <c r="AC89" s="407">
        <f>Ruimtestaat[[#This Row],[uren / jaar weekend]]*Tariefsopbouw!$D$40</f>
        <v>0</v>
      </c>
      <c r="AD89" s="406">
        <f>Ruimtestaat[[#This Row],[Prest. (m2 /jaar) weekend]]+Ruimtestaat[[#This Row],[Prest. (m2 /jaar) werkdagen]]</f>
        <v>2677.5</v>
      </c>
      <c r="AE89" s="406">
        <f>Ruimtestaat[[#This Row],[uren / jaar weekend]]+Ruimtestaat[[#This Row],[uren / jaar werkdagen]]</f>
        <v>0</v>
      </c>
      <c r="AF89" s="409">
        <f>Ruimtestaat[[#This Row],[kosten / jaar weekend]]+Ruimtestaat[[#This Row],[kosten / jaar werkdagen]]</f>
        <v>0</v>
      </c>
      <c r="AG89" s="409"/>
      <c r="AH89" s="410" t="str">
        <f>IF(Ruimtestaat[[#This Row],[Frequentie werkdagen]]="","",_xlfn.CONCAT(Ruimtestaat[[#This Row],[Ruimte code]],"-",Ruimtestaat[[#This Row],[Frequentie werkdagen]]," ",Ruimtestaat[[#This Row],[Vloer code]]))</f>
        <v>6-5w S</v>
      </c>
      <c r="AI89" s="411" t="str">
        <f>_xlfn.IFNA(VLOOKUP($AH89,Programma!$F$3:$G$1101,2,0),"")</f>
        <v>_</v>
      </c>
      <c r="AJ89" s="411" t="str">
        <f>_xlfn.IFNA(VLOOKUP($AH89,Programma!$F$3:$H$1101,3,0),"")</f>
        <v>_</v>
      </c>
      <c r="AK89" s="411" t="str">
        <f>_xlfn.IFNA(VLOOKUP($AH89,Programma!$F$3:$I$1101,4,0),"")</f>
        <v>5w</v>
      </c>
      <c r="AL89" s="411" t="str">
        <f>_xlfn.IFNA(VLOOKUP($AH89,Programma!$F$3:$J$1101,5,0),"")</f>
        <v>_</v>
      </c>
      <c r="AM89" s="411" t="str">
        <f>_xlfn.IFNA(VLOOKUP($AH89,Programma!$F$3:$K$1101,6,0),"")</f>
        <v>5w</v>
      </c>
      <c r="AN89" s="411" t="str">
        <f>_xlfn.IFNA(VLOOKUP($AH89,Programma!$F$3:$L$1101,7,0),"")</f>
        <v>_</v>
      </c>
      <c r="AO89" s="411" t="str">
        <f>_xlfn.IFNA(VLOOKUP($AH89,Programma!$F$3:$M$1101,8,0),"")</f>
        <v>_</v>
      </c>
      <c r="AP89" s="411" t="str">
        <f>_xlfn.IFNA(VLOOKUP($AH89,Programma!$F$3:$N$1101,9,0),"")</f>
        <v>_</v>
      </c>
      <c r="AQ89" s="411" t="str">
        <f>_xlfn.IFNA(VLOOKUP($AH89,Programma!$F$3:$O$1101,10,0),"")</f>
        <v>5w</v>
      </c>
      <c r="AR89" s="411" t="str">
        <f>_xlfn.IFNA(VLOOKUP($AH89,Programma!$F$3:$P$1101,11,0),"")</f>
        <v>5w</v>
      </c>
      <c r="AS89" s="411" t="str">
        <f>_xlfn.IFNA(VLOOKUP($AH89,Programma!$F$3:$Q$1101,12,0),"")</f>
        <v>1w</v>
      </c>
      <c r="AT89" s="411" t="str">
        <f>_xlfn.IFNA(VLOOKUP($AH89,Programma!$F$3:$R$1101,13,0),"")</f>
        <v>1w</v>
      </c>
      <c r="AU89" s="411" t="str">
        <f>_xlfn.IFNA(VLOOKUP($AH89,Programma!$F$3:$S$1101,14,0),"")</f>
        <v>1m</v>
      </c>
      <c r="AV89" s="411" t="str">
        <f>_xlfn.IFNA(VLOOKUP($AH89,Programma!$F$3:$T$1101,15,0),"")</f>
        <v>2j</v>
      </c>
      <c r="AW89" s="411" t="str">
        <f>_xlfn.IFNA(VLOOKUP($AH89,Programma!$F$3:$U$1101,16,0),"")</f>
        <v>1j</v>
      </c>
      <c r="AX89" s="411" t="str">
        <f>_xlfn.IFNA(VLOOKUP($AH89,Programma!$F$3:$V$1101,17,0),"")</f>
        <v>_</v>
      </c>
      <c r="AY89" s="411" t="str">
        <f>_xlfn.IFNA(VLOOKUP($AH89,Programma!$F$3:$W$1101,18,0),"")</f>
        <v>_</v>
      </c>
      <c r="AZ89" s="411" t="str">
        <f>_xlfn.IFNA(VLOOKUP($AH89,Programma!$F$3:$X$1101,19,0),"")</f>
        <v>_</v>
      </c>
      <c r="BA89" s="411" t="str">
        <f>_xlfn.IFNA(VLOOKUP($AH89,Programma!$F$3:$Y$1101,20,0),"")</f>
        <v>_</v>
      </c>
      <c r="BB89" s="412"/>
      <c r="BC89" s="410" t="str">
        <f>IF(Ruimtestaat[[#This Row],[Frequentie weekend]]="","",_xlfn.CONCAT(Ruimtestaat[[#This Row],[Ruimte code]],"-",Ruimtestaat[[#This Row],[Frequentie weekend]]," ",Ruimtestaat[[#This Row],[Vloer code]]))</f>
        <v/>
      </c>
      <c r="BD89" s="411" t="str">
        <f>_xlfn.IFNA(VLOOKUP($BC89,Programma!$F$3:$G$1101,2,0),"")</f>
        <v/>
      </c>
      <c r="BE89" s="411" t="str">
        <f>_xlfn.IFNA(VLOOKUP($BC89,Programma!$F$3:$H$1101,3,0),"")</f>
        <v/>
      </c>
      <c r="BF89" s="411" t="str">
        <f>_xlfn.IFNA(VLOOKUP($BC89,Programma!$F$3:$I$1101,4,0),"")</f>
        <v/>
      </c>
      <c r="BG89" s="411" t="str">
        <f>_xlfn.IFNA(VLOOKUP($BC89,Programma!$F$3:$J$1101,5,0),"")</f>
        <v/>
      </c>
      <c r="BH89" s="411" t="str">
        <f>_xlfn.IFNA(VLOOKUP($BC89,Programma!$F$3:$K$1101,6,0),"")</f>
        <v/>
      </c>
      <c r="BI89" s="411" t="str">
        <f>_xlfn.IFNA(VLOOKUP($BC89,Programma!$F$3:$L$1101,7,0),"")</f>
        <v/>
      </c>
      <c r="BJ89" s="411" t="str">
        <f>_xlfn.IFNA(VLOOKUP($BC89,Programma!$F$3:$M$1101,8,0),"")</f>
        <v/>
      </c>
      <c r="BK89" s="411" t="str">
        <f>_xlfn.IFNA(VLOOKUP($BC89,Programma!$F$3:$N$1101,9,0),"")</f>
        <v/>
      </c>
      <c r="BL89" s="411" t="str">
        <f>_xlfn.IFNA(VLOOKUP($BC89,Programma!$F$3:$O$1101,10,0),"")</f>
        <v/>
      </c>
      <c r="BM89" s="411" t="str">
        <f>_xlfn.IFNA(VLOOKUP($BC89,Programma!$F$3:$P$1101,11,0),"")</f>
        <v/>
      </c>
      <c r="BN89" s="411" t="str">
        <f>_xlfn.IFNA(VLOOKUP($BC89,Programma!$F$3:$Q$1101,12,0),"")</f>
        <v/>
      </c>
      <c r="BO89" s="411" t="str">
        <f>_xlfn.IFNA(VLOOKUP($BC89,Programma!$F$3:$R$1101,13,0),"")</f>
        <v/>
      </c>
      <c r="BP89" s="411" t="str">
        <f>_xlfn.IFNA(VLOOKUP($BC89,Programma!$F$3:$S$1101,14,0),"")</f>
        <v/>
      </c>
      <c r="BQ89" s="411" t="str">
        <f>_xlfn.IFNA(VLOOKUP($BC89,Programma!$F$3:$T$1101,15,0),"")</f>
        <v/>
      </c>
      <c r="BR89" s="411" t="str">
        <f>_xlfn.IFNA(VLOOKUP($BC89,Programma!$F$3:$U$1101,16,0),"")</f>
        <v/>
      </c>
      <c r="BS89" s="411" t="str">
        <f>_xlfn.IFNA(VLOOKUP($BC89,Programma!$F$3:$V$1101,17,0),"")</f>
        <v/>
      </c>
      <c r="BT89" s="411" t="str">
        <f>_xlfn.IFNA(VLOOKUP($BC89,Programma!$F$3:$W$1101,18,0),"")</f>
        <v/>
      </c>
      <c r="BU89" s="411" t="str">
        <f>_xlfn.IFNA(VLOOKUP($BC89,Programma!$F$3:$X$1101,19,0),"")</f>
        <v/>
      </c>
      <c r="BV89" s="411" t="str">
        <f>_xlfn.IFNA(VLOOKUP($BC89,Programma!$F$3:$Y$1101,20,0),"")</f>
        <v/>
      </c>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c r="EO89" s="28"/>
      <c r="EP89" s="28"/>
      <c r="EQ89" s="28"/>
      <c r="ER89" s="28"/>
      <c r="ES89" s="28"/>
      <c r="ET89" s="28"/>
      <c r="EU89" s="28"/>
      <c r="EV89" s="28"/>
      <c r="EW89" s="28"/>
      <c r="EX89" s="28"/>
      <c r="EY89" s="28"/>
      <c r="EZ89" s="28"/>
      <c r="FA89" s="28"/>
      <c r="FB89" s="28"/>
      <c r="FC89" s="28"/>
      <c r="FD89" s="28"/>
      <c r="FE89" s="28"/>
      <c r="FF89" s="28"/>
      <c r="FG89" s="28"/>
      <c r="FH89" s="28"/>
      <c r="FI89" s="28"/>
      <c r="FJ89" s="28"/>
      <c r="FK89" s="28"/>
      <c r="FL89" s="28"/>
      <c r="FM89" s="28"/>
      <c r="FN89" s="28"/>
      <c r="FO89" s="28"/>
      <c r="FP89" s="28"/>
      <c r="FQ89" s="28"/>
      <c r="FR89" s="28"/>
      <c r="FS89" s="28"/>
      <c r="FT89" s="28"/>
      <c r="FU89" s="28"/>
      <c r="FV89" s="28"/>
      <c r="FW89" s="28"/>
      <c r="FX89" s="28"/>
      <c r="FY89" s="28"/>
      <c r="FZ89" s="28"/>
      <c r="GA89" s="28"/>
      <c r="GB89" s="28"/>
      <c r="GC89" s="28"/>
      <c r="GD89" s="28"/>
      <c r="GE89" s="28"/>
      <c r="GF89" s="28"/>
      <c r="GG89" s="28"/>
      <c r="GH89" s="28"/>
      <c r="GI89" s="28"/>
      <c r="GJ89" s="28"/>
      <c r="GK89" s="28"/>
      <c r="GL89" s="28"/>
      <c r="GM89" s="28"/>
      <c r="GN89" s="28"/>
      <c r="GO89" s="28"/>
      <c r="GP89" s="28"/>
      <c r="GQ89" s="28"/>
      <c r="GR89" s="28"/>
      <c r="GS89" s="28"/>
      <c r="GT89" s="28"/>
      <c r="GU89" s="28"/>
      <c r="GV89" s="28"/>
      <c r="GW89" s="28"/>
      <c r="GX89" s="28"/>
      <c r="GY89" s="28"/>
      <c r="GZ89" s="28"/>
      <c r="HA89" s="28"/>
      <c r="HB89" s="28"/>
      <c r="HC89" s="28"/>
      <c r="HD89" s="28"/>
      <c r="HE89" s="28"/>
      <c r="HF89" s="28"/>
      <c r="HG89" s="28"/>
      <c r="HH89" s="28"/>
      <c r="HI89" s="28"/>
      <c r="HJ89" s="28"/>
      <c r="HK89" s="28"/>
    </row>
    <row r="90" spans="1:219" ht="15" customHeight="1">
      <c r="A90" s="336">
        <v>2</v>
      </c>
      <c r="B90" s="400" t="str">
        <f>VLOOKUP(Ruimtestaat[[#This Row],[Code]],Locaties[[Code]:[Locatie]],2,FALSE)</f>
        <v>Kleine Houtweg</v>
      </c>
      <c r="C90" s="400" t="str">
        <f>VLOOKUP(Ruimtestaat[[#This Row],[Code]],Locaties[[#All],[Code]:[Adres]],4,FALSE)</f>
        <v>Kleine Houtweg 18</v>
      </c>
      <c r="D90" s="400" t="str">
        <f>VLOOKUP(Ruimtestaat[[#This Row],[Code]],Locaties[[#All],[Code]:[Postcode]],5,FALSE)</f>
        <v>2012 CH</v>
      </c>
      <c r="E90" s="400" t="str">
        <f>VLOOKUP(Ruimtestaat[[#This Row],[Code]],Locaties[#All],6,FALSE)</f>
        <v>Haarlem</v>
      </c>
      <c r="F90" s="399"/>
      <c r="G90" s="399" t="s">
        <v>1639</v>
      </c>
      <c r="H90" s="401">
        <v>15</v>
      </c>
      <c r="I90" s="402" t="s">
        <v>1631</v>
      </c>
      <c r="J90" s="336">
        <v>6</v>
      </c>
      <c r="K90" s="414" t="str">
        <f>VLOOKUP(Ruimtestaat[[#This Row],[Ruimte code]],Ruimtegroepen[[#All],[Code]:[Ruimte omschrijving]],2,FALSE)</f>
        <v>Gangen/hallen</v>
      </c>
      <c r="L90" s="399" t="s">
        <v>101</v>
      </c>
      <c r="M90" s="402" t="s">
        <v>1661</v>
      </c>
      <c r="N90" s="404">
        <v>14.2</v>
      </c>
      <c r="O90" s="399"/>
      <c r="P90" s="405" t="str">
        <f>VLOOKUP(Ruimtestaat[[#This Row],[Ruimte code]],Ruimtegroepen[],4,FALSE)</f>
        <v>Ve</v>
      </c>
      <c r="Q90" s="399">
        <v>51</v>
      </c>
      <c r="R90" s="399" t="s">
        <v>2</v>
      </c>
      <c r="S90" s="399">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0" s="399">
        <f>IF(S90&gt;0,VLOOKUP($J90,Ruimtegroepen[],3,FALSE)*VLOOKUP($L90,Vloersoorten[],3,FALSE)*VLOOKUP($R90,Frequenties[],3,FALSE)*VLOOKUP($A90,Locaties[],3,FALSE),0)</f>
        <v>0</v>
      </c>
      <c r="U90" s="399">
        <f>Ruimtestaat[[#This Row],[Uitvoeringen werkdagen]]*Ruimtestaat[[#This Row],[Oppervlak (netto)]]</f>
        <v>3621</v>
      </c>
      <c r="V90" s="406">
        <f>IF(T90&gt;0,Ruimtestaat[[#This Row],[Prest. (m2 /jaar) werkdagen]]/Ruimtestaat[[#This Row],[Norm (m2/uur) werkdagen]],0)</f>
        <v>0</v>
      </c>
      <c r="W90" s="407">
        <f>Ruimtestaat[[#This Row],[uren / jaar werkdagen]]*Tariefsopbouw!$E$35</f>
        <v>0</v>
      </c>
      <c r="X90" s="399"/>
      <c r="Y90" s="399">
        <f>IF(Ruimtestaat[[#This Row],[Frequentie weekend]]&gt;0,VALUE(LEFT(X90,1))*Q90,0)</f>
        <v>0</v>
      </c>
      <c r="Z90" s="408">
        <f>IF($Y90&gt;0,VLOOKUP($J90,Ruimtegroepen[],3,FALSE)*VLOOKUP($L90,Vloersoorten[],3,FALSE)*VLOOKUP($X90,Frequenties[],3,FALSE)*VLOOKUP(Ruimtestaat[[#This Row],[Code]],Locaties[],3,FALSE),0)</f>
        <v>0</v>
      </c>
      <c r="AA90" s="408">
        <f>Ruimtestaat[[#This Row],[Uitvoeringen weekend]]*Ruimtestaat[[#This Row],[Oppervlak (netto)]]</f>
        <v>0</v>
      </c>
      <c r="AB90" s="408">
        <f>IF(Z90&gt;0,Ruimtestaat[[#This Row],[Prest. (m2 /jaar) weekend]]/Ruimtestaat[[#This Row],[Norm (m2/uur) weekend]],0)</f>
        <v>0</v>
      </c>
      <c r="AC90" s="407">
        <f>Ruimtestaat[[#This Row],[uren / jaar weekend]]*Tariefsopbouw!$D$40</f>
        <v>0</v>
      </c>
      <c r="AD90" s="406">
        <f>Ruimtestaat[[#This Row],[Prest. (m2 /jaar) weekend]]+Ruimtestaat[[#This Row],[Prest. (m2 /jaar) werkdagen]]</f>
        <v>3621</v>
      </c>
      <c r="AE90" s="406">
        <f>Ruimtestaat[[#This Row],[uren / jaar weekend]]+Ruimtestaat[[#This Row],[uren / jaar werkdagen]]</f>
        <v>0</v>
      </c>
      <c r="AF90" s="409">
        <f>Ruimtestaat[[#This Row],[kosten / jaar weekend]]+Ruimtestaat[[#This Row],[kosten / jaar werkdagen]]</f>
        <v>0</v>
      </c>
      <c r="AG90" s="409"/>
      <c r="AH90" s="410" t="str">
        <f>IF(Ruimtestaat[[#This Row],[Frequentie werkdagen]]="","",_xlfn.CONCAT(Ruimtestaat[[#This Row],[Ruimte code]],"-",Ruimtestaat[[#This Row],[Frequentie werkdagen]]," ",Ruimtestaat[[#This Row],[Vloer code]]))</f>
        <v>6-5w S</v>
      </c>
      <c r="AI90" s="411" t="str">
        <f>_xlfn.IFNA(VLOOKUP($AH90,Programma!$F$3:$G$1101,2,0),"")</f>
        <v>_</v>
      </c>
      <c r="AJ90" s="411" t="str">
        <f>_xlfn.IFNA(VLOOKUP($AH90,Programma!$F$3:$H$1101,3,0),"")</f>
        <v>_</v>
      </c>
      <c r="AK90" s="411" t="str">
        <f>_xlfn.IFNA(VLOOKUP($AH90,Programma!$F$3:$I$1101,4,0),"")</f>
        <v>5w</v>
      </c>
      <c r="AL90" s="411" t="str">
        <f>_xlfn.IFNA(VLOOKUP($AH90,Programma!$F$3:$J$1101,5,0),"")</f>
        <v>_</v>
      </c>
      <c r="AM90" s="411" t="str">
        <f>_xlfn.IFNA(VLOOKUP($AH90,Programma!$F$3:$K$1101,6,0),"")</f>
        <v>5w</v>
      </c>
      <c r="AN90" s="411" t="str">
        <f>_xlfn.IFNA(VLOOKUP($AH90,Programma!$F$3:$L$1101,7,0),"")</f>
        <v>_</v>
      </c>
      <c r="AO90" s="411" t="str">
        <f>_xlfn.IFNA(VLOOKUP($AH90,Programma!$F$3:$M$1101,8,0),"")</f>
        <v>_</v>
      </c>
      <c r="AP90" s="411" t="str">
        <f>_xlfn.IFNA(VLOOKUP($AH90,Programma!$F$3:$N$1101,9,0),"")</f>
        <v>_</v>
      </c>
      <c r="AQ90" s="411" t="str">
        <f>_xlfn.IFNA(VLOOKUP($AH90,Programma!$F$3:$O$1101,10,0),"")</f>
        <v>5w</v>
      </c>
      <c r="AR90" s="411" t="str">
        <f>_xlfn.IFNA(VLOOKUP($AH90,Programma!$F$3:$P$1101,11,0),"")</f>
        <v>5w</v>
      </c>
      <c r="AS90" s="411" t="str">
        <f>_xlfn.IFNA(VLOOKUP($AH90,Programma!$F$3:$Q$1101,12,0),"")</f>
        <v>1w</v>
      </c>
      <c r="AT90" s="411" t="str">
        <f>_xlfn.IFNA(VLOOKUP($AH90,Programma!$F$3:$R$1101,13,0),"")</f>
        <v>1w</v>
      </c>
      <c r="AU90" s="411" t="str">
        <f>_xlfn.IFNA(VLOOKUP($AH90,Programma!$F$3:$S$1101,14,0),"")</f>
        <v>1m</v>
      </c>
      <c r="AV90" s="411" t="str">
        <f>_xlfn.IFNA(VLOOKUP($AH90,Programma!$F$3:$T$1101,15,0),"")</f>
        <v>2j</v>
      </c>
      <c r="AW90" s="411" t="str">
        <f>_xlfn.IFNA(VLOOKUP($AH90,Programma!$F$3:$U$1101,16,0),"")</f>
        <v>1j</v>
      </c>
      <c r="AX90" s="411" t="str">
        <f>_xlfn.IFNA(VLOOKUP($AH90,Programma!$F$3:$V$1101,17,0),"")</f>
        <v>_</v>
      </c>
      <c r="AY90" s="411" t="str">
        <f>_xlfn.IFNA(VLOOKUP($AH90,Programma!$F$3:$W$1101,18,0),"")</f>
        <v>_</v>
      </c>
      <c r="AZ90" s="411" t="str">
        <f>_xlfn.IFNA(VLOOKUP($AH90,Programma!$F$3:$X$1101,19,0),"")</f>
        <v>_</v>
      </c>
      <c r="BA90" s="411" t="str">
        <f>_xlfn.IFNA(VLOOKUP($AH90,Programma!$F$3:$Y$1101,20,0),"")</f>
        <v>_</v>
      </c>
      <c r="BB90" s="412"/>
      <c r="BC90" s="410" t="str">
        <f>IF(Ruimtestaat[[#This Row],[Frequentie weekend]]="","",_xlfn.CONCAT(Ruimtestaat[[#This Row],[Ruimte code]],"-",Ruimtestaat[[#This Row],[Frequentie weekend]]," ",Ruimtestaat[[#This Row],[Vloer code]]))</f>
        <v/>
      </c>
      <c r="BD90" s="411" t="str">
        <f>_xlfn.IFNA(VLOOKUP($BC90,Programma!$F$3:$G$1101,2,0),"")</f>
        <v/>
      </c>
      <c r="BE90" s="411" t="str">
        <f>_xlfn.IFNA(VLOOKUP($BC90,Programma!$F$3:$H$1101,3,0),"")</f>
        <v/>
      </c>
      <c r="BF90" s="411" t="str">
        <f>_xlfn.IFNA(VLOOKUP($BC90,Programma!$F$3:$I$1101,4,0),"")</f>
        <v/>
      </c>
      <c r="BG90" s="411" t="str">
        <f>_xlfn.IFNA(VLOOKUP($BC90,Programma!$F$3:$J$1101,5,0),"")</f>
        <v/>
      </c>
      <c r="BH90" s="411" t="str">
        <f>_xlfn.IFNA(VLOOKUP($BC90,Programma!$F$3:$K$1101,6,0),"")</f>
        <v/>
      </c>
      <c r="BI90" s="411" t="str">
        <f>_xlfn.IFNA(VLOOKUP($BC90,Programma!$F$3:$L$1101,7,0),"")</f>
        <v/>
      </c>
      <c r="BJ90" s="411" t="str">
        <f>_xlfn.IFNA(VLOOKUP($BC90,Programma!$F$3:$M$1101,8,0),"")</f>
        <v/>
      </c>
      <c r="BK90" s="411" t="str">
        <f>_xlfn.IFNA(VLOOKUP($BC90,Programma!$F$3:$N$1101,9,0),"")</f>
        <v/>
      </c>
      <c r="BL90" s="411" t="str">
        <f>_xlfn.IFNA(VLOOKUP($BC90,Programma!$F$3:$O$1101,10,0),"")</f>
        <v/>
      </c>
      <c r="BM90" s="411" t="str">
        <f>_xlfn.IFNA(VLOOKUP($BC90,Programma!$F$3:$P$1101,11,0),"")</f>
        <v/>
      </c>
      <c r="BN90" s="411" t="str">
        <f>_xlfn.IFNA(VLOOKUP($BC90,Programma!$F$3:$Q$1101,12,0),"")</f>
        <v/>
      </c>
      <c r="BO90" s="411" t="str">
        <f>_xlfn.IFNA(VLOOKUP($BC90,Programma!$F$3:$R$1101,13,0),"")</f>
        <v/>
      </c>
      <c r="BP90" s="411" t="str">
        <f>_xlfn.IFNA(VLOOKUP($BC90,Programma!$F$3:$S$1101,14,0),"")</f>
        <v/>
      </c>
      <c r="BQ90" s="411" t="str">
        <f>_xlfn.IFNA(VLOOKUP($BC90,Programma!$F$3:$T$1101,15,0),"")</f>
        <v/>
      </c>
      <c r="BR90" s="411" t="str">
        <f>_xlfn.IFNA(VLOOKUP($BC90,Programma!$F$3:$U$1101,16,0),"")</f>
        <v/>
      </c>
      <c r="BS90" s="411" t="str">
        <f>_xlfn.IFNA(VLOOKUP($BC90,Programma!$F$3:$V$1101,17,0),"")</f>
        <v/>
      </c>
      <c r="BT90" s="411" t="str">
        <f>_xlfn.IFNA(VLOOKUP($BC90,Programma!$F$3:$W$1101,18,0),"")</f>
        <v/>
      </c>
      <c r="BU90" s="411" t="str">
        <f>_xlfn.IFNA(VLOOKUP($BC90,Programma!$F$3:$X$1101,19,0),"")</f>
        <v/>
      </c>
      <c r="BV90" s="411" t="str">
        <f>_xlfn.IFNA(VLOOKUP($BC90,Programma!$F$3:$Y$1101,20,0),"")</f>
        <v/>
      </c>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c r="FH90" s="28"/>
      <c r="FI90" s="28"/>
      <c r="FJ90" s="28"/>
      <c r="FK90" s="28"/>
      <c r="FL90" s="28"/>
      <c r="FM90" s="28"/>
      <c r="FN90" s="28"/>
      <c r="FO90" s="28"/>
      <c r="FP90" s="28"/>
      <c r="FQ90" s="28"/>
      <c r="FR90" s="28"/>
      <c r="FS90" s="28"/>
      <c r="FT90" s="28"/>
      <c r="FU90" s="28"/>
      <c r="FV90" s="28"/>
      <c r="FW90" s="28"/>
      <c r="FX90" s="28"/>
      <c r="FY90" s="28"/>
      <c r="FZ90" s="28"/>
      <c r="GA90" s="28"/>
      <c r="GB90" s="28"/>
      <c r="GC90" s="28"/>
      <c r="GD90" s="28"/>
      <c r="GE90" s="28"/>
      <c r="GF90" s="28"/>
      <c r="GG90" s="28"/>
      <c r="GH90" s="28"/>
      <c r="GI90" s="28"/>
      <c r="GJ90" s="28"/>
      <c r="GK90" s="28"/>
      <c r="GL90" s="28"/>
      <c r="GM90" s="28"/>
      <c r="GN90" s="28"/>
      <c r="GO90" s="28"/>
      <c r="GP90" s="28"/>
      <c r="GQ90" s="28"/>
      <c r="GR90" s="28"/>
      <c r="GS90" s="28"/>
      <c r="GT90" s="28"/>
      <c r="GU90" s="28"/>
      <c r="GV90" s="28"/>
      <c r="GW90" s="28"/>
      <c r="GX90" s="28"/>
      <c r="GY90" s="28"/>
      <c r="GZ90" s="28"/>
      <c r="HA90" s="28"/>
      <c r="HB90" s="28"/>
      <c r="HC90" s="28"/>
      <c r="HD90" s="28"/>
      <c r="HE90" s="28"/>
      <c r="HF90" s="28"/>
      <c r="HG90" s="28"/>
      <c r="HH90" s="28"/>
      <c r="HI90" s="28"/>
      <c r="HJ90" s="28"/>
      <c r="HK90" s="28"/>
    </row>
    <row r="91" spans="1:219" ht="15" customHeight="1">
      <c r="A91" s="336">
        <v>2</v>
      </c>
      <c r="B91" s="400" t="str">
        <f>VLOOKUP(Ruimtestaat[[#This Row],[Code]],Locaties[[Code]:[Locatie]],2,FALSE)</f>
        <v>Kleine Houtweg</v>
      </c>
      <c r="C91" s="400" t="str">
        <f>VLOOKUP(Ruimtestaat[[#This Row],[Code]],Locaties[[#All],[Code]:[Adres]],4,FALSE)</f>
        <v>Kleine Houtweg 18</v>
      </c>
      <c r="D91" s="400" t="str">
        <f>VLOOKUP(Ruimtestaat[[#This Row],[Code]],Locaties[[#All],[Code]:[Postcode]],5,FALSE)</f>
        <v>2012 CH</v>
      </c>
      <c r="E91" s="400" t="str">
        <f>VLOOKUP(Ruimtestaat[[#This Row],[Code]],Locaties[#All],6,FALSE)</f>
        <v>Haarlem</v>
      </c>
      <c r="F91" s="399"/>
      <c r="G91" s="399" t="s">
        <v>1639</v>
      </c>
      <c r="H91" s="401">
        <v>16</v>
      </c>
      <c r="I91" s="402" t="s">
        <v>1642</v>
      </c>
      <c r="J91" s="336">
        <v>6</v>
      </c>
      <c r="K91" s="414" t="str">
        <f>VLOOKUP(Ruimtestaat[[#This Row],[Ruimte code]],Ruimtegroepen[[#All],[Code]:[Ruimte omschrijving]],2,FALSE)</f>
        <v>Gangen/hallen</v>
      </c>
      <c r="L91" s="399" t="s">
        <v>101</v>
      </c>
      <c r="M91" s="402" t="s">
        <v>1661</v>
      </c>
      <c r="N91" s="404">
        <v>27</v>
      </c>
      <c r="O91" s="413"/>
      <c r="P91" s="405" t="str">
        <f>VLOOKUP(Ruimtestaat[[#This Row],[Ruimte code]],Ruimtegroepen[],4,FALSE)</f>
        <v>Ve</v>
      </c>
      <c r="Q91" s="399">
        <v>51</v>
      </c>
      <c r="R91" s="399" t="s">
        <v>2</v>
      </c>
      <c r="S91" s="399">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1" s="399">
        <f>IF(S91&gt;0,VLOOKUP($J91,Ruimtegroepen[],3,FALSE)*VLOOKUP($L91,Vloersoorten[],3,FALSE)*VLOOKUP($R91,Frequenties[],3,FALSE)*VLOOKUP($A91,Locaties[],3,FALSE),0)</f>
        <v>0</v>
      </c>
      <c r="U91" s="399">
        <f>Ruimtestaat[[#This Row],[Uitvoeringen werkdagen]]*Ruimtestaat[[#This Row],[Oppervlak (netto)]]</f>
        <v>6885</v>
      </c>
      <c r="V91" s="406">
        <f>IF(T91&gt;0,Ruimtestaat[[#This Row],[Prest. (m2 /jaar) werkdagen]]/Ruimtestaat[[#This Row],[Norm (m2/uur) werkdagen]],0)</f>
        <v>0</v>
      </c>
      <c r="W91" s="407">
        <f>Ruimtestaat[[#This Row],[uren / jaar werkdagen]]*Tariefsopbouw!$E$35</f>
        <v>0</v>
      </c>
      <c r="X91" s="399"/>
      <c r="Y91" s="399">
        <f>IF(Ruimtestaat[[#This Row],[Frequentie weekend]]&gt;0,VALUE(LEFT(X91,1))*Q91,0)</f>
        <v>0</v>
      </c>
      <c r="Z91" s="408">
        <f>IF($Y91&gt;0,VLOOKUP($J91,Ruimtegroepen[],3,FALSE)*VLOOKUP($L91,Vloersoorten[],3,FALSE)*VLOOKUP($X91,Frequenties[],3,FALSE)*VLOOKUP(Ruimtestaat[[#This Row],[Code]],Locaties[],3,FALSE),0)</f>
        <v>0</v>
      </c>
      <c r="AA91" s="408">
        <f>Ruimtestaat[[#This Row],[Uitvoeringen weekend]]*Ruimtestaat[[#This Row],[Oppervlak (netto)]]</f>
        <v>0</v>
      </c>
      <c r="AB91" s="408">
        <f>IF(Z91&gt;0,Ruimtestaat[[#This Row],[Prest. (m2 /jaar) weekend]]/Ruimtestaat[[#This Row],[Norm (m2/uur) weekend]],0)</f>
        <v>0</v>
      </c>
      <c r="AC91" s="407">
        <f>Ruimtestaat[[#This Row],[uren / jaar weekend]]*Tariefsopbouw!$D$40</f>
        <v>0</v>
      </c>
      <c r="AD91" s="406">
        <f>Ruimtestaat[[#This Row],[Prest. (m2 /jaar) weekend]]+Ruimtestaat[[#This Row],[Prest. (m2 /jaar) werkdagen]]</f>
        <v>6885</v>
      </c>
      <c r="AE91" s="406">
        <f>Ruimtestaat[[#This Row],[uren / jaar weekend]]+Ruimtestaat[[#This Row],[uren / jaar werkdagen]]</f>
        <v>0</v>
      </c>
      <c r="AF91" s="409">
        <f>Ruimtestaat[[#This Row],[kosten / jaar weekend]]+Ruimtestaat[[#This Row],[kosten / jaar werkdagen]]</f>
        <v>0</v>
      </c>
      <c r="AG91" s="409"/>
      <c r="AH91" s="410" t="str">
        <f>IF(Ruimtestaat[[#This Row],[Frequentie werkdagen]]="","",_xlfn.CONCAT(Ruimtestaat[[#This Row],[Ruimte code]],"-",Ruimtestaat[[#This Row],[Frequentie werkdagen]]," ",Ruimtestaat[[#This Row],[Vloer code]]))</f>
        <v>6-5w S</v>
      </c>
      <c r="AI91" s="411" t="str">
        <f>_xlfn.IFNA(VLOOKUP($AH91,Programma!$F$3:$G$1101,2,0),"")</f>
        <v>_</v>
      </c>
      <c r="AJ91" s="411" t="str">
        <f>_xlfn.IFNA(VLOOKUP($AH91,Programma!$F$3:$H$1101,3,0),"")</f>
        <v>_</v>
      </c>
      <c r="AK91" s="411" t="str">
        <f>_xlfn.IFNA(VLOOKUP($AH91,Programma!$F$3:$I$1101,4,0),"")</f>
        <v>5w</v>
      </c>
      <c r="AL91" s="411" t="str">
        <f>_xlfn.IFNA(VLOOKUP($AH91,Programma!$F$3:$J$1101,5,0),"")</f>
        <v>_</v>
      </c>
      <c r="AM91" s="411" t="str">
        <f>_xlfn.IFNA(VLOOKUP($AH91,Programma!$F$3:$K$1101,6,0),"")</f>
        <v>5w</v>
      </c>
      <c r="AN91" s="411" t="str">
        <f>_xlfn.IFNA(VLOOKUP($AH91,Programma!$F$3:$L$1101,7,0),"")</f>
        <v>_</v>
      </c>
      <c r="AO91" s="411" t="str">
        <f>_xlfn.IFNA(VLOOKUP($AH91,Programma!$F$3:$M$1101,8,0),"")</f>
        <v>_</v>
      </c>
      <c r="AP91" s="411" t="str">
        <f>_xlfn.IFNA(VLOOKUP($AH91,Programma!$F$3:$N$1101,9,0),"")</f>
        <v>_</v>
      </c>
      <c r="AQ91" s="411" t="str">
        <f>_xlfn.IFNA(VLOOKUP($AH91,Programma!$F$3:$O$1101,10,0),"")</f>
        <v>5w</v>
      </c>
      <c r="AR91" s="411" t="str">
        <f>_xlfn.IFNA(VLOOKUP($AH91,Programma!$F$3:$P$1101,11,0),"")</f>
        <v>5w</v>
      </c>
      <c r="AS91" s="411" t="str">
        <f>_xlfn.IFNA(VLOOKUP($AH91,Programma!$F$3:$Q$1101,12,0),"")</f>
        <v>1w</v>
      </c>
      <c r="AT91" s="411" t="str">
        <f>_xlfn.IFNA(VLOOKUP($AH91,Programma!$F$3:$R$1101,13,0),"")</f>
        <v>1w</v>
      </c>
      <c r="AU91" s="411" t="str">
        <f>_xlfn.IFNA(VLOOKUP($AH91,Programma!$F$3:$S$1101,14,0),"")</f>
        <v>1m</v>
      </c>
      <c r="AV91" s="411" t="str">
        <f>_xlfn.IFNA(VLOOKUP($AH91,Programma!$F$3:$T$1101,15,0),"")</f>
        <v>2j</v>
      </c>
      <c r="AW91" s="411" t="str">
        <f>_xlfn.IFNA(VLOOKUP($AH91,Programma!$F$3:$U$1101,16,0),"")</f>
        <v>1j</v>
      </c>
      <c r="AX91" s="411" t="str">
        <f>_xlfn.IFNA(VLOOKUP($AH91,Programma!$F$3:$V$1101,17,0),"")</f>
        <v>_</v>
      </c>
      <c r="AY91" s="411" t="str">
        <f>_xlfn.IFNA(VLOOKUP($AH91,Programma!$F$3:$W$1101,18,0),"")</f>
        <v>_</v>
      </c>
      <c r="AZ91" s="411" t="str">
        <f>_xlfn.IFNA(VLOOKUP($AH91,Programma!$F$3:$X$1101,19,0),"")</f>
        <v>_</v>
      </c>
      <c r="BA91" s="411" t="str">
        <f>_xlfn.IFNA(VLOOKUP($AH91,Programma!$F$3:$Y$1101,20,0),"")</f>
        <v>_</v>
      </c>
      <c r="BB91" s="412"/>
      <c r="BC91" s="410" t="str">
        <f>IF(Ruimtestaat[[#This Row],[Frequentie weekend]]="","",_xlfn.CONCAT(Ruimtestaat[[#This Row],[Ruimte code]],"-",Ruimtestaat[[#This Row],[Frequentie weekend]]," ",Ruimtestaat[[#This Row],[Vloer code]]))</f>
        <v/>
      </c>
      <c r="BD91" s="411" t="str">
        <f>_xlfn.IFNA(VLOOKUP($BC91,Programma!$F$3:$G$1101,2,0),"")</f>
        <v/>
      </c>
      <c r="BE91" s="411" t="str">
        <f>_xlfn.IFNA(VLOOKUP($BC91,Programma!$F$3:$H$1101,3,0),"")</f>
        <v/>
      </c>
      <c r="BF91" s="411" t="str">
        <f>_xlfn.IFNA(VLOOKUP($BC91,Programma!$F$3:$I$1101,4,0),"")</f>
        <v/>
      </c>
      <c r="BG91" s="411" t="str">
        <f>_xlfn.IFNA(VLOOKUP($BC91,Programma!$F$3:$J$1101,5,0),"")</f>
        <v/>
      </c>
      <c r="BH91" s="411" t="str">
        <f>_xlfn.IFNA(VLOOKUP($BC91,Programma!$F$3:$K$1101,6,0),"")</f>
        <v/>
      </c>
      <c r="BI91" s="411" t="str">
        <f>_xlfn.IFNA(VLOOKUP($BC91,Programma!$F$3:$L$1101,7,0),"")</f>
        <v/>
      </c>
      <c r="BJ91" s="411" t="str">
        <f>_xlfn.IFNA(VLOOKUP($BC91,Programma!$F$3:$M$1101,8,0),"")</f>
        <v/>
      </c>
      <c r="BK91" s="411" t="str">
        <f>_xlfn.IFNA(VLOOKUP($BC91,Programma!$F$3:$N$1101,9,0),"")</f>
        <v/>
      </c>
      <c r="BL91" s="411" t="str">
        <f>_xlfn.IFNA(VLOOKUP($BC91,Programma!$F$3:$O$1101,10,0),"")</f>
        <v/>
      </c>
      <c r="BM91" s="411" t="str">
        <f>_xlfn.IFNA(VLOOKUP($BC91,Programma!$F$3:$P$1101,11,0),"")</f>
        <v/>
      </c>
      <c r="BN91" s="411" t="str">
        <f>_xlfn.IFNA(VLOOKUP($BC91,Programma!$F$3:$Q$1101,12,0),"")</f>
        <v/>
      </c>
      <c r="BO91" s="411" t="str">
        <f>_xlfn.IFNA(VLOOKUP($BC91,Programma!$F$3:$R$1101,13,0),"")</f>
        <v/>
      </c>
      <c r="BP91" s="411" t="str">
        <f>_xlfn.IFNA(VLOOKUP($BC91,Programma!$F$3:$S$1101,14,0),"")</f>
        <v/>
      </c>
      <c r="BQ91" s="411" t="str">
        <f>_xlfn.IFNA(VLOOKUP($BC91,Programma!$F$3:$T$1101,15,0),"")</f>
        <v/>
      </c>
      <c r="BR91" s="411" t="str">
        <f>_xlfn.IFNA(VLOOKUP($BC91,Programma!$F$3:$U$1101,16,0),"")</f>
        <v/>
      </c>
      <c r="BS91" s="411" t="str">
        <f>_xlfn.IFNA(VLOOKUP($BC91,Programma!$F$3:$V$1101,17,0),"")</f>
        <v/>
      </c>
      <c r="BT91" s="411" t="str">
        <f>_xlfn.IFNA(VLOOKUP($BC91,Programma!$F$3:$W$1101,18,0),"")</f>
        <v/>
      </c>
      <c r="BU91" s="411" t="str">
        <f>_xlfn.IFNA(VLOOKUP($BC91,Programma!$F$3:$X$1101,19,0),"")</f>
        <v/>
      </c>
      <c r="BV91" s="411" t="str">
        <f>_xlfn.IFNA(VLOOKUP($BC91,Programma!$F$3:$Y$1101,20,0),"")</f>
        <v/>
      </c>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FU91" s="28"/>
      <c r="FV91" s="28"/>
      <c r="FW91" s="28"/>
      <c r="FX91" s="28"/>
      <c r="FY91" s="28"/>
      <c r="FZ91" s="28"/>
      <c r="GA91" s="28"/>
      <c r="GB91" s="28"/>
      <c r="GC91" s="28"/>
      <c r="GD91" s="28"/>
      <c r="GE91" s="28"/>
      <c r="GF91" s="28"/>
      <c r="GG91" s="28"/>
      <c r="GH91" s="28"/>
      <c r="GI91" s="28"/>
      <c r="GJ91" s="28"/>
      <c r="GK91" s="28"/>
      <c r="GL91" s="28"/>
      <c r="GM91" s="28"/>
      <c r="GN91" s="28"/>
      <c r="GO91" s="28"/>
      <c r="GP91" s="28"/>
      <c r="GQ91" s="28"/>
      <c r="GR91" s="28"/>
      <c r="GS91" s="28"/>
      <c r="GT91" s="28"/>
      <c r="GU91" s="28"/>
      <c r="GV91" s="28"/>
      <c r="GW91" s="28"/>
      <c r="GX91" s="28"/>
      <c r="GY91" s="28"/>
      <c r="GZ91" s="28"/>
      <c r="HA91" s="28"/>
      <c r="HB91" s="28"/>
      <c r="HC91" s="28"/>
      <c r="HD91" s="28"/>
      <c r="HE91" s="28"/>
      <c r="HF91" s="28"/>
      <c r="HG91" s="28"/>
      <c r="HH91" s="28"/>
      <c r="HI91" s="28"/>
      <c r="HJ91" s="28"/>
      <c r="HK91" s="28"/>
    </row>
    <row r="92" spans="1:219" ht="15" customHeight="1">
      <c r="A92" s="336">
        <v>2</v>
      </c>
      <c r="B92" s="400" t="str">
        <f>VLOOKUP(Ruimtestaat[[#This Row],[Code]],Locaties[[Code]:[Locatie]],2,FALSE)</f>
        <v>Kleine Houtweg</v>
      </c>
      <c r="C92" s="400" t="str">
        <f>VLOOKUP(Ruimtestaat[[#This Row],[Code]],Locaties[[#All],[Code]:[Adres]],4,FALSE)</f>
        <v>Kleine Houtweg 18</v>
      </c>
      <c r="D92" s="400" t="str">
        <f>VLOOKUP(Ruimtestaat[[#This Row],[Code]],Locaties[[#All],[Code]:[Postcode]],5,FALSE)</f>
        <v>2012 CH</v>
      </c>
      <c r="E92" s="400" t="str">
        <f>VLOOKUP(Ruimtestaat[[#This Row],[Code]],Locaties[#All],6,FALSE)</f>
        <v>Haarlem</v>
      </c>
      <c r="F92" s="399"/>
      <c r="G92" s="399" t="s">
        <v>1639</v>
      </c>
      <c r="H92" s="401">
        <v>17</v>
      </c>
      <c r="I92" s="402" t="s">
        <v>1664</v>
      </c>
      <c r="J92" s="336">
        <v>14</v>
      </c>
      <c r="K92" s="414" t="str">
        <f>VLOOKUP(Ruimtestaat[[#This Row],[Ruimte code]],Ruimtegroepen[[#All],[Code]:[Ruimte omschrijving]],2,FALSE)</f>
        <v>Praktijklokalen</v>
      </c>
      <c r="L92" s="399" t="s">
        <v>101</v>
      </c>
      <c r="M92" s="402" t="s">
        <v>1661</v>
      </c>
      <c r="N92" s="404">
        <v>15.8</v>
      </c>
      <c r="O92" s="413"/>
      <c r="P92" s="405" t="str">
        <f>VLOOKUP(Ruimtestaat[[#This Row],[Ruimte code]],Ruimtegroepen[],4,FALSE)</f>
        <v>Le</v>
      </c>
      <c r="Q92" s="399">
        <v>51</v>
      </c>
      <c r="R92" s="399" t="s">
        <v>2</v>
      </c>
      <c r="S92" s="399">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2" s="399">
        <f>IF(S92&gt;0,VLOOKUP($J92,Ruimtegroepen[],3,FALSE)*VLOOKUP($L92,Vloersoorten[],3,FALSE)*VLOOKUP($R92,Frequenties[],3,FALSE)*VLOOKUP($A92,Locaties[],3,FALSE),0)</f>
        <v>0</v>
      </c>
      <c r="U92" s="399">
        <f>Ruimtestaat[[#This Row],[Uitvoeringen werkdagen]]*Ruimtestaat[[#This Row],[Oppervlak (netto)]]</f>
        <v>4029</v>
      </c>
      <c r="V92" s="406">
        <f>IF(T92&gt;0,Ruimtestaat[[#This Row],[Prest. (m2 /jaar) werkdagen]]/Ruimtestaat[[#This Row],[Norm (m2/uur) werkdagen]],0)</f>
        <v>0</v>
      </c>
      <c r="W92" s="407">
        <f>Ruimtestaat[[#This Row],[uren / jaar werkdagen]]*Tariefsopbouw!$E$35</f>
        <v>0</v>
      </c>
      <c r="X92" s="399"/>
      <c r="Y92" s="399">
        <f>IF(Ruimtestaat[[#This Row],[Frequentie weekend]]&gt;0,VALUE(LEFT(X92,1))*Q92,0)</f>
        <v>0</v>
      </c>
      <c r="Z92" s="408">
        <f>IF($Y92&gt;0,VLOOKUP($J92,Ruimtegroepen[],3,FALSE)*VLOOKUP($L92,Vloersoorten[],3,FALSE)*VLOOKUP($X92,Frequenties[],3,FALSE)*VLOOKUP(Ruimtestaat[[#This Row],[Code]],Locaties[],3,FALSE),0)</f>
        <v>0</v>
      </c>
      <c r="AA92" s="408">
        <f>Ruimtestaat[[#This Row],[Uitvoeringen weekend]]*Ruimtestaat[[#This Row],[Oppervlak (netto)]]</f>
        <v>0</v>
      </c>
      <c r="AB92" s="408">
        <f>IF(Z92&gt;0,Ruimtestaat[[#This Row],[Prest. (m2 /jaar) weekend]]/Ruimtestaat[[#This Row],[Norm (m2/uur) weekend]],0)</f>
        <v>0</v>
      </c>
      <c r="AC92" s="407">
        <f>Ruimtestaat[[#This Row],[uren / jaar weekend]]*Tariefsopbouw!$D$40</f>
        <v>0</v>
      </c>
      <c r="AD92" s="406">
        <f>Ruimtestaat[[#This Row],[Prest. (m2 /jaar) weekend]]+Ruimtestaat[[#This Row],[Prest. (m2 /jaar) werkdagen]]</f>
        <v>4029</v>
      </c>
      <c r="AE92" s="406">
        <f>Ruimtestaat[[#This Row],[uren / jaar weekend]]+Ruimtestaat[[#This Row],[uren / jaar werkdagen]]</f>
        <v>0</v>
      </c>
      <c r="AF92" s="409">
        <f>Ruimtestaat[[#This Row],[kosten / jaar weekend]]+Ruimtestaat[[#This Row],[kosten / jaar werkdagen]]</f>
        <v>0</v>
      </c>
      <c r="AG92" s="409"/>
      <c r="AH92" s="410" t="str">
        <f>IF(Ruimtestaat[[#This Row],[Frequentie werkdagen]]="","",_xlfn.CONCAT(Ruimtestaat[[#This Row],[Ruimte code]],"-",Ruimtestaat[[#This Row],[Frequentie werkdagen]]," ",Ruimtestaat[[#This Row],[Vloer code]]))</f>
        <v>14-5w S</v>
      </c>
      <c r="AI92" s="411" t="str">
        <f>_xlfn.IFNA(VLOOKUP($AH92,Programma!$F$3:$G$1101,2,0),"")</f>
        <v>_</v>
      </c>
      <c r="AJ92" s="411" t="str">
        <f>_xlfn.IFNA(VLOOKUP($AH92,Programma!$F$3:$H$1101,3,0),"")</f>
        <v>_</v>
      </c>
      <c r="AK92" s="411" t="str">
        <f>_xlfn.IFNA(VLOOKUP($AH92,Programma!$F$3:$I$1101,4,0),"")</f>
        <v>4w</v>
      </c>
      <c r="AL92" s="411" t="str">
        <f>_xlfn.IFNA(VLOOKUP($AH92,Programma!$F$3:$J$1101,5,0),"")</f>
        <v>1w</v>
      </c>
      <c r="AM92" s="411" t="str">
        <f>_xlfn.IFNA(VLOOKUP($AH92,Programma!$F$3:$K$1101,6,0),"")</f>
        <v>1m</v>
      </c>
      <c r="AN92" s="411" t="str">
        <f>_xlfn.IFNA(VLOOKUP($AH92,Programma!$F$3:$L$1101,7,0),"")</f>
        <v>_</v>
      </c>
      <c r="AO92" s="411" t="str">
        <f>_xlfn.IFNA(VLOOKUP($AH92,Programma!$F$3:$M$1101,8,0),"")</f>
        <v>_</v>
      </c>
      <c r="AP92" s="411" t="str">
        <f>_xlfn.IFNA(VLOOKUP($AH92,Programma!$F$3:$N$1101,9,0),"")</f>
        <v>_</v>
      </c>
      <c r="AQ92" s="411" t="str">
        <f>_xlfn.IFNA(VLOOKUP($AH92,Programma!$F$3:$O$1101,10,0),"")</f>
        <v>5w</v>
      </c>
      <c r="AR92" s="411" t="str">
        <f>_xlfn.IFNA(VLOOKUP($AH92,Programma!$F$3:$P$1101,11,0),"")</f>
        <v>5w</v>
      </c>
      <c r="AS92" s="411" t="str">
        <f>_xlfn.IFNA(VLOOKUP($AH92,Programma!$F$3:$Q$1101,12,0),"")</f>
        <v>1w</v>
      </c>
      <c r="AT92" s="411" t="str">
        <f>_xlfn.IFNA(VLOOKUP($AH92,Programma!$F$3:$R$1101,13,0),"")</f>
        <v>1w</v>
      </c>
      <c r="AU92" s="411" t="str">
        <f>_xlfn.IFNA(VLOOKUP($AH92,Programma!$F$3:$S$1101,14,0),"")</f>
        <v>1m</v>
      </c>
      <c r="AV92" s="411" t="str">
        <f>_xlfn.IFNA(VLOOKUP($AH92,Programma!$F$3:$T$1101,15,0),"")</f>
        <v>2j</v>
      </c>
      <c r="AW92" s="411" t="str">
        <f>_xlfn.IFNA(VLOOKUP($AH92,Programma!$F$3:$U$1101,16,0),"")</f>
        <v>1j</v>
      </c>
      <c r="AX92" s="411" t="str">
        <f>_xlfn.IFNA(VLOOKUP($AH92,Programma!$F$3:$V$1101,17,0),"")</f>
        <v>_</v>
      </c>
      <c r="AY92" s="411" t="str">
        <f>_xlfn.IFNA(VLOOKUP($AH92,Programma!$F$3:$W$1101,18,0),"")</f>
        <v>_</v>
      </c>
      <c r="AZ92" s="411" t="str">
        <f>_xlfn.IFNA(VLOOKUP($AH92,Programma!$F$3:$X$1101,19,0),"")</f>
        <v>_</v>
      </c>
      <c r="BA92" s="411" t="str">
        <f>_xlfn.IFNA(VLOOKUP($AH92,Programma!$F$3:$Y$1101,20,0),"")</f>
        <v>_</v>
      </c>
      <c r="BB92" s="412"/>
      <c r="BC92" s="410" t="str">
        <f>IF(Ruimtestaat[[#This Row],[Frequentie weekend]]="","",_xlfn.CONCAT(Ruimtestaat[[#This Row],[Ruimte code]],"-",Ruimtestaat[[#This Row],[Frequentie weekend]]," ",Ruimtestaat[[#This Row],[Vloer code]]))</f>
        <v/>
      </c>
      <c r="BD92" s="411" t="str">
        <f>_xlfn.IFNA(VLOOKUP($BC92,Programma!$F$3:$G$1101,2,0),"")</f>
        <v/>
      </c>
      <c r="BE92" s="411" t="str">
        <f>_xlfn.IFNA(VLOOKUP($BC92,Programma!$F$3:$H$1101,3,0),"")</f>
        <v/>
      </c>
      <c r="BF92" s="411" t="str">
        <f>_xlfn.IFNA(VLOOKUP($BC92,Programma!$F$3:$I$1101,4,0),"")</f>
        <v/>
      </c>
      <c r="BG92" s="411" t="str">
        <f>_xlfn.IFNA(VLOOKUP($BC92,Programma!$F$3:$J$1101,5,0),"")</f>
        <v/>
      </c>
      <c r="BH92" s="411" t="str">
        <f>_xlfn.IFNA(VLOOKUP($BC92,Programma!$F$3:$K$1101,6,0),"")</f>
        <v/>
      </c>
      <c r="BI92" s="411" t="str">
        <f>_xlfn.IFNA(VLOOKUP($BC92,Programma!$F$3:$L$1101,7,0),"")</f>
        <v/>
      </c>
      <c r="BJ92" s="411" t="str">
        <f>_xlfn.IFNA(VLOOKUP($BC92,Programma!$F$3:$M$1101,8,0),"")</f>
        <v/>
      </c>
      <c r="BK92" s="411" t="str">
        <f>_xlfn.IFNA(VLOOKUP($BC92,Programma!$F$3:$N$1101,9,0),"")</f>
        <v/>
      </c>
      <c r="BL92" s="411" t="str">
        <f>_xlfn.IFNA(VLOOKUP($BC92,Programma!$F$3:$O$1101,10,0),"")</f>
        <v/>
      </c>
      <c r="BM92" s="411" t="str">
        <f>_xlfn.IFNA(VLOOKUP($BC92,Programma!$F$3:$P$1101,11,0),"")</f>
        <v/>
      </c>
      <c r="BN92" s="411" t="str">
        <f>_xlfn.IFNA(VLOOKUP($BC92,Programma!$F$3:$Q$1101,12,0),"")</f>
        <v/>
      </c>
      <c r="BO92" s="411" t="str">
        <f>_xlfn.IFNA(VLOOKUP($BC92,Programma!$F$3:$R$1101,13,0),"")</f>
        <v/>
      </c>
      <c r="BP92" s="411" t="str">
        <f>_xlfn.IFNA(VLOOKUP($BC92,Programma!$F$3:$S$1101,14,0),"")</f>
        <v/>
      </c>
      <c r="BQ92" s="411" t="str">
        <f>_xlfn.IFNA(VLOOKUP($BC92,Programma!$F$3:$T$1101,15,0),"")</f>
        <v/>
      </c>
      <c r="BR92" s="411" t="str">
        <f>_xlfn.IFNA(VLOOKUP($BC92,Programma!$F$3:$U$1101,16,0),"")</f>
        <v/>
      </c>
      <c r="BS92" s="411" t="str">
        <f>_xlfn.IFNA(VLOOKUP($BC92,Programma!$F$3:$V$1101,17,0),"")</f>
        <v/>
      </c>
      <c r="BT92" s="411" t="str">
        <f>_xlfn.IFNA(VLOOKUP($BC92,Programma!$F$3:$W$1101,18,0),"")</f>
        <v/>
      </c>
      <c r="BU92" s="411" t="str">
        <f>_xlfn.IFNA(VLOOKUP($BC92,Programma!$F$3:$X$1101,19,0),"")</f>
        <v/>
      </c>
      <c r="BV92" s="411" t="str">
        <f>_xlfn.IFNA(VLOOKUP($BC92,Programma!$F$3:$Y$1101,20,0),"")</f>
        <v/>
      </c>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FU92" s="28"/>
      <c r="FV92" s="28"/>
      <c r="FW92" s="28"/>
      <c r="FX92" s="28"/>
      <c r="FY92" s="28"/>
      <c r="FZ92" s="28"/>
      <c r="GA92" s="28"/>
      <c r="GB92" s="28"/>
      <c r="GC92" s="28"/>
      <c r="GD92" s="28"/>
      <c r="GE92" s="28"/>
      <c r="GF92" s="28"/>
      <c r="GG92" s="28"/>
      <c r="GH92" s="28"/>
      <c r="GI92" s="28"/>
      <c r="GJ92" s="28"/>
      <c r="GK92" s="28"/>
      <c r="GL92" s="28"/>
      <c r="GM92" s="28"/>
      <c r="GN92" s="28"/>
      <c r="GO92" s="28"/>
      <c r="GP92" s="28"/>
      <c r="GQ92" s="28"/>
      <c r="GR92" s="28"/>
      <c r="GS92" s="28"/>
      <c r="GT92" s="28"/>
      <c r="GU92" s="28"/>
      <c r="GV92" s="28"/>
      <c r="GW92" s="28"/>
      <c r="GX92" s="28"/>
      <c r="GY92" s="28"/>
      <c r="GZ92" s="28"/>
      <c r="HA92" s="28"/>
      <c r="HB92" s="28"/>
      <c r="HC92" s="28"/>
      <c r="HD92" s="28"/>
      <c r="HE92" s="28"/>
      <c r="HF92" s="28"/>
      <c r="HG92" s="28"/>
      <c r="HH92" s="28"/>
      <c r="HI92" s="28"/>
      <c r="HJ92" s="28"/>
      <c r="HK92" s="28"/>
    </row>
    <row r="93" spans="1:219" ht="15" customHeight="1">
      <c r="A93" s="336">
        <v>2</v>
      </c>
      <c r="B93" s="400" t="str">
        <f>VLOOKUP(Ruimtestaat[[#This Row],[Code]],Locaties[[Code]:[Locatie]],2,FALSE)</f>
        <v>Kleine Houtweg</v>
      </c>
      <c r="C93" s="400" t="str">
        <f>VLOOKUP(Ruimtestaat[[#This Row],[Code]],Locaties[[#All],[Code]:[Adres]],4,FALSE)</f>
        <v>Kleine Houtweg 18</v>
      </c>
      <c r="D93" s="400" t="str">
        <f>VLOOKUP(Ruimtestaat[[#This Row],[Code]],Locaties[[#All],[Code]:[Postcode]],5,FALSE)</f>
        <v>2012 CH</v>
      </c>
      <c r="E93" s="400" t="str">
        <f>VLOOKUP(Ruimtestaat[[#This Row],[Code]],Locaties[#All],6,FALSE)</f>
        <v>Haarlem</v>
      </c>
      <c r="F93" s="399"/>
      <c r="G93" s="399" t="s">
        <v>1639</v>
      </c>
      <c r="H93" s="401">
        <v>18</v>
      </c>
      <c r="I93" s="402" t="s">
        <v>1664</v>
      </c>
      <c r="J93" s="336">
        <v>14</v>
      </c>
      <c r="K93" s="414" t="str">
        <f>VLOOKUP(Ruimtestaat[[#This Row],[Ruimte code]],Ruimtegroepen[[#All],[Code]:[Ruimte omschrijving]],2,FALSE)</f>
        <v>Praktijklokalen</v>
      </c>
      <c r="L93" s="399" t="s">
        <v>100</v>
      </c>
      <c r="M93" s="402" t="s">
        <v>1647</v>
      </c>
      <c r="N93" s="404">
        <v>19.5</v>
      </c>
      <c r="O93" s="413"/>
      <c r="P93" s="405" t="str">
        <f>VLOOKUP(Ruimtestaat[[#This Row],[Ruimte code]],Ruimtegroepen[],4,FALSE)</f>
        <v>Le</v>
      </c>
      <c r="Q93" s="399">
        <v>51</v>
      </c>
      <c r="R93" s="399" t="s">
        <v>2</v>
      </c>
      <c r="S93" s="399">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3" s="399">
        <f>IF(S93&gt;0,VLOOKUP($J93,Ruimtegroepen[],3,FALSE)*VLOOKUP($L93,Vloersoorten[],3,FALSE)*VLOOKUP($R93,Frequenties[],3,FALSE)*VLOOKUP($A93,Locaties[],3,FALSE),0)</f>
        <v>0</v>
      </c>
      <c r="U93" s="399">
        <f>Ruimtestaat[[#This Row],[Uitvoeringen werkdagen]]*Ruimtestaat[[#This Row],[Oppervlak (netto)]]</f>
        <v>4972.5</v>
      </c>
      <c r="V93" s="406">
        <f>IF(T93&gt;0,Ruimtestaat[[#This Row],[Prest. (m2 /jaar) werkdagen]]/Ruimtestaat[[#This Row],[Norm (m2/uur) werkdagen]],0)</f>
        <v>0</v>
      </c>
      <c r="W93" s="407">
        <f>Ruimtestaat[[#This Row],[uren / jaar werkdagen]]*Tariefsopbouw!$E$35</f>
        <v>0</v>
      </c>
      <c r="X93" s="399"/>
      <c r="Y93" s="399">
        <f>IF(Ruimtestaat[[#This Row],[Frequentie weekend]]&gt;0,VALUE(LEFT(X93,1))*Q93,0)</f>
        <v>0</v>
      </c>
      <c r="Z93" s="408">
        <f>IF($Y93&gt;0,VLOOKUP($J93,Ruimtegroepen[],3,FALSE)*VLOOKUP($L93,Vloersoorten[],3,FALSE)*VLOOKUP($X93,Frequenties[],3,FALSE)*VLOOKUP(Ruimtestaat[[#This Row],[Code]],Locaties[],3,FALSE),0)</f>
        <v>0</v>
      </c>
      <c r="AA93" s="408">
        <f>Ruimtestaat[[#This Row],[Uitvoeringen weekend]]*Ruimtestaat[[#This Row],[Oppervlak (netto)]]</f>
        <v>0</v>
      </c>
      <c r="AB93" s="408">
        <f>IF(Z93&gt;0,Ruimtestaat[[#This Row],[Prest. (m2 /jaar) weekend]]/Ruimtestaat[[#This Row],[Norm (m2/uur) weekend]],0)</f>
        <v>0</v>
      </c>
      <c r="AC93" s="407">
        <f>Ruimtestaat[[#This Row],[uren / jaar weekend]]*Tariefsopbouw!$D$40</f>
        <v>0</v>
      </c>
      <c r="AD93" s="406">
        <f>Ruimtestaat[[#This Row],[Prest. (m2 /jaar) weekend]]+Ruimtestaat[[#This Row],[Prest. (m2 /jaar) werkdagen]]</f>
        <v>4972.5</v>
      </c>
      <c r="AE93" s="406">
        <f>Ruimtestaat[[#This Row],[uren / jaar weekend]]+Ruimtestaat[[#This Row],[uren / jaar werkdagen]]</f>
        <v>0</v>
      </c>
      <c r="AF93" s="409">
        <f>Ruimtestaat[[#This Row],[kosten / jaar weekend]]+Ruimtestaat[[#This Row],[kosten / jaar werkdagen]]</f>
        <v>0</v>
      </c>
      <c r="AG93" s="409"/>
      <c r="AH93" s="410" t="str">
        <f>IF(Ruimtestaat[[#This Row],[Frequentie werkdagen]]="","",_xlfn.CONCAT(Ruimtestaat[[#This Row],[Ruimte code]],"-",Ruimtestaat[[#This Row],[Frequentie werkdagen]]," ",Ruimtestaat[[#This Row],[Vloer code]]))</f>
        <v>14-5w L</v>
      </c>
      <c r="AI93" s="411" t="str">
        <f>_xlfn.IFNA(VLOOKUP($AH93,Programma!$F$3:$G$1101,2,0),"")</f>
        <v>_</v>
      </c>
      <c r="AJ93" s="411" t="str">
        <f>_xlfn.IFNA(VLOOKUP($AH93,Programma!$F$3:$H$1101,3,0),"")</f>
        <v>_</v>
      </c>
      <c r="AK93" s="411" t="str">
        <f>_xlfn.IFNA(VLOOKUP($AH93,Programma!$F$3:$I$1101,4,0),"")</f>
        <v>4w</v>
      </c>
      <c r="AL93" s="411" t="str">
        <f>_xlfn.IFNA(VLOOKUP($AH93,Programma!$F$3:$J$1101,5,0),"")</f>
        <v>1w</v>
      </c>
      <c r="AM93" s="411" t="str">
        <f>_xlfn.IFNA(VLOOKUP($AH93,Programma!$F$3:$K$1101,6,0),"")</f>
        <v>_</v>
      </c>
      <c r="AN93" s="411" t="str">
        <f>_xlfn.IFNA(VLOOKUP($AH93,Programma!$F$3:$L$1101,7,0),"")</f>
        <v>_</v>
      </c>
      <c r="AO93" s="411" t="str">
        <f>_xlfn.IFNA(VLOOKUP($AH93,Programma!$F$3:$M$1101,8,0),"")</f>
        <v>_</v>
      </c>
      <c r="AP93" s="411" t="str">
        <f>_xlfn.IFNA(VLOOKUP($AH93,Programma!$F$3:$N$1101,9,0),"")</f>
        <v>_</v>
      </c>
      <c r="AQ93" s="411" t="str">
        <f>_xlfn.IFNA(VLOOKUP($AH93,Programma!$F$3:$O$1101,10,0),"")</f>
        <v>5w</v>
      </c>
      <c r="AR93" s="411" t="str">
        <f>_xlfn.IFNA(VLOOKUP($AH93,Programma!$F$3:$P$1101,11,0),"")</f>
        <v>5w</v>
      </c>
      <c r="AS93" s="411" t="str">
        <f>_xlfn.IFNA(VLOOKUP($AH93,Programma!$F$3:$Q$1101,12,0),"")</f>
        <v>1w</v>
      </c>
      <c r="AT93" s="411" t="str">
        <f>_xlfn.IFNA(VLOOKUP($AH93,Programma!$F$3:$R$1101,13,0),"")</f>
        <v>1w</v>
      </c>
      <c r="AU93" s="411" t="str">
        <f>_xlfn.IFNA(VLOOKUP($AH93,Programma!$F$3:$S$1101,14,0),"")</f>
        <v>1m</v>
      </c>
      <c r="AV93" s="411" t="str">
        <f>_xlfn.IFNA(VLOOKUP($AH93,Programma!$F$3:$T$1101,15,0),"")</f>
        <v>2j</v>
      </c>
      <c r="AW93" s="411" t="str">
        <f>_xlfn.IFNA(VLOOKUP($AH93,Programma!$F$3:$U$1101,16,0),"")</f>
        <v>1j</v>
      </c>
      <c r="AX93" s="411" t="str">
        <f>_xlfn.IFNA(VLOOKUP($AH93,Programma!$F$3:$V$1101,17,0),"")</f>
        <v>_</v>
      </c>
      <c r="AY93" s="411" t="str">
        <f>_xlfn.IFNA(VLOOKUP($AH93,Programma!$F$3:$W$1101,18,0),"")</f>
        <v>_</v>
      </c>
      <c r="AZ93" s="411" t="str">
        <f>_xlfn.IFNA(VLOOKUP($AH93,Programma!$F$3:$X$1101,19,0),"")</f>
        <v>_</v>
      </c>
      <c r="BA93" s="411" t="str">
        <f>_xlfn.IFNA(VLOOKUP($AH93,Programma!$F$3:$Y$1101,20,0),"")</f>
        <v>_</v>
      </c>
      <c r="BB93" s="412"/>
      <c r="BC93" s="410" t="str">
        <f>IF(Ruimtestaat[[#This Row],[Frequentie weekend]]="","",_xlfn.CONCAT(Ruimtestaat[[#This Row],[Ruimte code]],"-",Ruimtestaat[[#This Row],[Frequentie weekend]]," ",Ruimtestaat[[#This Row],[Vloer code]]))</f>
        <v/>
      </c>
      <c r="BD93" s="411" t="str">
        <f>_xlfn.IFNA(VLOOKUP($BC93,Programma!$F$3:$G$1101,2,0),"")</f>
        <v/>
      </c>
      <c r="BE93" s="411" t="str">
        <f>_xlfn.IFNA(VLOOKUP($BC93,Programma!$F$3:$H$1101,3,0),"")</f>
        <v/>
      </c>
      <c r="BF93" s="411" t="str">
        <f>_xlfn.IFNA(VLOOKUP($BC93,Programma!$F$3:$I$1101,4,0),"")</f>
        <v/>
      </c>
      <c r="BG93" s="411" t="str">
        <f>_xlfn.IFNA(VLOOKUP($BC93,Programma!$F$3:$J$1101,5,0),"")</f>
        <v/>
      </c>
      <c r="BH93" s="411" t="str">
        <f>_xlfn.IFNA(VLOOKUP($BC93,Programma!$F$3:$K$1101,6,0),"")</f>
        <v/>
      </c>
      <c r="BI93" s="411" t="str">
        <f>_xlfn.IFNA(VLOOKUP($BC93,Programma!$F$3:$L$1101,7,0),"")</f>
        <v/>
      </c>
      <c r="BJ93" s="411" t="str">
        <f>_xlfn.IFNA(VLOOKUP($BC93,Programma!$F$3:$M$1101,8,0),"")</f>
        <v/>
      </c>
      <c r="BK93" s="411" t="str">
        <f>_xlfn.IFNA(VLOOKUP($BC93,Programma!$F$3:$N$1101,9,0),"")</f>
        <v/>
      </c>
      <c r="BL93" s="411" t="str">
        <f>_xlfn.IFNA(VLOOKUP($BC93,Programma!$F$3:$O$1101,10,0),"")</f>
        <v/>
      </c>
      <c r="BM93" s="411" t="str">
        <f>_xlfn.IFNA(VLOOKUP($BC93,Programma!$F$3:$P$1101,11,0),"")</f>
        <v/>
      </c>
      <c r="BN93" s="411" t="str">
        <f>_xlfn.IFNA(VLOOKUP($BC93,Programma!$F$3:$Q$1101,12,0),"")</f>
        <v/>
      </c>
      <c r="BO93" s="411" t="str">
        <f>_xlfn.IFNA(VLOOKUP($BC93,Programma!$F$3:$R$1101,13,0),"")</f>
        <v/>
      </c>
      <c r="BP93" s="411" t="str">
        <f>_xlfn.IFNA(VLOOKUP($BC93,Programma!$F$3:$S$1101,14,0),"")</f>
        <v/>
      </c>
      <c r="BQ93" s="411" t="str">
        <f>_xlfn.IFNA(VLOOKUP($BC93,Programma!$F$3:$T$1101,15,0),"")</f>
        <v/>
      </c>
      <c r="BR93" s="411" t="str">
        <f>_xlfn.IFNA(VLOOKUP($BC93,Programma!$F$3:$U$1101,16,0),"")</f>
        <v/>
      </c>
      <c r="BS93" s="411" t="str">
        <f>_xlfn.IFNA(VLOOKUP($BC93,Programma!$F$3:$V$1101,17,0),"")</f>
        <v/>
      </c>
      <c r="BT93" s="411" t="str">
        <f>_xlfn.IFNA(VLOOKUP($BC93,Programma!$F$3:$W$1101,18,0),"")</f>
        <v/>
      </c>
      <c r="BU93" s="411" t="str">
        <f>_xlfn.IFNA(VLOOKUP($BC93,Programma!$F$3:$X$1101,19,0),"")</f>
        <v/>
      </c>
      <c r="BV93" s="411" t="str">
        <f>_xlfn.IFNA(VLOOKUP($BC93,Programma!$F$3:$Y$1101,20,0),"")</f>
        <v/>
      </c>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c r="EO93" s="28"/>
      <c r="EP93" s="28"/>
      <c r="EQ93" s="28"/>
      <c r="ER93" s="28"/>
      <c r="ES93" s="28"/>
      <c r="ET93" s="28"/>
      <c r="EU93" s="28"/>
      <c r="EV93" s="28"/>
      <c r="EW93" s="28"/>
      <c r="EX93" s="28"/>
      <c r="EY93" s="28"/>
      <c r="EZ93" s="28"/>
      <c r="FA93" s="28"/>
      <c r="FB93" s="28"/>
      <c r="FC93" s="28"/>
      <c r="FD93" s="28"/>
      <c r="FE93" s="28"/>
      <c r="FF93" s="28"/>
      <c r="FG93" s="28"/>
      <c r="FH93" s="28"/>
      <c r="FI93" s="28"/>
      <c r="FJ93" s="28"/>
      <c r="FK93" s="28"/>
      <c r="FL93" s="28"/>
      <c r="FM93" s="28"/>
      <c r="FN93" s="28"/>
      <c r="FO93" s="28"/>
      <c r="FP93" s="28"/>
      <c r="FQ93" s="28"/>
      <c r="FR93" s="28"/>
      <c r="FS93" s="28"/>
      <c r="FT93" s="28"/>
      <c r="FU93" s="28"/>
      <c r="FV93" s="28"/>
      <c r="FW93" s="28"/>
      <c r="FX93" s="28"/>
      <c r="FY93" s="28"/>
      <c r="FZ93" s="28"/>
      <c r="GA93" s="28"/>
      <c r="GB93" s="28"/>
      <c r="GC93" s="28"/>
      <c r="GD93" s="28"/>
      <c r="GE93" s="28"/>
      <c r="GF93" s="28"/>
      <c r="GG93" s="28"/>
      <c r="GH93" s="28"/>
      <c r="GI93" s="28"/>
      <c r="GJ93" s="28"/>
      <c r="GK93" s="28"/>
      <c r="GL93" s="28"/>
      <c r="GM93" s="28"/>
      <c r="GN93" s="28"/>
      <c r="GO93" s="28"/>
      <c r="GP93" s="28"/>
      <c r="GQ93" s="28"/>
      <c r="GR93" s="28"/>
      <c r="GS93" s="28"/>
      <c r="GT93" s="28"/>
      <c r="GU93" s="28"/>
      <c r="GV93" s="28"/>
      <c r="GW93" s="28"/>
      <c r="GX93" s="28"/>
      <c r="GY93" s="28"/>
      <c r="GZ93" s="28"/>
      <c r="HA93" s="28"/>
      <c r="HB93" s="28"/>
      <c r="HC93" s="28"/>
      <c r="HD93" s="28"/>
      <c r="HE93" s="28"/>
      <c r="HF93" s="28"/>
      <c r="HG93" s="28"/>
      <c r="HH93" s="28"/>
      <c r="HI93" s="28"/>
      <c r="HJ93" s="28"/>
      <c r="HK93" s="28"/>
    </row>
    <row r="94" spans="1:219" ht="15" customHeight="1">
      <c r="A94" s="336">
        <v>2</v>
      </c>
      <c r="B94" s="400" t="str">
        <f>VLOOKUP(Ruimtestaat[[#This Row],[Code]],Locaties[[Code]:[Locatie]],2,FALSE)</f>
        <v>Kleine Houtweg</v>
      </c>
      <c r="C94" s="400" t="str">
        <f>VLOOKUP(Ruimtestaat[[#This Row],[Code]],Locaties[[#All],[Code]:[Adres]],4,FALSE)</f>
        <v>Kleine Houtweg 18</v>
      </c>
      <c r="D94" s="400" t="str">
        <f>VLOOKUP(Ruimtestaat[[#This Row],[Code]],Locaties[[#All],[Code]:[Postcode]],5,FALSE)</f>
        <v>2012 CH</v>
      </c>
      <c r="E94" s="400" t="str">
        <f>VLOOKUP(Ruimtestaat[[#This Row],[Code]],Locaties[#All],6,FALSE)</f>
        <v>Haarlem</v>
      </c>
      <c r="F94" s="399"/>
      <c r="G94" s="399" t="s">
        <v>1639</v>
      </c>
      <c r="H94" s="401">
        <v>19</v>
      </c>
      <c r="I94" s="402" t="s">
        <v>1686</v>
      </c>
      <c r="J94" s="336">
        <v>2</v>
      </c>
      <c r="K94" s="414" t="str">
        <f>VLOOKUP(Ruimtestaat[[#This Row],[Ruimte code]],Ruimtegroepen[[#All],[Code]:[Ruimte omschrijving]],2,FALSE)</f>
        <v>Kantoren</v>
      </c>
      <c r="L94" s="399" t="s">
        <v>101</v>
      </c>
      <c r="M94" s="402" t="s">
        <v>1661</v>
      </c>
      <c r="N94" s="404">
        <v>28.5</v>
      </c>
      <c r="O94" s="413"/>
      <c r="P94" s="405" t="str">
        <f>VLOOKUP(Ruimtestaat[[#This Row],[Ruimte code]],Ruimtegroepen[],4,FALSE)</f>
        <v>Bu</v>
      </c>
      <c r="Q94" s="399">
        <v>51</v>
      </c>
      <c r="R94" s="399" t="s">
        <v>18</v>
      </c>
      <c r="S94" s="399">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94" s="399">
        <f>IF(S94&gt;0,VLOOKUP($J94,Ruimtegroepen[],3,FALSE)*VLOOKUP($L94,Vloersoorten[],3,FALSE)*VLOOKUP($R94,Frequenties[],3,FALSE)*VLOOKUP($A94,Locaties[],3,FALSE),0)</f>
        <v>0</v>
      </c>
      <c r="U94" s="399">
        <f>Ruimtestaat[[#This Row],[Uitvoeringen werkdagen]]*Ruimtestaat[[#This Row],[Oppervlak (netto)]]</f>
        <v>4360.5</v>
      </c>
      <c r="V94" s="406">
        <f>IF(T94&gt;0,Ruimtestaat[[#This Row],[Prest. (m2 /jaar) werkdagen]]/Ruimtestaat[[#This Row],[Norm (m2/uur) werkdagen]],0)</f>
        <v>0</v>
      </c>
      <c r="W94" s="407">
        <f>Ruimtestaat[[#This Row],[uren / jaar werkdagen]]*Tariefsopbouw!$E$35</f>
        <v>0</v>
      </c>
      <c r="X94" s="399"/>
      <c r="Y94" s="399">
        <f>IF(Ruimtestaat[[#This Row],[Frequentie weekend]]&gt;0,VALUE(LEFT(X94,1))*Q94,0)</f>
        <v>0</v>
      </c>
      <c r="Z94" s="408">
        <f>IF($Y94&gt;0,VLOOKUP($J94,Ruimtegroepen[],3,FALSE)*VLOOKUP($L94,Vloersoorten[],3,FALSE)*VLOOKUP($X94,Frequenties[],3,FALSE)*VLOOKUP(Ruimtestaat[[#This Row],[Code]],Locaties[],3,FALSE),0)</f>
        <v>0</v>
      </c>
      <c r="AA94" s="408">
        <f>Ruimtestaat[[#This Row],[Uitvoeringen weekend]]*Ruimtestaat[[#This Row],[Oppervlak (netto)]]</f>
        <v>0</v>
      </c>
      <c r="AB94" s="408">
        <f>IF(Z94&gt;0,Ruimtestaat[[#This Row],[Prest. (m2 /jaar) weekend]]/Ruimtestaat[[#This Row],[Norm (m2/uur) weekend]],0)</f>
        <v>0</v>
      </c>
      <c r="AC94" s="407">
        <f>Ruimtestaat[[#This Row],[uren / jaar weekend]]*Tariefsopbouw!$D$40</f>
        <v>0</v>
      </c>
      <c r="AD94" s="406">
        <f>Ruimtestaat[[#This Row],[Prest. (m2 /jaar) weekend]]+Ruimtestaat[[#This Row],[Prest. (m2 /jaar) werkdagen]]</f>
        <v>4360.5</v>
      </c>
      <c r="AE94" s="406">
        <f>Ruimtestaat[[#This Row],[uren / jaar weekend]]+Ruimtestaat[[#This Row],[uren / jaar werkdagen]]</f>
        <v>0</v>
      </c>
      <c r="AF94" s="409">
        <f>Ruimtestaat[[#This Row],[kosten / jaar weekend]]+Ruimtestaat[[#This Row],[kosten / jaar werkdagen]]</f>
        <v>0</v>
      </c>
      <c r="AG94" s="409"/>
      <c r="AH94" s="410" t="str">
        <f>IF(Ruimtestaat[[#This Row],[Frequentie werkdagen]]="","",_xlfn.CONCAT(Ruimtestaat[[#This Row],[Ruimte code]],"-",Ruimtestaat[[#This Row],[Frequentie werkdagen]]," ",Ruimtestaat[[#This Row],[Vloer code]]))</f>
        <v>2-3w S</v>
      </c>
      <c r="AI94" s="411" t="str">
        <f>_xlfn.IFNA(VLOOKUP($AH94,Programma!$F$3:$G$1101,2,0),"")</f>
        <v>_</v>
      </c>
      <c r="AJ94" s="411" t="str">
        <f>_xlfn.IFNA(VLOOKUP($AH94,Programma!$F$3:$H$1101,3,0),"")</f>
        <v>_</v>
      </c>
      <c r="AK94" s="411" t="str">
        <f>_xlfn.IFNA(VLOOKUP($AH94,Programma!$F$3:$I$1101,4,0),"")</f>
        <v>2w</v>
      </c>
      <c r="AL94" s="411" t="str">
        <f>_xlfn.IFNA(VLOOKUP($AH94,Programma!$F$3:$J$1101,5,0),"")</f>
        <v>1w</v>
      </c>
      <c r="AM94" s="411" t="str">
        <f>_xlfn.IFNA(VLOOKUP($AH94,Programma!$F$3:$K$1101,6,0),"")</f>
        <v>1j</v>
      </c>
      <c r="AN94" s="411" t="str">
        <f>_xlfn.IFNA(VLOOKUP($AH94,Programma!$F$3:$L$1101,7,0),"")</f>
        <v>_</v>
      </c>
      <c r="AO94" s="411" t="str">
        <f>_xlfn.IFNA(VLOOKUP($AH94,Programma!$F$3:$M$1101,8,0),"")</f>
        <v>_</v>
      </c>
      <c r="AP94" s="411" t="str">
        <f>_xlfn.IFNA(VLOOKUP($AH94,Programma!$F$3:$N$1101,9,0),"")</f>
        <v>_</v>
      </c>
      <c r="AQ94" s="411" t="str">
        <f>_xlfn.IFNA(VLOOKUP($AH94,Programma!$F$3:$O$1101,10,0),"")</f>
        <v>3w</v>
      </c>
      <c r="AR94" s="411" t="str">
        <f>_xlfn.IFNA(VLOOKUP($AH94,Programma!$F$3:$P$1101,11,0),"")</f>
        <v>3w</v>
      </c>
      <c r="AS94" s="411" t="str">
        <f>_xlfn.IFNA(VLOOKUP($AH94,Programma!$F$3:$Q$1101,12,0),"")</f>
        <v>1w</v>
      </c>
      <c r="AT94" s="411" t="str">
        <f>_xlfn.IFNA(VLOOKUP($AH94,Programma!$F$3:$R$1101,13,0),"")</f>
        <v>1w</v>
      </c>
      <c r="AU94" s="411" t="str">
        <f>_xlfn.IFNA(VLOOKUP($AH94,Programma!$F$3:$S$1101,14,0),"")</f>
        <v>1m</v>
      </c>
      <c r="AV94" s="411" t="str">
        <f>_xlfn.IFNA(VLOOKUP($AH94,Programma!$F$3:$T$1101,15,0),"")</f>
        <v>2j</v>
      </c>
      <c r="AW94" s="411" t="str">
        <f>_xlfn.IFNA(VLOOKUP($AH94,Programma!$F$3:$U$1101,16,0),"")</f>
        <v>1j</v>
      </c>
      <c r="AX94" s="411" t="str">
        <f>_xlfn.IFNA(VLOOKUP($AH94,Programma!$F$3:$V$1101,17,0),"")</f>
        <v>_</v>
      </c>
      <c r="AY94" s="411" t="str">
        <f>_xlfn.IFNA(VLOOKUP($AH94,Programma!$F$3:$W$1101,18,0),"")</f>
        <v>_</v>
      </c>
      <c r="AZ94" s="411" t="str">
        <f>_xlfn.IFNA(VLOOKUP($AH94,Programma!$F$3:$X$1101,19,0),"")</f>
        <v>_</v>
      </c>
      <c r="BA94" s="411" t="str">
        <f>_xlfn.IFNA(VLOOKUP($AH94,Programma!$F$3:$Y$1101,20,0),"")</f>
        <v>_</v>
      </c>
      <c r="BB94" s="412"/>
      <c r="BC94" s="410" t="str">
        <f>IF(Ruimtestaat[[#This Row],[Frequentie weekend]]="","",_xlfn.CONCAT(Ruimtestaat[[#This Row],[Ruimte code]],"-",Ruimtestaat[[#This Row],[Frequentie weekend]]," ",Ruimtestaat[[#This Row],[Vloer code]]))</f>
        <v/>
      </c>
      <c r="BD94" s="411" t="str">
        <f>_xlfn.IFNA(VLOOKUP($BC94,Programma!$F$3:$G$1101,2,0),"")</f>
        <v/>
      </c>
      <c r="BE94" s="411" t="str">
        <f>_xlfn.IFNA(VLOOKUP($BC94,Programma!$F$3:$H$1101,3,0),"")</f>
        <v/>
      </c>
      <c r="BF94" s="411" t="str">
        <f>_xlfn.IFNA(VLOOKUP($BC94,Programma!$F$3:$I$1101,4,0),"")</f>
        <v/>
      </c>
      <c r="BG94" s="411" t="str">
        <f>_xlfn.IFNA(VLOOKUP($BC94,Programma!$F$3:$J$1101,5,0),"")</f>
        <v/>
      </c>
      <c r="BH94" s="411" t="str">
        <f>_xlfn.IFNA(VLOOKUP($BC94,Programma!$F$3:$K$1101,6,0),"")</f>
        <v/>
      </c>
      <c r="BI94" s="411" t="str">
        <f>_xlfn.IFNA(VLOOKUP($BC94,Programma!$F$3:$L$1101,7,0),"")</f>
        <v/>
      </c>
      <c r="BJ94" s="411" t="str">
        <f>_xlfn.IFNA(VLOOKUP($BC94,Programma!$F$3:$M$1101,8,0),"")</f>
        <v/>
      </c>
      <c r="BK94" s="411" t="str">
        <f>_xlfn.IFNA(VLOOKUP($BC94,Programma!$F$3:$N$1101,9,0),"")</f>
        <v/>
      </c>
      <c r="BL94" s="411" t="str">
        <f>_xlfn.IFNA(VLOOKUP($BC94,Programma!$F$3:$O$1101,10,0),"")</f>
        <v/>
      </c>
      <c r="BM94" s="411" t="str">
        <f>_xlfn.IFNA(VLOOKUP($BC94,Programma!$F$3:$P$1101,11,0),"")</f>
        <v/>
      </c>
      <c r="BN94" s="411" t="str">
        <f>_xlfn.IFNA(VLOOKUP($BC94,Programma!$F$3:$Q$1101,12,0),"")</f>
        <v/>
      </c>
      <c r="BO94" s="411" t="str">
        <f>_xlfn.IFNA(VLOOKUP($BC94,Programma!$F$3:$R$1101,13,0),"")</f>
        <v/>
      </c>
      <c r="BP94" s="411" t="str">
        <f>_xlfn.IFNA(VLOOKUP($BC94,Programma!$F$3:$S$1101,14,0),"")</f>
        <v/>
      </c>
      <c r="BQ94" s="411" t="str">
        <f>_xlfn.IFNA(VLOOKUP($BC94,Programma!$F$3:$T$1101,15,0),"")</f>
        <v/>
      </c>
      <c r="BR94" s="411" t="str">
        <f>_xlfn.IFNA(VLOOKUP($BC94,Programma!$F$3:$U$1101,16,0),"")</f>
        <v/>
      </c>
      <c r="BS94" s="411" t="str">
        <f>_xlfn.IFNA(VLOOKUP($BC94,Programma!$F$3:$V$1101,17,0),"")</f>
        <v/>
      </c>
      <c r="BT94" s="411" t="str">
        <f>_xlfn.IFNA(VLOOKUP($BC94,Programma!$F$3:$W$1101,18,0),"")</f>
        <v/>
      </c>
      <c r="BU94" s="411" t="str">
        <f>_xlfn.IFNA(VLOOKUP($BC94,Programma!$F$3:$X$1101,19,0),"")</f>
        <v/>
      </c>
      <c r="BV94" s="411" t="str">
        <f>_xlfn.IFNA(VLOOKUP($BC94,Programma!$F$3:$Y$1101,20,0),"")</f>
        <v/>
      </c>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c r="EV94" s="28"/>
      <c r="EW94" s="28"/>
      <c r="EX94" s="28"/>
      <c r="EY94" s="28"/>
      <c r="EZ94" s="28"/>
      <c r="FA94" s="28"/>
      <c r="FB94" s="28"/>
      <c r="FC94" s="28"/>
      <c r="FD94" s="28"/>
      <c r="FE94" s="28"/>
      <c r="FF94" s="28"/>
      <c r="FG94" s="28"/>
      <c r="FH94" s="28"/>
      <c r="FI94" s="28"/>
      <c r="FJ94" s="28"/>
      <c r="FK94" s="28"/>
      <c r="FL94" s="28"/>
      <c r="FM94" s="28"/>
      <c r="FN94" s="28"/>
      <c r="FO94" s="28"/>
      <c r="FP94" s="28"/>
      <c r="FQ94" s="28"/>
      <c r="FR94" s="28"/>
      <c r="FS94" s="28"/>
      <c r="FT94" s="28"/>
      <c r="FU94" s="28"/>
      <c r="FV94" s="28"/>
      <c r="FW94" s="28"/>
      <c r="FX94" s="28"/>
      <c r="FY94" s="28"/>
      <c r="FZ94" s="28"/>
      <c r="GA94" s="28"/>
      <c r="GB94" s="28"/>
      <c r="GC94" s="28"/>
      <c r="GD94" s="28"/>
      <c r="GE94" s="28"/>
      <c r="GF94" s="28"/>
      <c r="GG94" s="28"/>
      <c r="GH94" s="28"/>
      <c r="GI94" s="28"/>
      <c r="GJ94" s="28"/>
      <c r="GK94" s="28"/>
      <c r="GL94" s="28"/>
      <c r="GM94" s="28"/>
      <c r="GN94" s="28"/>
      <c r="GO94" s="28"/>
      <c r="GP94" s="28"/>
      <c r="GQ94" s="28"/>
      <c r="GR94" s="28"/>
      <c r="GS94" s="28"/>
      <c r="GT94" s="28"/>
      <c r="GU94" s="28"/>
      <c r="GV94" s="28"/>
      <c r="GW94" s="28"/>
      <c r="GX94" s="28"/>
      <c r="GY94" s="28"/>
      <c r="GZ94" s="28"/>
      <c r="HA94" s="28"/>
      <c r="HB94" s="28"/>
      <c r="HC94" s="28"/>
      <c r="HD94" s="28"/>
      <c r="HE94" s="28"/>
      <c r="HF94" s="28"/>
      <c r="HG94" s="28"/>
      <c r="HH94" s="28"/>
      <c r="HI94" s="28"/>
      <c r="HJ94" s="28"/>
      <c r="HK94" s="28"/>
    </row>
    <row r="95" spans="1:219" ht="15" customHeight="1">
      <c r="A95" s="336">
        <v>2</v>
      </c>
      <c r="B95" s="400" t="str">
        <f>VLOOKUP(Ruimtestaat[[#This Row],[Code]],Locaties[[Code]:[Locatie]],2,FALSE)</f>
        <v>Kleine Houtweg</v>
      </c>
      <c r="C95" s="400" t="str">
        <f>VLOOKUP(Ruimtestaat[[#This Row],[Code]],Locaties[[#All],[Code]:[Adres]],4,FALSE)</f>
        <v>Kleine Houtweg 18</v>
      </c>
      <c r="D95" s="400" t="str">
        <f>VLOOKUP(Ruimtestaat[[#This Row],[Code]],Locaties[[#All],[Code]:[Postcode]],5,FALSE)</f>
        <v>2012 CH</v>
      </c>
      <c r="E95" s="400" t="str">
        <f>VLOOKUP(Ruimtestaat[[#This Row],[Code]],Locaties[#All],6,FALSE)</f>
        <v>Haarlem</v>
      </c>
      <c r="F95" s="399"/>
      <c r="G95" s="399" t="s">
        <v>1639</v>
      </c>
      <c r="H95" s="401">
        <v>20</v>
      </c>
      <c r="I95" s="402" t="s">
        <v>1642</v>
      </c>
      <c r="J95" s="336">
        <v>6</v>
      </c>
      <c r="K95" s="414" t="str">
        <f>VLOOKUP(Ruimtestaat[[#This Row],[Ruimte code]],Ruimtegroepen[[#All],[Code]:[Ruimte omschrijving]],2,FALSE)</f>
        <v>Gangen/hallen</v>
      </c>
      <c r="L95" s="399" t="s">
        <v>101</v>
      </c>
      <c r="M95" s="402" t="s">
        <v>1661</v>
      </c>
      <c r="N95" s="404">
        <v>19.2</v>
      </c>
      <c r="O95" s="413"/>
      <c r="P95" s="405" t="str">
        <f>VLOOKUP(Ruimtestaat[[#This Row],[Ruimte code]],Ruimtegroepen[],4,FALSE)</f>
        <v>Ve</v>
      </c>
      <c r="Q95" s="399">
        <v>51</v>
      </c>
      <c r="R95" s="399" t="s">
        <v>2</v>
      </c>
      <c r="S95" s="399">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5" s="399">
        <f>IF(S95&gt;0,VLOOKUP($J95,Ruimtegroepen[],3,FALSE)*VLOOKUP($L95,Vloersoorten[],3,FALSE)*VLOOKUP($R95,Frequenties[],3,FALSE)*VLOOKUP($A95,Locaties[],3,FALSE),0)</f>
        <v>0</v>
      </c>
      <c r="U95" s="399">
        <f>Ruimtestaat[[#This Row],[Uitvoeringen werkdagen]]*Ruimtestaat[[#This Row],[Oppervlak (netto)]]</f>
        <v>4896</v>
      </c>
      <c r="V95" s="406">
        <f>IF(T95&gt;0,Ruimtestaat[[#This Row],[Prest. (m2 /jaar) werkdagen]]/Ruimtestaat[[#This Row],[Norm (m2/uur) werkdagen]],0)</f>
        <v>0</v>
      </c>
      <c r="W95" s="407">
        <f>Ruimtestaat[[#This Row],[uren / jaar werkdagen]]*Tariefsopbouw!$E$35</f>
        <v>0</v>
      </c>
      <c r="X95" s="399"/>
      <c r="Y95" s="399">
        <f>IF(Ruimtestaat[[#This Row],[Frequentie weekend]]&gt;0,VALUE(LEFT(X95,1))*Q95,0)</f>
        <v>0</v>
      </c>
      <c r="Z95" s="408">
        <f>IF($Y95&gt;0,VLOOKUP($J95,Ruimtegroepen[],3,FALSE)*VLOOKUP($L95,Vloersoorten[],3,FALSE)*VLOOKUP($X95,Frequenties[],3,FALSE)*VLOOKUP(Ruimtestaat[[#This Row],[Code]],Locaties[],3,FALSE),0)</f>
        <v>0</v>
      </c>
      <c r="AA95" s="408">
        <f>Ruimtestaat[[#This Row],[Uitvoeringen weekend]]*Ruimtestaat[[#This Row],[Oppervlak (netto)]]</f>
        <v>0</v>
      </c>
      <c r="AB95" s="408">
        <f>IF(Z95&gt;0,Ruimtestaat[[#This Row],[Prest. (m2 /jaar) weekend]]/Ruimtestaat[[#This Row],[Norm (m2/uur) weekend]],0)</f>
        <v>0</v>
      </c>
      <c r="AC95" s="407">
        <f>Ruimtestaat[[#This Row],[uren / jaar weekend]]*Tariefsopbouw!$D$40</f>
        <v>0</v>
      </c>
      <c r="AD95" s="406">
        <f>Ruimtestaat[[#This Row],[Prest. (m2 /jaar) weekend]]+Ruimtestaat[[#This Row],[Prest. (m2 /jaar) werkdagen]]</f>
        <v>4896</v>
      </c>
      <c r="AE95" s="406">
        <f>Ruimtestaat[[#This Row],[uren / jaar weekend]]+Ruimtestaat[[#This Row],[uren / jaar werkdagen]]</f>
        <v>0</v>
      </c>
      <c r="AF95" s="409">
        <f>Ruimtestaat[[#This Row],[kosten / jaar weekend]]+Ruimtestaat[[#This Row],[kosten / jaar werkdagen]]</f>
        <v>0</v>
      </c>
      <c r="AG95" s="409"/>
      <c r="AH95" s="410" t="str">
        <f>IF(Ruimtestaat[[#This Row],[Frequentie werkdagen]]="","",_xlfn.CONCAT(Ruimtestaat[[#This Row],[Ruimte code]],"-",Ruimtestaat[[#This Row],[Frequentie werkdagen]]," ",Ruimtestaat[[#This Row],[Vloer code]]))</f>
        <v>6-5w S</v>
      </c>
      <c r="AI95" s="411" t="str">
        <f>_xlfn.IFNA(VLOOKUP($AH95,Programma!$F$3:$G$1101,2,0),"")</f>
        <v>_</v>
      </c>
      <c r="AJ95" s="411" t="str">
        <f>_xlfn.IFNA(VLOOKUP($AH95,Programma!$F$3:$H$1101,3,0),"")</f>
        <v>_</v>
      </c>
      <c r="AK95" s="411" t="str">
        <f>_xlfn.IFNA(VLOOKUP($AH95,Programma!$F$3:$I$1101,4,0),"")</f>
        <v>5w</v>
      </c>
      <c r="AL95" s="411" t="str">
        <f>_xlfn.IFNA(VLOOKUP($AH95,Programma!$F$3:$J$1101,5,0),"")</f>
        <v>_</v>
      </c>
      <c r="AM95" s="411" t="str">
        <f>_xlfn.IFNA(VLOOKUP($AH95,Programma!$F$3:$K$1101,6,0),"")</f>
        <v>5w</v>
      </c>
      <c r="AN95" s="411" t="str">
        <f>_xlfn.IFNA(VLOOKUP($AH95,Programma!$F$3:$L$1101,7,0),"")</f>
        <v>_</v>
      </c>
      <c r="AO95" s="411" t="str">
        <f>_xlfn.IFNA(VLOOKUP($AH95,Programma!$F$3:$M$1101,8,0),"")</f>
        <v>_</v>
      </c>
      <c r="AP95" s="411" t="str">
        <f>_xlfn.IFNA(VLOOKUP($AH95,Programma!$F$3:$N$1101,9,0),"")</f>
        <v>_</v>
      </c>
      <c r="AQ95" s="411" t="str">
        <f>_xlfn.IFNA(VLOOKUP($AH95,Programma!$F$3:$O$1101,10,0),"")</f>
        <v>5w</v>
      </c>
      <c r="AR95" s="411" t="str">
        <f>_xlfn.IFNA(VLOOKUP($AH95,Programma!$F$3:$P$1101,11,0),"")</f>
        <v>5w</v>
      </c>
      <c r="AS95" s="411" t="str">
        <f>_xlfn.IFNA(VLOOKUP($AH95,Programma!$F$3:$Q$1101,12,0),"")</f>
        <v>1w</v>
      </c>
      <c r="AT95" s="411" t="str">
        <f>_xlfn.IFNA(VLOOKUP($AH95,Programma!$F$3:$R$1101,13,0),"")</f>
        <v>1w</v>
      </c>
      <c r="AU95" s="411" t="str">
        <f>_xlfn.IFNA(VLOOKUP($AH95,Programma!$F$3:$S$1101,14,0),"")</f>
        <v>1m</v>
      </c>
      <c r="AV95" s="411" t="str">
        <f>_xlfn.IFNA(VLOOKUP($AH95,Programma!$F$3:$T$1101,15,0),"")</f>
        <v>2j</v>
      </c>
      <c r="AW95" s="411" t="str">
        <f>_xlfn.IFNA(VLOOKUP($AH95,Programma!$F$3:$U$1101,16,0),"")</f>
        <v>1j</v>
      </c>
      <c r="AX95" s="411" t="str">
        <f>_xlfn.IFNA(VLOOKUP($AH95,Programma!$F$3:$V$1101,17,0),"")</f>
        <v>_</v>
      </c>
      <c r="AY95" s="411" t="str">
        <f>_xlfn.IFNA(VLOOKUP($AH95,Programma!$F$3:$W$1101,18,0),"")</f>
        <v>_</v>
      </c>
      <c r="AZ95" s="411" t="str">
        <f>_xlfn.IFNA(VLOOKUP($AH95,Programma!$F$3:$X$1101,19,0),"")</f>
        <v>_</v>
      </c>
      <c r="BA95" s="411" t="str">
        <f>_xlfn.IFNA(VLOOKUP($AH95,Programma!$F$3:$Y$1101,20,0),"")</f>
        <v>_</v>
      </c>
      <c r="BB95" s="412"/>
      <c r="BC95" s="410" t="str">
        <f>IF(Ruimtestaat[[#This Row],[Frequentie weekend]]="","",_xlfn.CONCAT(Ruimtestaat[[#This Row],[Ruimte code]],"-",Ruimtestaat[[#This Row],[Frequentie weekend]]," ",Ruimtestaat[[#This Row],[Vloer code]]))</f>
        <v/>
      </c>
      <c r="BD95" s="411" t="str">
        <f>_xlfn.IFNA(VLOOKUP($BC95,Programma!$F$3:$G$1101,2,0),"")</f>
        <v/>
      </c>
      <c r="BE95" s="411" t="str">
        <f>_xlfn.IFNA(VLOOKUP($BC95,Programma!$F$3:$H$1101,3,0),"")</f>
        <v/>
      </c>
      <c r="BF95" s="411" t="str">
        <f>_xlfn.IFNA(VLOOKUP($BC95,Programma!$F$3:$I$1101,4,0),"")</f>
        <v/>
      </c>
      <c r="BG95" s="411" t="str">
        <f>_xlfn.IFNA(VLOOKUP($BC95,Programma!$F$3:$J$1101,5,0),"")</f>
        <v/>
      </c>
      <c r="BH95" s="411" t="str">
        <f>_xlfn.IFNA(VLOOKUP($BC95,Programma!$F$3:$K$1101,6,0),"")</f>
        <v/>
      </c>
      <c r="BI95" s="411" t="str">
        <f>_xlfn.IFNA(VLOOKUP($BC95,Programma!$F$3:$L$1101,7,0),"")</f>
        <v/>
      </c>
      <c r="BJ95" s="411" t="str">
        <f>_xlfn.IFNA(VLOOKUP($BC95,Programma!$F$3:$M$1101,8,0),"")</f>
        <v/>
      </c>
      <c r="BK95" s="411" t="str">
        <f>_xlfn.IFNA(VLOOKUP($BC95,Programma!$F$3:$N$1101,9,0),"")</f>
        <v/>
      </c>
      <c r="BL95" s="411" t="str">
        <f>_xlfn.IFNA(VLOOKUP($BC95,Programma!$F$3:$O$1101,10,0),"")</f>
        <v/>
      </c>
      <c r="BM95" s="411" t="str">
        <f>_xlfn.IFNA(VLOOKUP($BC95,Programma!$F$3:$P$1101,11,0),"")</f>
        <v/>
      </c>
      <c r="BN95" s="411" t="str">
        <f>_xlfn.IFNA(VLOOKUP($BC95,Programma!$F$3:$Q$1101,12,0),"")</f>
        <v/>
      </c>
      <c r="BO95" s="411" t="str">
        <f>_xlfn.IFNA(VLOOKUP($BC95,Programma!$F$3:$R$1101,13,0),"")</f>
        <v/>
      </c>
      <c r="BP95" s="411" t="str">
        <f>_xlfn.IFNA(VLOOKUP($BC95,Programma!$F$3:$S$1101,14,0),"")</f>
        <v/>
      </c>
      <c r="BQ95" s="411" t="str">
        <f>_xlfn.IFNA(VLOOKUP($BC95,Programma!$F$3:$T$1101,15,0),"")</f>
        <v/>
      </c>
      <c r="BR95" s="411" t="str">
        <f>_xlfn.IFNA(VLOOKUP($BC95,Programma!$F$3:$U$1101,16,0),"")</f>
        <v/>
      </c>
      <c r="BS95" s="411" t="str">
        <f>_xlfn.IFNA(VLOOKUP($BC95,Programma!$F$3:$V$1101,17,0),"")</f>
        <v/>
      </c>
      <c r="BT95" s="411" t="str">
        <f>_xlfn.IFNA(VLOOKUP($BC95,Programma!$F$3:$W$1101,18,0),"")</f>
        <v/>
      </c>
      <c r="BU95" s="411" t="str">
        <f>_xlfn.IFNA(VLOOKUP($BC95,Programma!$F$3:$X$1101,19,0),"")</f>
        <v/>
      </c>
      <c r="BV95" s="411" t="str">
        <f>_xlfn.IFNA(VLOOKUP($BC95,Programma!$F$3:$Y$1101,20,0),"")</f>
        <v/>
      </c>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FZ95" s="28"/>
      <c r="GA95" s="28"/>
      <c r="GB95" s="28"/>
      <c r="GC95" s="28"/>
      <c r="GD95" s="28"/>
      <c r="GE95" s="28"/>
      <c r="GF95" s="28"/>
      <c r="GG95" s="28"/>
      <c r="GH95" s="28"/>
      <c r="GI95" s="28"/>
      <c r="GJ95" s="28"/>
      <c r="GK95" s="28"/>
      <c r="GL95" s="28"/>
      <c r="GM95" s="28"/>
      <c r="GN95" s="28"/>
      <c r="GO95" s="28"/>
      <c r="GP95" s="28"/>
      <c r="GQ95" s="28"/>
      <c r="GR95" s="28"/>
      <c r="GS95" s="28"/>
      <c r="GT95" s="28"/>
      <c r="GU95" s="28"/>
      <c r="GV95" s="28"/>
      <c r="GW95" s="28"/>
      <c r="GX95" s="28"/>
      <c r="GY95" s="28"/>
      <c r="GZ95" s="28"/>
      <c r="HA95" s="28"/>
      <c r="HB95" s="28"/>
      <c r="HC95" s="28"/>
      <c r="HD95" s="28"/>
      <c r="HE95" s="28"/>
      <c r="HF95" s="28"/>
      <c r="HG95" s="28"/>
      <c r="HH95" s="28"/>
      <c r="HI95" s="28"/>
      <c r="HJ95" s="28"/>
      <c r="HK95" s="28"/>
    </row>
    <row r="96" spans="1:219" ht="15" customHeight="1">
      <c r="A96" s="336">
        <v>2</v>
      </c>
      <c r="B96" s="400" t="str">
        <f>VLOOKUP(Ruimtestaat[[#This Row],[Code]],Locaties[[Code]:[Locatie]],2,FALSE)</f>
        <v>Kleine Houtweg</v>
      </c>
      <c r="C96" s="400" t="str">
        <f>VLOOKUP(Ruimtestaat[[#This Row],[Code]],Locaties[[#All],[Code]:[Adres]],4,FALSE)</f>
        <v>Kleine Houtweg 18</v>
      </c>
      <c r="D96" s="400" t="str">
        <f>VLOOKUP(Ruimtestaat[[#This Row],[Code]],Locaties[[#All],[Code]:[Postcode]],5,FALSE)</f>
        <v>2012 CH</v>
      </c>
      <c r="E96" s="400" t="str">
        <f>VLOOKUP(Ruimtestaat[[#This Row],[Code]],Locaties[#All],6,FALSE)</f>
        <v>Haarlem</v>
      </c>
      <c r="F96" s="399"/>
      <c r="G96" s="399" t="s">
        <v>1639</v>
      </c>
      <c r="H96" s="401">
        <v>21</v>
      </c>
      <c r="I96" s="402" t="s">
        <v>1687</v>
      </c>
      <c r="J96" s="336">
        <v>2</v>
      </c>
      <c r="K96" s="414" t="str">
        <f>VLOOKUP(Ruimtestaat[[#This Row],[Ruimte code]],Ruimtegroepen[[#All],[Code]:[Ruimte omschrijving]],2,FALSE)</f>
        <v>Kantoren</v>
      </c>
      <c r="L96" s="399" t="s">
        <v>101</v>
      </c>
      <c r="M96" s="402" t="s">
        <v>1661</v>
      </c>
      <c r="N96" s="404">
        <v>76.099999999999994</v>
      </c>
      <c r="O96" s="413"/>
      <c r="P96" s="405" t="str">
        <f>VLOOKUP(Ruimtestaat[[#This Row],[Ruimte code]],Ruimtegroepen[],4,FALSE)</f>
        <v>Bu</v>
      </c>
      <c r="Q96" s="399">
        <v>51</v>
      </c>
      <c r="R96" s="399" t="s">
        <v>18</v>
      </c>
      <c r="S96" s="399">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96" s="399">
        <f>IF(S96&gt;0,VLOOKUP($J96,Ruimtegroepen[],3,FALSE)*VLOOKUP($L96,Vloersoorten[],3,FALSE)*VLOOKUP($R96,Frequenties[],3,FALSE)*VLOOKUP($A96,Locaties[],3,FALSE),0)</f>
        <v>0</v>
      </c>
      <c r="U96" s="399">
        <f>Ruimtestaat[[#This Row],[Uitvoeringen werkdagen]]*Ruimtestaat[[#This Row],[Oppervlak (netto)]]</f>
        <v>11643.3</v>
      </c>
      <c r="V96" s="406">
        <f>IF(T96&gt;0,Ruimtestaat[[#This Row],[Prest. (m2 /jaar) werkdagen]]/Ruimtestaat[[#This Row],[Norm (m2/uur) werkdagen]],0)</f>
        <v>0</v>
      </c>
      <c r="W96" s="407">
        <f>Ruimtestaat[[#This Row],[uren / jaar werkdagen]]*Tariefsopbouw!$E$35</f>
        <v>0</v>
      </c>
      <c r="X96" s="399"/>
      <c r="Y96" s="399">
        <f>IF(Ruimtestaat[[#This Row],[Frequentie weekend]]&gt;0,VALUE(LEFT(X96,1))*Q96,0)</f>
        <v>0</v>
      </c>
      <c r="Z96" s="408">
        <f>IF($Y96&gt;0,VLOOKUP($J96,Ruimtegroepen[],3,FALSE)*VLOOKUP($L96,Vloersoorten[],3,FALSE)*VLOOKUP($X96,Frequenties[],3,FALSE)*VLOOKUP(Ruimtestaat[[#This Row],[Code]],Locaties[],3,FALSE),0)</f>
        <v>0</v>
      </c>
      <c r="AA96" s="408">
        <f>Ruimtestaat[[#This Row],[Uitvoeringen weekend]]*Ruimtestaat[[#This Row],[Oppervlak (netto)]]</f>
        <v>0</v>
      </c>
      <c r="AB96" s="408">
        <f>IF(Z96&gt;0,Ruimtestaat[[#This Row],[Prest. (m2 /jaar) weekend]]/Ruimtestaat[[#This Row],[Norm (m2/uur) weekend]],0)</f>
        <v>0</v>
      </c>
      <c r="AC96" s="407">
        <f>Ruimtestaat[[#This Row],[uren / jaar weekend]]*Tariefsopbouw!$D$40</f>
        <v>0</v>
      </c>
      <c r="AD96" s="406">
        <f>Ruimtestaat[[#This Row],[Prest. (m2 /jaar) weekend]]+Ruimtestaat[[#This Row],[Prest. (m2 /jaar) werkdagen]]</f>
        <v>11643.3</v>
      </c>
      <c r="AE96" s="406">
        <f>Ruimtestaat[[#This Row],[uren / jaar weekend]]+Ruimtestaat[[#This Row],[uren / jaar werkdagen]]</f>
        <v>0</v>
      </c>
      <c r="AF96" s="409">
        <f>Ruimtestaat[[#This Row],[kosten / jaar weekend]]+Ruimtestaat[[#This Row],[kosten / jaar werkdagen]]</f>
        <v>0</v>
      </c>
      <c r="AG96" s="409"/>
      <c r="AH96" s="410" t="str">
        <f>IF(Ruimtestaat[[#This Row],[Frequentie werkdagen]]="","",_xlfn.CONCAT(Ruimtestaat[[#This Row],[Ruimte code]],"-",Ruimtestaat[[#This Row],[Frequentie werkdagen]]," ",Ruimtestaat[[#This Row],[Vloer code]]))</f>
        <v>2-3w S</v>
      </c>
      <c r="AI96" s="411" t="str">
        <f>_xlfn.IFNA(VLOOKUP($AH96,Programma!$F$3:$G$1101,2,0),"")</f>
        <v>_</v>
      </c>
      <c r="AJ96" s="411" t="str">
        <f>_xlfn.IFNA(VLOOKUP($AH96,Programma!$F$3:$H$1101,3,0),"")</f>
        <v>_</v>
      </c>
      <c r="AK96" s="411" t="str">
        <f>_xlfn.IFNA(VLOOKUP($AH96,Programma!$F$3:$I$1101,4,0),"")</f>
        <v>2w</v>
      </c>
      <c r="AL96" s="411" t="str">
        <f>_xlfn.IFNA(VLOOKUP($AH96,Programma!$F$3:$J$1101,5,0),"")</f>
        <v>1w</v>
      </c>
      <c r="AM96" s="411" t="str">
        <f>_xlfn.IFNA(VLOOKUP($AH96,Programma!$F$3:$K$1101,6,0),"")</f>
        <v>1j</v>
      </c>
      <c r="AN96" s="411" t="str">
        <f>_xlfn.IFNA(VLOOKUP($AH96,Programma!$F$3:$L$1101,7,0),"")</f>
        <v>_</v>
      </c>
      <c r="AO96" s="411" t="str">
        <f>_xlfn.IFNA(VLOOKUP($AH96,Programma!$F$3:$M$1101,8,0),"")</f>
        <v>_</v>
      </c>
      <c r="AP96" s="411" t="str">
        <f>_xlfn.IFNA(VLOOKUP($AH96,Programma!$F$3:$N$1101,9,0),"")</f>
        <v>_</v>
      </c>
      <c r="AQ96" s="411" t="str">
        <f>_xlfn.IFNA(VLOOKUP($AH96,Programma!$F$3:$O$1101,10,0),"")</f>
        <v>3w</v>
      </c>
      <c r="AR96" s="411" t="str">
        <f>_xlfn.IFNA(VLOOKUP($AH96,Programma!$F$3:$P$1101,11,0),"")</f>
        <v>3w</v>
      </c>
      <c r="AS96" s="411" t="str">
        <f>_xlfn.IFNA(VLOOKUP($AH96,Programma!$F$3:$Q$1101,12,0),"")</f>
        <v>1w</v>
      </c>
      <c r="AT96" s="411" t="str">
        <f>_xlfn.IFNA(VLOOKUP($AH96,Programma!$F$3:$R$1101,13,0),"")</f>
        <v>1w</v>
      </c>
      <c r="AU96" s="411" t="str">
        <f>_xlfn.IFNA(VLOOKUP($AH96,Programma!$F$3:$S$1101,14,0),"")</f>
        <v>1m</v>
      </c>
      <c r="AV96" s="411" t="str">
        <f>_xlfn.IFNA(VLOOKUP($AH96,Programma!$F$3:$T$1101,15,0),"")</f>
        <v>2j</v>
      </c>
      <c r="AW96" s="411" t="str">
        <f>_xlfn.IFNA(VLOOKUP($AH96,Programma!$F$3:$U$1101,16,0),"")</f>
        <v>1j</v>
      </c>
      <c r="AX96" s="411" t="str">
        <f>_xlfn.IFNA(VLOOKUP($AH96,Programma!$F$3:$V$1101,17,0),"")</f>
        <v>_</v>
      </c>
      <c r="AY96" s="411" t="str">
        <f>_xlfn.IFNA(VLOOKUP($AH96,Programma!$F$3:$W$1101,18,0),"")</f>
        <v>_</v>
      </c>
      <c r="AZ96" s="411" t="str">
        <f>_xlfn.IFNA(VLOOKUP($AH96,Programma!$F$3:$X$1101,19,0),"")</f>
        <v>_</v>
      </c>
      <c r="BA96" s="411" t="str">
        <f>_xlfn.IFNA(VLOOKUP($AH96,Programma!$F$3:$Y$1101,20,0),"")</f>
        <v>_</v>
      </c>
      <c r="BB96" s="412"/>
      <c r="BC96" s="410" t="str">
        <f>IF(Ruimtestaat[[#This Row],[Frequentie weekend]]="","",_xlfn.CONCAT(Ruimtestaat[[#This Row],[Ruimte code]],"-",Ruimtestaat[[#This Row],[Frequentie weekend]]," ",Ruimtestaat[[#This Row],[Vloer code]]))</f>
        <v/>
      </c>
      <c r="BD96" s="411" t="str">
        <f>_xlfn.IFNA(VLOOKUP($BC96,Programma!$F$3:$G$1101,2,0),"")</f>
        <v/>
      </c>
      <c r="BE96" s="411" t="str">
        <f>_xlfn.IFNA(VLOOKUP($BC96,Programma!$F$3:$H$1101,3,0),"")</f>
        <v/>
      </c>
      <c r="BF96" s="411" t="str">
        <f>_xlfn.IFNA(VLOOKUP($BC96,Programma!$F$3:$I$1101,4,0),"")</f>
        <v/>
      </c>
      <c r="BG96" s="411" t="str">
        <f>_xlfn.IFNA(VLOOKUP($BC96,Programma!$F$3:$J$1101,5,0),"")</f>
        <v/>
      </c>
      <c r="BH96" s="411" t="str">
        <f>_xlfn.IFNA(VLOOKUP($BC96,Programma!$F$3:$K$1101,6,0),"")</f>
        <v/>
      </c>
      <c r="BI96" s="411" t="str">
        <f>_xlfn.IFNA(VLOOKUP($BC96,Programma!$F$3:$L$1101,7,0),"")</f>
        <v/>
      </c>
      <c r="BJ96" s="411" t="str">
        <f>_xlfn.IFNA(VLOOKUP($BC96,Programma!$F$3:$M$1101,8,0),"")</f>
        <v/>
      </c>
      <c r="BK96" s="411" t="str">
        <f>_xlfn.IFNA(VLOOKUP($BC96,Programma!$F$3:$N$1101,9,0),"")</f>
        <v/>
      </c>
      <c r="BL96" s="411" t="str">
        <f>_xlfn.IFNA(VLOOKUP($BC96,Programma!$F$3:$O$1101,10,0),"")</f>
        <v/>
      </c>
      <c r="BM96" s="411" t="str">
        <f>_xlfn.IFNA(VLOOKUP($BC96,Programma!$F$3:$P$1101,11,0),"")</f>
        <v/>
      </c>
      <c r="BN96" s="411" t="str">
        <f>_xlfn.IFNA(VLOOKUP($BC96,Programma!$F$3:$Q$1101,12,0),"")</f>
        <v/>
      </c>
      <c r="BO96" s="411" t="str">
        <f>_xlfn.IFNA(VLOOKUP($BC96,Programma!$F$3:$R$1101,13,0),"")</f>
        <v/>
      </c>
      <c r="BP96" s="411" t="str">
        <f>_xlfn.IFNA(VLOOKUP($BC96,Programma!$F$3:$S$1101,14,0),"")</f>
        <v/>
      </c>
      <c r="BQ96" s="411" t="str">
        <f>_xlfn.IFNA(VLOOKUP($BC96,Programma!$F$3:$T$1101,15,0),"")</f>
        <v/>
      </c>
      <c r="BR96" s="411" t="str">
        <f>_xlfn.IFNA(VLOOKUP($BC96,Programma!$F$3:$U$1101,16,0),"")</f>
        <v/>
      </c>
      <c r="BS96" s="411" t="str">
        <f>_xlfn.IFNA(VLOOKUP($BC96,Programma!$F$3:$V$1101,17,0),"")</f>
        <v/>
      </c>
      <c r="BT96" s="411" t="str">
        <f>_xlfn.IFNA(VLOOKUP($BC96,Programma!$F$3:$W$1101,18,0),"")</f>
        <v/>
      </c>
      <c r="BU96" s="411" t="str">
        <f>_xlfn.IFNA(VLOOKUP($BC96,Programma!$F$3:$X$1101,19,0),"")</f>
        <v/>
      </c>
      <c r="BV96" s="411" t="str">
        <f>_xlfn.IFNA(VLOOKUP($BC96,Programma!$F$3:$Y$1101,20,0),"")</f>
        <v/>
      </c>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8"/>
      <c r="FJ96" s="28"/>
      <c r="FK96" s="28"/>
      <c r="FL96" s="28"/>
      <c r="FM96" s="28"/>
      <c r="FN96" s="28"/>
      <c r="FO96" s="28"/>
      <c r="FP96" s="28"/>
      <c r="FQ96" s="28"/>
      <c r="FR96" s="28"/>
      <c r="FS96" s="28"/>
      <c r="FT96" s="28"/>
      <c r="FU96" s="28"/>
      <c r="FV96" s="28"/>
      <c r="FW96" s="28"/>
      <c r="FX96" s="28"/>
      <c r="FY96" s="28"/>
      <c r="FZ96" s="28"/>
      <c r="GA96" s="28"/>
      <c r="GB96" s="28"/>
      <c r="GC96" s="28"/>
      <c r="GD96" s="28"/>
      <c r="GE96" s="28"/>
      <c r="GF96" s="28"/>
      <c r="GG96" s="28"/>
      <c r="GH96" s="28"/>
      <c r="GI96" s="28"/>
      <c r="GJ96" s="28"/>
      <c r="GK96" s="28"/>
      <c r="GL96" s="28"/>
      <c r="GM96" s="28"/>
      <c r="GN96" s="28"/>
      <c r="GO96" s="28"/>
      <c r="GP96" s="28"/>
      <c r="GQ96" s="28"/>
      <c r="GR96" s="28"/>
      <c r="GS96" s="28"/>
      <c r="GT96" s="28"/>
      <c r="GU96" s="28"/>
      <c r="GV96" s="28"/>
      <c r="GW96" s="28"/>
      <c r="GX96" s="28"/>
      <c r="GY96" s="28"/>
      <c r="GZ96" s="28"/>
      <c r="HA96" s="28"/>
      <c r="HB96" s="28"/>
      <c r="HC96" s="28"/>
      <c r="HD96" s="28"/>
      <c r="HE96" s="28"/>
      <c r="HF96" s="28"/>
      <c r="HG96" s="28"/>
      <c r="HH96" s="28"/>
      <c r="HI96" s="28"/>
      <c r="HJ96" s="28"/>
      <c r="HK96" s="28"/>
    </row>
    <row r="97" spans="1:219" ht="15" customHeight="1">
      <c r="A97" s="336">
        <v>2</v>
      </c>
      <c r="B97" s="400" t="str">
        <f>VLOOKUP(Ruimtestaat[[#This Row],[Code]],Locaties[[Code]:[Locatie]],2,FALSE)</f>
        <v>Kleine Houtweg</v>
      </c>
      <c r="C97" s="400" t="str">
        <f>VLOOKUP(Ruimtestaat[[#This Row],[Code]],Locaties[[#All],[Code]:[Adres]],4,FALSE)</f>
        <v>Kleine Houtweg 18</v>
      </c>
      <c r="D97" s="400" t="str">
        <f>VLOOKUP(Ruimtestaat[[#This Row],[Code]],Locaties[[#All],[Code]:[Postcode]],5,FALSE)</f>
        <v>2012 CH</v>
      </c>
      <c r="E97" s="400" t="str">
        <f>VLOOKUP(Ruimtestaat[[#This Row],[Code]],Locaties[#All],6,FALSE)</f>
        <v>Haarlem</v>
      </c>
      <c r="F97" s="399"/>
      <c r="G97" s="399" t="s">
        <v>1639</v>
      </c>
      <c r="H97" s="401">
        <v>22</v>
      </c>
      <c r="I97" s="402" t="s">
        <v>1665</v>
      </c>
      <c r="J97" s="336">
        <v>2</v>
      </c>
      <c r="K97" s="414" t="str">
        <f>VLOOKUP(Ruimtestaat[[#This Row],[Ruimte code]],Ruimtegroepen[[#All],[Code]:[Ruimte omschrijving]],2,FALSE)</f>
        <v>Kantoren</v>
      </c>
      <c r="L97" s="399" t="s">
        <v>101</v>
      </c>
      <c r="M97" s="402" t="s">
        <v>1661</v>
      </c>
      <c r="N97" s="404">
        <v>37.5</v>
      </c>
      <c r="O97" s="413"/>
      <c r="P97" s="405" t="str">
        <f>VLOOKUP(Ruimtestaat[[#This Row],[Ruimte code]],Ruimtegroepen[],4,FALSE)</f>
        <v>Bu</v>
      </c>
      <c r="Q97" s="399">
        <v>51</v>
      </c>
      <c r="R97" s="399" t="s">
        <v>18</v>
      </c>
      <c r="S97" s="399">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153</v>
      </c>
      <c r="T97" s="399">
        <f>IF(S97&gt;0,VLOOKUP($J97,Ruimtegroepen[],3,FALSE)*VLOOKUP($L97,Vloersoorten[],3,FALSE)*VLOOKUP($R97,Frequenties[],3,FALSE)*VLOOKUP($A97,Locaties[],3,FALSE),0)</f>
        <v>0</v>
      </c>
      <c r="U97" s="399">
        <f>Ruimtestaat[[#This Row],[Uitvoeringen werkdagen]]*Ruimtestaat[[#This Row],[Oppervlak (netto)]]</f>
        <v>5737.5</v>
      </c>
      <c r="V97" s="406">
        <f>IF(T97&gt;0,Ruimtestaat[[#This Row],[Prest. (m2 /jaar) werkdagen]]/Ruimtestaat[[#This Row],[Norm (m2/uur) werkdagen]],0)</f>
        <v>0</v>
      </c>
      <c r="W97" s="407">
        <f>Ruimtestaat[[#This Row],[uren / jaar werkdagen]]*Tariefsopbouw!$E$35</f>
        <v>0</v>
      </c>
      <c r="X97" s="399"/>
      <c r="Y97" s="399">
        <f>IF(Ruimtestaat[[#This Row],[Frequentie weekend]]&gt;0,VALUE(LEFT(X97,1))*Q97,0)</f>
        <v>0</v>
      </c>
      <c r="Z97" s="408">
        <f>IF($Y97&gt;0,VLOOKUP($J97,Ruimtegroepen[],3,FALSE)*VLOOKUP($L97,Vloersoorten[],3,FALSE)*VLOOKUP($X97,Frequenties[],3,FALSE)*VLOOKUP(Ruimtestaat[[#This Row],[Code]],Locaties[],3,FALSE),0)</f>
        <v>0</v>
      </c>
      <c r="AA97" s="408">
        <f>Ruimtestaat[[#This Row],[Uitvoeringen weekend]]*Ruimtestaat[[#This Row],[Oppervlak (netto)]]</f>
        <v>0</v>
      </c>
      <c r="AB97" s="408">
        <f>IF(Z97&gt;0,Ruimtestaat[[#This Row],[Prest. (m2 /jaar) weekend]]/Ruimtestaat[[#This Row],[Norm (m2/uur) weekend]],0)</f>
        <v>0</v>
      </c>
      <c r="AC97" s="407">
        <f>Ruimtestaat[[#This Row],[uren / jaar weekend]]*Tariefsopbouw!$D$40</f>
        <v>0</v>
      </c>
      <c r="AD97" s="406">
        <f>Ruimtestaat[[#This Row],[Prest. (m2 /jaar) weekend]]+Ruimtestaat[[#This Row],[Prest. (m2 /jaar) werkdagen]]</f>
        <v>5737.5</v>
      </c>
      <c r="AE97" s="406">
        <f>Ruimtestaat[[#This Row],[uren / jaar weekend]]+Ruimtestaat[[#This Row],[uren / jaar werkdagen]]</f>
        <v>0</v>
      </c>
      <c r="AF97" s="409">
        <f>Ruimtestaat[[#This Row],[kosten / jaar weekend]]+Ruimtestaat[[#This Row],[kosten / jaar werkdagen]]</f>
        <v>0</v>
      </c>
      <c r="AG97" s="409"/>
      <c r="AH97" s="410" t="str">
        <f>IF(Ruimtestaat[[#This Row],[Frequentie werkdagen]]="","",_xlfn.CONCAT(Ruimtestaat[[#This Row],[Ruimte code]],"-",Ruimtestaat[[#This Row],[Frequentie werkdagen]]," ",Ruimtestaat[[#This Row],[Vloer code]]))</f>
        <v>2-3w S</v>
      </c>
      <c r="AI97" s="411" t="str">
        <f>_xlfn.IFNA(VLOOKUP($AH97,Programma!$F$3:$G$1101,2,0),"")</f>
        <v>_</v>
      </c>
      <c r="AJ97" s="411" t="str">
        <f>_xlfn.IFNA(VLOOKUP($AH97,Programma!$F$3:$H$1101,3,0),"")</f>
        <v>_</v>
      </c>
      <c r="AK97" s="411" t="str">
        <f>_xlfn.IFNA(VLOOKUP($AH97,Programma!$F$3:$I$1101,4,0),"")</f>
        <v>2w</v>
      </c>
      <c r="AL97" s="411" t="str">
        <f>_xlfn.IFNA(VLOOKUP($AH97,Programma!$F$3:$J$1101,5,0),"")</f>
        <v>1w</v>
      </c>
      <c r="AM97" s="411" t="str">
        <f>_xlfn.IFNA(VLOOKUP($AH97,Programma!$F$3:$K$1101,6,0),"")</f>
        <v>1j</v>
      </c>
      <c r="AN97" s="411" t="str">
        <f>_xlfn.IFNA(VLOOKUP($AH97,Programma!$F$3:$L$1101,7,0),"")</f>
        <v>_</v>
      </c>
      <c r="AO97" s="411" t="str">
        <f>_xlfn.IFNA(VLOOKUP($AH97,Programma!$F$3:$M$1101,8,0),"")</f>
        <v>_</v>
      </c>
      <c r="AP97" s="411" t="str">
        <f>_xlfn.IFNA(VLOOKUP($AH97,Programma!$F$3:$N$1101,9,0),"")</f>
        <v>_</v>
      </c>
      <c r="AQ97" s="411" t="str">
        <f>_xlfn.IFNA(VLOOKUP($AH97,Programma!$F$3:$O$1101,10,0),"")</f>
        <v>3w</v>
      </c>
      <c r="AR97" s="411" t="str">
        <f>_xlfn.IFNA(VLOOKUP($AH97,Programma!$F$3:$P$1101,11,0),"")</f>
        <v>3w</v>
      </c>
      <c r="AS97" s="411" t="str">
        <f>_xlfn.IFNA(VLOOKUP($AH97,Programma!$F$3:$Q$1101,12,0),"")</f>
        <v>1w</v>
      </c>
      <c r="AT97" s="411" t="str">
        <f>_xlfn.IFNA(VLOOKUP($AH97,Programma!$F$3:$R$1101,13,0),"")</f>
        <v>1w</v>
      </c>
      <c r="AU97" s="411" t="str">
        <f>_xlfn.IFNA(VLOOKUP($AH97,Programma!$F$3:$S$1101,14,0),"")</f>
        <v>1m</v>
      </c>
      <c r="AV97" s="411" t="str">
        <f>_xlfn.IFNA(VLOOKUP($AH97,Programma!$F$3:$T$1101,15,0),"")</f>
        <v>2j</v>
      </c>
      <c r="AW97" s="411" t="str">
        <f>_xlfn.IFNA(VLOOKUP($AH97,Programma!$F$3:$U$1101,16,0),"")</f>
        <v>1j</v>
      </c>
      <c r="AX97" s="411" t="str">
        <f>_xlfn.IFNA(VLOOKUP($AH97,Programma!$F$3:$V$1101,17,0),"")</f>
        <v>_</v>
      </c>
      <c r="AY97" s="411" t="str">
        <f>_xlfn.IFNA(VLOOKUP($AH97,Programma!$F$3:$W$1101,18,0),"")</f>
        <v>_</v>
      </c>
      <c r="AZ97" s="411" t="str">
        <f>_xlfn.IFNA(VLOOKUP($AH97,Programma!$F$3:$X$1101,19,0),"")</f>
        <v>_</v>
      </c>
      <c r="BA97" s="411" t="str">
        <f>_xlfn.IFNA(VLOOKUP($AH97,Programma!$F$3:$Y$1101,20,0),"")</f>
        <v>_</v>
      </c>
      <c r="BB97" s="412"/>
      <c r="BC97" s="410" t="str">
        <f>IF(Ruimtestaat[[#This Row],[Frequentie weekend]]="","",_xlfn.CONCAT(Ruimtestaat[[#This Row],[Ruimte code]],"-",Ruimtestaat[[#This Row],[Frequentie weekend]]," ",Ruimtestaat[[#This Row],[Vloer code]]))</f>
        <v/>
      </c>
      <c r="BD97" s="411" t="str">
        <f>_xlfn.IFNA(VLOOKUP($BC97,Programma!$F$3:$G$1101,2,0),"")</f>
        <v/>
      </c>
      <c r="BE97" s="411" t="str">
        <f>_xlfn.IFNA(VLOOKUP($BC97,Programma!$F$3:$H$1101,3,0),"")</f>
        <v/>
      </c>
      <c r="BF97" s="411" t="str">
        <f>_xlfn.IFNA(VLOOKUP($BC97,Programma!$F$3:$I$1101,4,0),"")</f>
        <v/>
      </c>
      <c r="BG97" s="411" t="str">
        <f>_xlfn.IFNA(VLOOKUP($BC97,Programma!$F$3:$J$1101,5,0),"")</f>
        <v/>
      </c>
      <c r="BH97" s="411" t="str">
        <f>_xlfn.IFNA(VLOOKUP($BC97,Programma!$F$3:$K$1101,6,0),"")</f>
        <v/>
      </c>
      <c r="BI97" s="411" t="str">
        <f>_xlfn.IFNA(VLOOKUP($BC97,Programma!$F$3:$L$1101,7,0),"")</f>
        <v/>
      </c>
      <c r="BJ97" s="411" t="str">
        <f>_xlfn.IFNA(VLOOKUP($BC97,Programma!$F$3:$M$1101,8,0),"")</f>
        <v/>
      </c>
      <c r="BK97" s="411" t="str">
        <f>_xlfn.IFNA(VLOOKUP($BC97,Programma!$F$3:$N$1101,9,0),"")</f>
        <v/>
      </c>
      <c r="BL97" s="411" t="str">
        <f>_xlfn.IFNA(VLOOKUP($BC97,Programma!$F$3:$O$1101,10,0),"")</f>
        <v/>
      </c>
      <c r="BM97" s="411" t="str">
        <f>_xlfn.IFNA(VLOOKUP($BC97,Programma!$F$3:$P$1101,11,0),"")</f>
        <v/>
      </c>
      <c r="BN97" s="411" t="str">
        <f>_xlfn.IFNA(VLOOKUP($BC97,Programma!$F$3:$Q$1101,12,0),"")</f>
        <v/>
      </c>
      <c r="BO97" s="411" t="str">
        <f>_xlfn.IFNA(VLOOKUP($BC97,Programma!$F$3:$R$1101,13,0),"")</f>
        <v/>
      </c>
      <c r="BP97" s="411" t="str">
        <f>_xlfn.IFNA(VLOOKUP($BC97,Programma!$F$3:$S$1101,14,0),"")</f>
        <v/>
      </c>
      <c r="BQ97" s="411" t="str">
        <f>_xlfn.IFNA(VLOOKUP($BC97,Programma!$F$3:$T$1101,15,0),"")</f>
        <v/>
      </c>
      <c r="BR97" s="411" t="str">
        <f>_xlfn.IFNA(VLOOKUP($BC97,Programma!$F$3:$U$1101,16,0),"")</f>
        <v/>
      </c>
      <c r="BS97" s="411" t="str">
        <f>_xlfn.IFNA(VLOOKUP($BC97,Programma!$F$3:$V$1101,17,0),"")</f>
        <v/>
      </c>
      <c r="BT97" s="411" t="str">
        <f>_xlfn.IFNA(VLOOKUP($BC97,Programma!$F$3:$W$1101,18,0),"")</f>
        <v/>
      </c>
      <c r="BU97" s="411" t="str">
        <f>_xlfn.IFNA(VLOOKUP($BC97,Programma!$F$3:$X$1101,19,0),"")</f>
        <v/>
      </c>
      <c r="BV97" s="411" t="str">
        <f>_xlfn.IFNA(VLOOKUP($BC97,Programma!$F$3:$Y$1101,20,0),"")</f>
        <v/>
      </c>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row>
    <row r="98" spans="1:219" ht="15" customHeight="1">
      <c r="A98" s="336">
        <v>2</v>
      </c>
      <c r="B98" s="400" t="str">
        <f>VLOOKUP(Ruimtestaat[[#This Row],[Code]],Locaties[[Code]:[Locatie]],2,FALSE)</f>
        <v>Kleine Houtweg</v>
      </c>
      <c r="C98" s="400" t="str">
        <f>VLOOKUP(Ruimtestaat[[#This Row],[Code]],Locaties[[#All],[Code]:[Adres]],4,FALSE)</f>
        <v>Kleine Houtweg 18</v>
      </c>
      <c r="D98" s="400" t="str">
        <f>VLOOKUP(Ruimtestaat[[#This Row],[Code]],Locaties[[#All],[Code]:[Postcode]],5,FALSE)</f>
        <v>2012 CH</v>
      </c>
      <c r="E98" s="400" t="str">
        <f>VLOOKUP(Ruimtestaat[[#This Row],[Code]],Locaties[#All],6,FALSE)</f>
        <v>Haarlem</v>
      </c>
      <c r="F98" s="399" t="s">
        <v>1668</v>
      </c>
      <c r="G98" s="399" t="s">
        <v>1667</v>
      </c>
      <c r="H98" s="401"/>
      <c r="I98" s="402" t="s">
        <v>1641</v>
      </c>
      <c r="J98" s="336">
        <v>10</v>
      </c>
      <c r="K98" s="414" t="str">
        <f>VLOOKUP(Ruimtestaat[[#This Row],[Ruimte code]],Ruimtegroepen[[#All],[Code]:[Ruimte omschrijving]],2,FALSE)</f>
        <v>Trappenhuizen/lift</v>
      </c>
      <c r="L98" s="399" t="s">
        <v>101</v>
      </c>
      <c r="M98" s="402" t="s">
        <v>1669</v>
      </c>
      <c r="N98" s="404">
        <v>4.8</v>
      </c>
      <c r="O98" s="413"/>
      <c r="P98" s="405" t="str">
        <f>VLOOKUP(Ruimtestaat[[#This Row],[Ruimte code]],Ruimtegroepen[],4,FALSE)</f>
        <v>Ve</v>
      </c>
      <c r="Q98" s="399">
        <v>51</v>
      </c>
      <c r="R98" s="399" t="s">
        <v>15</v>
      </c>
      <c r="S98" s="399">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98" s="399">
        <f>IF(S98&gt;0,VLOOKUP($J98,Ruimtegroepen[],3,FALSE)*VLOOKUP($L98,Vloersoorten[],3,FALSE)*VLOOKUP($R98,Frequenties[],3,FALSE)*VLOOKUP($A98,Locaties[],3,FALSE),0)</f>
        <v>0</v>
      </c>
      <c r="U98" s="399">
        <f>Ruimtestaat[[#This Row],[Uitvoeringen werkdagen]]*Ruimtestaat[[#This Row],[Oppervlak (netto)]]</f>
        <v>244.79999999999998</v>
      </c>
      <c r="V98" s="406">
        <f>IF(T98&gt;0,Ruimtestaat[[#This Row],[Prest. (m2 /jaar) werkdagen]]/Ruimtestaat[[#This Row],[Norm (m2/uur) werkdagen]],0)</f>
        <v>0</v>
      </c>
      <c r="W98" s="407">
        <f>Ruimtestaat[[#This Row],[uren / jaar werkdagen]]*Tariefsopbouw!$E$35</f>
        <v>0</v>
      </c>
      <c r="X98" s="399"/>
      <c r="Y98" s="399">
        <f>IF(Ruimtestaat[[#This Row],[Frequentie weekend]]&gt;0,VALUE(LEFT(X98,1))*Q98,0)</f>
        <v>0</v>
      </c>
      <c r="Z98" s="408">
        <f>IF($Y98&gt;0,VLOOKUP($J98,Ruimtegroepen[],3,FALSE)*VLOOKUP($L98,Vloersoorten[],3,FALSE)*VLOOKUP($X98,Frequenties[],3,FALSE)*VLOOKUP(Ruimtestaat[[#This Row],[Code]],Locaties[],3,FALSE),0)</f>
        <v>0</v>
      </c>
      <c r="AA98" s="408">
        <f>Ruimtestaat[[#This Row],[Uitvoeringen weekend]]*Ruimtestaat[[#This Row],[Oppervlak (netto)]]</f>
        <v>0</v>
      </c>
      <c r="AB98" s="408">
        <f>IF(Z98&gt;0,Ruimtestaat[[#This Row],[Prest. (m2 /jaar) weekend]]/Ruimtestaat[[#This Row],[Norm (m2/uur) weekend]],0)</f>
        <v>0</v>
      </c>
      <c r="AC98" s="407">
        <f>Ruimtestaat[[#This Row],[uren / jaar weekend]]*Tariefsopbouw!$D$40</f>
        <v>0</v>
      </c>
      <c r="AD98" s="406">
        <f>Ruimtestaat[[#This Row],[Prest. (m2 /jaar) weekend]]+Ruimtestaat[[#This Row],[Prest. (m2 /jaar) werkdagen]]</f>
        <v>244.79999999999998</v>
      </c>
      <c r="AE98" s="406">
        <f>Ruimtestaat[[#This Row],[uren / jaar weekend]]+Ruimtestaat[[#This Row],[uren / jaar werkdagen]]</f>
        <v>0</v>
      </c>
      <c r="AF98" s="409">
        <f>Ruimtestaat[[#This Row],[kosten / jaar weekend]]+Ruimtestaat[[#This Row],[kosten / jaar werkdagen]]</f>
        <v>0</v>
      </c>
      <c r="AG98" s="409"/>
      <c r="AH98" s="410" t="str">
        <f>IF(Ruimtestaat[[#This Row],[Frequentie werkdagen]]="","",_xlfn.CONCAT(Ruimtestaat[[#This Row],[Ruimte code]],"-",Ruimtestaat[[#This Row],[Frequentie werkdagen]]," ",Ruimtestaat[[#This Row],[Vloer code]]))</f>
        <v>10-1w S</v>
      </c>
      <c r="AI98" s="411" t="str">
        <f>_xlfn.IFNA(VLOOKUP($AH98,Programma!$F$3:$G$1101,2,0),"")</f>
        <v>_</v>
      </c>
      <c r="AJ98" s="411" t="str">
        <f>_xlfn.IFNA(VLOOKUP($AH98,Programma!$F$3:$H$1101,3,0),"")</f>
        <v>_</v>
      </c>
      <c r="AK98" s="411" t="str">
        <f>_xlfn.IFNA(VLOOKUP($AH98,Programma!$F$3:$I$1101,4,0),"")</f>
        <v>_</v>
      </c>
      <c r="AL98" s="411" t="str">
        <f>_xlfn.IFNA(VLOOKUP($AH98,Programma!$F$3:$J$1101,5,0),"")</f>
        <v>1w</v>
      </c>
      <c r="AM98" s="411" t="str">
        <f>_xlfn.IFNA(VLOOKUP($AH98,Programma!$F$3:$K$1101,6,0),"")</f>
        <v>4j</v>
      </c>
      <c r="AN98" s="411" t="str">
        <f>_xlfn.IFNA(VLOOKUP($AH98,Programma!$F$3:$L$1101,7,0),"")</f>
        <v>_</v>
      </c>
      <c r="AO98" s="411" t="str">
        <f>_xlfn.IFNA(VLOOKUP($AH98,Programma!$F$3:$M$1101,8,0),"")</f>
        <v>_</v>
      </c>
      <c r="AP98" s="411" t="str">
        <f>_xlfn.IFNA(VLOOKUP($AH98,Programma!$F$3:$N$1101,9,0),"")</f>
        <v>_</v>
      </c>
      <c r="AQ98" s="411" t="str">
        <f>_xlfn.IFNA(VLOOKUP($AH98,Programma!$F$3:$O$1101,10,0),"")</f>
        <v>1w</v>
      </c>
      <c r="AR98" s="411" t="str">
        <f>_xlfn.IFNA(VLOOKUP($AH98,Programma!$F$3:$P$1101,11,0),"")</f>
        <v>1w</v>
      </c>
      <c r="AS98" s="411" t="str">
        <f>_xlfn.IFNA(VLOOKUP($AH98,Programma!$F$3:$Q$1101,12,0),"")</f>
        <v>1w</v>
      </c>
      <c r="AT98" s="411" t="str">
        <f>_xlfn.IFNA(VLOOKUP($AH98,Programma!$F$3:$R$1101,13,0),"")</f>
        <v>1w</v>
      </c>
      <c r="AU98" s="411" t="str">
        <f>_xlfn.IFNA(VLOOKUP($AH98,Programma!$F$3:$S$1101,14,0),"")</f>
        <v>1m</v>
      </c>
      <c r="AV98" s="411" t="str">
        <f>_xlfn.IFNA(VLOOKUP($AH98,Programma!$F$3:$T$1101,15,0),"")</f>
        <v>2j</v>
      </c>
      <c r="AW98" s="411" t="str">
        <f>_xlfn.IFNA(VLOOKUP($AH98,Programma!$F$3:$U$1101,16,0),"")</f>
        <v>1j</v>
      </c>
      <c r="AX98" s="411" t="str">
        <f>_xlfn.IFNA(VLOOKUP($AH98,Programma!$F$3:$V$1101,17,0),"")</f>
        <v>_</v>
      </c>
      <c r="AY98" s="411" t="str">
        <f>_xlfn.IFNA(VLOOKUP($AH98,Programma!$F$3:$W$1101,18,0),"")</f>
        <v>_</v>
      </c>
      <c r="AZ98" s="411" t="str">
        <f>_xlfn.IFNA(VLOOKUP($AH98,Programma!$F$3:$X$1101,19,0),"")</f>
        <v>_</v>
      </c>
      <c r="BA98" s="411" t="str">
        <f>_xlfn.IFNA(VLOOKUP($AH98,Programma!$F$3:$Y$1101,20,0),"")</f>
        <v>_</v>
      </c>
      <c r="BB98" s="412"/>
      <c r="BC98" s="410" t="str">
        <f>IF(Ruimtestaat[[#This Row],[Frequentie weekend]]="","",_xlfn.CONCAT(Ruimtestaat[[#This Row],[Ruimte code]],"-",Ruimtestaat[[#This Row],[Frequentie weekend]]," ",Ruimtestaat[[#This Row],[Vloer code]]))</f>
        <v/>
      </c>
      <c r="BD98" s="411" t="str">
        <f>_xlfn.IFNA(VLOOKUP($BC98,Programma!$F$3:$G$1101,2,0),"")</f>
        <v/>
      </c>
      <c r="BE98" s="411" t="str">
        <f>_xlfn.IFNA(VLOOKUP($BC98,Programma!$F$3:$H$1101,3,0),"")</f>
        <v/>
      </c>
      <c r="BF98" s="411" t="str">
        <f>_xlfn.IFNA(VLOOKUP($BC98,Programma!$F$3:$I$1101,4,0),"")</f>
        <v/>
      </c>
      <c r="BG98" s="411" t="str">
        <f>_xlfn.IFNA(VLOOKUP($BC98,Programma!$F$3:$J$1101,5,0),"")</f>
        <v/>
      </c>
      <c r="BH98" s="411" t="str">
        <f>_xlfn.IFNA(VLOOKUP($BC98,Programma!$F$3:$K$1101,6,0),"")</f>
        <v/>
      </c>
      <c r="BI98" s="411" t="str">
        <f>_xlfn.IFNA(VLOOKUP($BC98,Programma!$F$3:$L$1101,7,0),"")</f>
        <v/>
      </c>
      <c r="BJ98" s="411" t="str">
        <f>_xlfn.IFNA(VLOOKUP($BC98,Programma!$F$3:$M$1101,8,0),"")</f>
        <v/>
      </c>
      <c r="BK98" s="411" t="str">
        <f>_xlfn.IFNA(VLOOKUP($BC98,Programma!$F$3:$N$1101,9,0),"")</f>
        <v/>
      </c>
      <c r="BL98" s="411" t="str">
        <f>_xlfn.IFNA(VLOOKUP($BC98,Programma!$F$3:$O$1101,10,0),"")</f>
        <v/>
      </c>
      <c r="BM98" s="411" t="str">
        <f>_xlfn.IFNA(VLOOKUP($BC98,Programma!$F$3:$P$1101,11,0),"")</f>
        <v/>
      </c>
      <c r="BN98" s="411" t="str">
        <f>_xlfn.IFNA(VLOOKUP($BC98,Programma!$F$3:$Q$1101,12,0),"")</f>
        <v/>
      </c>
      <c r="BO98" s="411" t="str">
        <f>_xlfn.IFNA(VLOOKUP($BC98,Programma!$F$3:$R$1101,13,0),"")</f>
        <v/>
      </c>
      <c r="BP98" s="411" t="str">
        <f>_xlfn.IFNA(VLOOKUP($BC98,Programma!$F$3:$S$1101,14,0),"")</f>
        <v/>
      </c>
      <c r="BQ98" s="411" t="str">
        <f>_xlfn.IFNA(VLOOKUP($BC98,Programma!$F$3:$T$1101,15,0),"")</f>
        <v/>
      </c>
      <c r="BR98" s="411" t="str">
        <f>_xlfn.IFNA(VLOOKUP($BC98,Programma!$F$3:$U$1101,16,0),"")</f>
        <v/>
      </c>
      <c r="BS98" s="411" t="str">
        <f>_xlfn.IFNA(VLOOKUP($BC98,Programma!$F$3:$V$1101,17,0),"")</f>
        <v/>
      </c>
      <c r="BT98" s="411" t="str">
        <f>_xlfn.IFNA(VLOOKUP($BC98,Programma!$F$3:$W$1101,18,0),"")</f>
        <v/>
      </c>
      <c r="BU98" s="411" t="str">
        <f>_xlfn.IFNA(VLOOKUP($BC98,Programma!$F$3:$X$1101,19,0),"")</f>
        <v/>
      </c>
      <c r="BV98" s="411" t="str">
        <f>_xlfn.IFNA(VLOOKUP($BC98,Programma!$F$3:$Y$1101,20,0),"")</f>
        <v/>
      </c>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8"/>
      <c r="FI98" s="28"/>
      <c r="FJ98" s="28"/>
      <c r="FK98" s="28"/>
      <c r="FL98" s="28"/>
      <c r="FM98" s="28"/>
      <c r="FN98" s="28"/>
      <c r="FO98" s="28"/>
      <c r="FP98" s="28"/>
      <c r="FQ98" s="28"/>
      <c r="FR98" s="28"/>
      <c r="FS98" s="28"/>
      <c r="FT98" s="28"/>
      <c r="FU98" s="28"/>
      <c r="FV98" s="28"/>
      <c r="FW98" s="28"/>
      <c r="FX98" s="28"/>
      <c r="FY98" s="28"/>
      <c r="FZ98" s="28"/>
      <c r="GA98" s="28"/>
      <c r="GB98" s="28"/>
      <c r="GC98" s="28"/>
      <c r="GD98" s="28"/>
      <c r="GE98" s="28"/>
      <c r="GF98" s="28"/>
      <c r="GG98" s="28"/>
      <c r="GH98" s="28"/>
      <c r="GI98" s="28"/>
      <c r="GJ98" s="28"/>
      <c r="GK98" s="28"/>
      <c r="GL98" s="28"/>
      <c r="GM98" s="28"/>
      <c r="GN98" s="28"/>
      <c r="GO98" s="28"/>
      <c r="GP98" s="28"/>
      <c r="GQ98" s="28"/>
      <c r="GR98" s="28"/>
      <c r="GS98" s="28"/>
      <c r="GT98" s="28"/>
      <c r="GU98" s="28"/>
      <c r="GV98" s="28"/>
      <c r="GW98" s="28"/>
      <c r="GX98" s="28"/>
      <c r="GY98" s="28"/>
      <c r="GZ98" s="28"/>
      <c r="HA98" s="28"/>
      <c r="HB98" s="28"/>
      <c r="HC98" s="28"/>
      <c r="HD98" s="28"/>
      <c r="HE98" s="28"/>
      <c r="HF98" s="28"/>
      <c r="HG98" s="28"/>
      <c r="HH98" s="28"/>
      <c r="HI98" s="28"/>
      <c r="HJ98" s="28"/>
      <c r="HK98" s="28"/>
    </row>
    <row r="99" spans="1:219" ht="15" customHeight="1">
      <c r="A99" s="336">
        <v>2</v>
      </c>
      <c r="B99" s="400" t="str">
        <f>VLOOKUP(Ruimtestaat[[#This Row],[Code]],Locaties[[Code]:[Locatie]],2,FALSE)</f>
        <v>Kleine Houtweg</v>
      </c>
      <c r="C99" s="400" t="str">
        <f>VLOOKUP(Ruimtestaat[[#This Row],[Code]],Locaties[[#All],[Code]:[Adres]],4,FALSE)</f>
        <v>Kleine Houtweg 18</v>
      </c>
      <c r="D99" s="400" t="str">
        <f>VLOOKUP(Ruimtestaat[[#This Row],[Code]],Locaties[[#All],[Code]:[Postcode]],5,FALSE)</f>
        <v>2012 CH</v>
      </c>
      <c r="E99" s="400" t="str">
        <f>VLOOKUP(Ruimtestaat[[#This Row],[Code]],Locaties[#All],6,FALSE)</f>
        <v>Haarlem</v>
      </c>
      <c r="F99" s="399" t="s">
        <v>1668</v>
      </c>
      <c r="G99" s="399" t="s">
        <v>1667</v>
      </c>
      <c r="H99" s="401"/>
      <c r="I99" s="402" t="s">
        <v>1631</v>
      </c>
      <c r="J99" s="336">
        <v>6</v>
      </c>
      <c r="K99" s="414" t="str">
        <f>VLOOKUP(Ruimtestaat[[#This Row],[Ruimte code]],Ruimtegroepen[[#All],[Code]:[Ruimte omschrijving]],2,FALSE)</f>
        <v>Gangen/hallen</v>
      </c>
      <c r="L99" s="399" t="s">
        <v>99</v>
      </c>
      <c r="M99" s="402" t="s">
        <v>36</v>
      </c>
      <c r="N99" s="404">
        <v>14.2</v>
      </c>
      <c r="O99" s="413"/>
      <c r="P99" s="405" t="str">
        <f>VLOOKUP(Ruimtestaat[[#This Row],[Ruimte code]],Ruimtegroepen[],4,FALSE)</f>
        <v>Ve</v>
      </c>
      <c r="Q99" s="399">
        <v>51</v>
      </c>
      <c r="R99" s="399" t="s">
        <v>15</v>
      </c>
      <c r="S99" s="399">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99" s="399">
        <f>IF(S99&gt;0,VLOOKUP($J99,Ruimtegroepen[],3,FALSE)*VLOOKUP($L99,Vloersoorten[],3,FALSE)*VLOOKUP($R99,Frequenties[],3,FALSE)*VLOOKUP($A99,Locaties[],3,FALSE),0)</f>
        <v>0</v>
      </c>
      <c r="U99" s="399">
        <f>Ruimtestaat[[#This Row],[Uitvoeringen werkdagen]]*Ruimtestaat[[#This Row],[Oppervlak (netto)]]</f>
        <v>724.19999999999993</v>
      </c>
      <c r="V99" s="406">
        <f>IF(T99&gt;0,Ruimtestaat[[#This Row],[Prest. (m2 /jaar) werkdagen]]/Ruimtestaat[[#This Row],[Norm (m2/uur) werkdagen]],0)</f>
        <v>0</v>
      </c>
      <c r="W99" s="407">
        <f>Ruimtestaat[[#This Row],[uren / jaar werkdagen]]*Tariefsopbouw!$E$35</f>
        <v>0</v>
      </c>
      <c r="X99" s="399"/>
      <c r="Y99" s="399">
        <f>IF(Ruimtestaat[[#This Row],[Frequentie weekend]]&gt;0,VALUE(LEFT(X99,1))*Q99,0)</f>
        <v>0</v>
      </c>
      <c r="Z99" s="408">
        <f>IF($Y99&gt;0,VLOOKUP($J99,Ruimtegroepen[],3,FALSE)*VLOOKUP($L99,Vloersoorten[],3,FALSE)*VLOOKUP($X99,Frequenties[],3,FALSE)*VLOOKUP(#REF!,Locaties[],3,FALSE),0)</f>
        <v>0</v>
      </c>
      <c r="AA99" s="408">
        <f>Ruimtestaat[[#This Row],[Uitvoeringen weekend]]*Ruimtestaat[[#This Row],[Oppervlak (netto)]]</f>
        <v>0</v>
      </c>
      <c r="AB99" s="408">
        <f>IF(Z99&gt;0,Ruimtestaat[[#This Row],[Prest. (m2 /jaar) weekend]]/Ruimtestaat[[#This Row],[Norm (m2/uur) weekend]],0)</f>
        <v>0</v>
      </c>
      <c r="AC99" s="407">
        <f>Ruimtestaat[[#This Row],[uren / jaar weekend]]*Tariefsopbouw!$D$40</f>
        <v>0</v>
      </c>
      <c r="AD99" s="406">
        <f>Ruimtestaat[[#This Row],[Prest. (m2 /jaar) weekend]]+Ruimtestaat[[#This Row],[Prest. (m2 /jaar) werkdagen]]</f>
        <v>724.19999999999993</v>
      </c>
      <c r="AE99" s="406">
        <f>Ruimtestaat[[#This Row],[uren / jaar weekend]]+Ruimtestaat[[#This Row],[uren / jaar werkdagen]]</f>
        <v>0</v>
      </c>
      <c r="AF99" s="409">
        <f>Ruimtestaat[[#This Row],[kosten / jaar weekend]]+Ruimtestaat[[#This Row],[kosten / jaar werkdagen]]</f>
        <v>0</v>
      </c>
      <c r="AG99" s="409"/>
      <c r="AH99" s="410" t="str">
        <f>IF(Ruimtestaat[[#This Row],[Frequentie werkdagen]]="","",_xlfn.CONCAT(Ruimtestaat[[#This Row],[Ruimte code]],"-",Ruimtestaat[[#This Row],[Frequentie werkdagen]]," ",Ruimtestaat[[#This Row],[Vloer code]]))</f>
        <v>6-1w T</v>
      </c>
      <c r="AI99" s="411" t="str">
        <f>_xlfn.IFNA(VLOOKUP($AH99,Programma!$F$3:$G$1101,2,0),"")</f>
        <v>_</v>
      </c>
      <c r="AJ99" s="411" t="str">
        <f>_xlfn.IFNA(VLOOKUP($AH99,Programma!$F$3:$H$1101,3,0),"")</f>
        <v>1w</v>
      </c>
      <c r="AK99" s="411" t="str">
        <f>_xlfn.IFNA(VLOOKUP($AH99,Programma!$F$3:$I$1101,4,0),"")</f>
        <v>_</v>
      </c>
      <c r="AL99" s="411" t="str">
        <f>_xlfn.IFNA(VLOOKUP($AH99,Programma!$F$3:$J$1101,5,0),"")</f>
        <v>_</v>
      </c>
      <c r="AM99" s="411" t="str">
        <f>_xlfn.IFNA(VLOOKUP($AH99,Programma!$F$3:$K$1101,6,0),"")</f>
        <v>_</v>
      </c>
      <c r="AN99" s="411" t="str">
        <f>_xlfn.IFNA(VLOOKUP($AH99,Programma!$F$3:$L$1101,7,0),"")</f>
        <v>_</v>
      </c>
      <c r="AO99" s="411" t="str">
        <f>_xlfn.IFNA(VLOOKUP($AH99,Programma!$F$3:$M$1101,8,0),"")</f>
        <v>_</v>
      </c>
      <c r="AP99" s="411" t="str">
        <f>_xlfn.IFNA(VLOOKUP($AH99,Programma!$F$3:$N$1101,9,0),"")</f>
        <v>_</v>
      </c>
      <c r="AQ99" s="411" t="str">
        <f>_xlfn.IFNA(VLOOKUP($AH99,Programma!$F$3:$O$1101,10,0),"")</f>
        <v>1w</v>
      </c>
      <c r="AR99" s="411" t="str">
        <f>_xlfn.IFNA(VLOOKUP($AH99,Programma!$F$3:$P$1101,11,0),"")</f>
        <v>1w</v>
      </c>
      <c r="AS99" s="411" t="str">
        <f>_xlfn.IFNA(VLOOKUP($AH99,Programma!$F$3:$Q$1101,12,0),"")</f>
        <v>1w</v>
      </c>
      <c r="AT99" s="411" t="str">
        <f>_xlfn.IFNA(VLOOKUP($AH99,Programma!$F$3:$R$1101,13,0),"")</f>
        <v>1w</v>
      </c>
      <c r="AU99" s="411" t="str">
        <f>_xlfn.IFNA(VLOOKUP($AH99,Programma!$F$3:$S$1101,14,0),"")</f>
        <v>1m</v>
      </c>
      <c r="AV99" s="411" t="str">
        <f>_xlfn.IFNA(VLOOKUP($AH99,Programma!$F$3:$T$1101,15,0),"")</f>
        <v>2j</v>
      </c>
      <c r="AW99" s="411" t="str">
        <f>_xlfn.IFNA(VLOOKUP($AH99,Programma!$F$3:$U$1101,16,0),"")</f>
        <v>1j</v>
      </c>
      <c r="AX99" s="411" t="str">
        <f>_xlfn.IFNA(VLOOKUP($AH99,Programma!$F$3:$V$1101,17,0),"")</f>
        <v>_</v>
      </c>
      <c r="AY99" s="411" t="str">
        <f>_xlfn.IFNA(VLOOKUP($AH99,Programma!$F$3:$W$1101,18,0),"")</f>
        <v>_</v>
      </c>
      <c r="AZ99" s="411" t="str">
        <f>_xlfn.IFNA(VLOOKUP($AH99,Programma!$F$3:$X$1101,19,0),"")</f>
        <v>_</v>
      </c>
      <c r="BA99" s="411" t="str">
        <f>_xlfn.IFNA(VLOOKUP($AH99,Programma!$F$3:$Y$1101,20,0),"")</f>
        <v>_</v>
      </c>
      <c r="BB99" s="412"/>
      <c r="BC99" s="410" t="str">
        <f>IF(Ruimtestaat[[#This Row],[Frequentie weekend]]="","",_xlfn.CONCAT(Ruimtestaat[[#This Row],[Ruimte code]],"-",Ruimtestaat[[#This Row],[Frequentie weekend]]," ",Ruimtestaat[[#This Row],[Vloer code]]))</f>
        <v/>
      </c>
      <c r="BD99" s="411" t="str">
        <f>_xlfn.IFNA(VLOOKUP($BC99,Programma!$F$3:$G$1101,2,0),"")</f>
        <v/>
      </c>
      <c r="BE99" s="411" t="str">
        <f>_xlfn.IFNA(VLOOKUP($BC99,Programma!$F$3:$H$1101,3,0),"")</f>
        <v/>
      </c>
      <c r="BF99" s="411" t="str">
        <f>_xlfn.IFNA(VLOOKUP($BC99,Programma!$F$3:$I$1101,4,0),"")</f>
        <v/>
      </c>
      <c r="BG99" s="411" t="str">
        <f>_xlfn.IFNA(VLOOKUP($BC99,Programma!$F$3:$J$1101,5,0),"")</f>
        <v/>
      </c>
      <c r="BH99" s="411" t="str">
        <f>_xlfn.IFNA(VLOOKUP($BC99,Programma!$F$3:$K$1101,6,0),"")</f>
        <v/>
      </c>
      <c r="BI99" s="411" t="str">
        <f>_xlfn.IFNA(VLOOKUP($BC99,Programma!$F$3:$L$1101,7,0),"")</f>
        <v/>
      </c>
      <c r="BJ99" s="411" t="str">
        <f>_xlfn.IFNA(VLOOKUP($BC99,Programma!$F$3:$M$1101,8,0),"")</f>
        <v/>
      </c>
      <c r="BK99" s="411" t="str">
        <f>_xlfn.IFNA(VLOOKUP($BC99,Programma!$F$3:$N$1101,9,0),"")</f>
        <v/>
      </c>
      <c r="BL99" s="411" t="str">
        <f>_xlfn.IFNA(VLOOKUP($BC99,Programma!$F$3:$O$1101,10,0),"")</f>
        <v/>
      </c>
      <c r="BM99" s="411" t="str">
        <f>_xlfn.IFNA(VLOOKUP($BC99,Programma!$F$3:$P$1101,11,0),"")</f>
        <v/>
      </c>
      <c r="BN99" s="411" t="str">
        <f>_xlfn.IFNA(VLOOKUP($BC99,Programma!$F$3:$Q$1101,12,0),"")</f>
        <v/>
      </c>
      <c r="BO99" s="411" t="str">
        <f>_xlfn.IFNA(VLOOKUP($BC99,Programma!$F$3:$R$1101,13,0),"")</f>
        <v/>
      </c>
      <c r="BP99" s="411" t="str">
        <f>_xlfn.IFNA(VLOOKUP($BC99,Programma!$F$3:$S$1101,14,0),"")</f>
        <v/>
      </c>
      <c r="BQ99" s="411" t="str">
        <f>_xlfn.IFNA(VLOOKUP($BC99,Programma!$F$3:$T$1101,15,0),"")</f>
        <v/>
      </c>
      <c r="BR99" s="411" t="str">
        <f>_xlfn.IFNA(VLOOKUP($BC99,Programma!$F$3:$U$1101,16,0),"")</f>
        <v/>
      </c>
      <c r="BS99" s="411" t="str">
        <f>_xlfn.IFNA(VLOOKUP($BC99,Programma!$F$3:$V$1101,17,0),"")</f>
        <v/>
      </c>
      <c r="BT99" s="411" t="str">
        <f>_xlfn.IFNA(VLOOKUP($BC99,Programma!$F$3:$W$1101,18,0),"")</f>
        <v/>
      </c>
      <c r="BU99" s="411" t="str">
        <f>_xlfn.IFNA(VLOOKUP($BC99,Programma!$F$3:$X$1101,19,0),"")</f>
        <v/>
      </c>
      <c r="BV99" s="411" t="str">
        <f>_xlfn.IFNA(VLOOKUP($BC99,Programma!$F$3:$Y$1101,20,0),"")</f>
        <v/>
      </c>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c r="EO99" s="28"/>
      <c r="EP99" s="28"/>
      <c r="EQ99" s="28"/>
      <c r="ER99" s="28"/>
      <c r="ES99" s="28"/>
      <c r="ET99" s="28"/>
      <c r="EU99" s="28"/>
      <c r="EV99" s="28"/>
      <c r="EW99" s="28"/>
      <c r="EX99" s="28"/>
      <c r="EY99" s="28"/>
      <c r="EZ99" s="28"/>
      <c r="FA99" s="28"/>
      <c r="FB99" s="28"/>
      <c r="FC99" s="28"/>
      <c r="FD99" s="28"/>
      <c r="FE99" s="28"/>
      <c r="FF99" s="28"/>
      <c r="FG99" s="28"/>
      <c r="FH99" s="28"/>
      <c r="FI99" s="28"/>
      <c r="FJ99" s="28"/>
      <c r="FK99" s="28"/>
      <c r="FL99" s="28"/>
      <c r="FM99" s="28"/>
      <c r="FN99" s="28"/>
      <c r="FO99" s="28"/>
      <c r="FP99" s="28"/>
      <c r="FQ99" s="28"/>
      <c r="FR99" s="28"/>
      <c r="FS99" s="28"/>
      <c r="FT99" s="28"/>
      <c r="FU99" s="28"/>
      <c r="FV99" s="28"/>
      <c r="FW99" s="28"/>
      <c r="FX99" s="28"/>
      <c r="FY99" s="28"/>
      <c r="FZ99" s="28"/>
      <c r="GA99" s="28"/>
      <c r="GB99" s="28"/>
      <c r="GC99" s="28"/>
      <c r="GD99" s="28"/>
      <c r="GE99" s="28"/>
      <c r="GF99" s="28"/>
      <c r="GG99" s="28"/>
      <c r="GH99" s="28"/>
      <c r="GI99" s="28"/>
      <c r="GJ99" s="28"/>
      <c r="GK99" s="28"/>
      <c r="GL99" s="28"/>
      <c r="GM99" s="28"/>
      <c r="GN99" s="28"/>
      <c r="GO99" s="28"/>
      <c r="GP99" s="28"/>
      <c r="GQ99" s="28"/>
      <c r="GR99" s="28"/>
      <c r="GS99" s="28"/>
      <c r="GT99" s="28"/>
      <c r="GU99" s="28"/>
      <c r="GV99" s="28"/>
      <c r="GW99" s="28"/>
      <c r="GX99" s="28"/>
      <c r="GY99" s="28"/>
      <c r="GZ99" s="28"/>
      <c r="HA99" s="28"/>
      <c r="HB99" s="28"/>
      <c r="HC99" s="28"/>
      <c r="HD99" s="28"/>
      <c r="HE99" s="28"/>
      <c r="HF99" s="28"/>
      <c r="HG99" s="28"/>
      <c r="HH99" s="28"/>
      <c r="HI99" s="28"/>
      <c r="HJ99" s="28"/>
      <c r="HK99" s="28"/>
    </row>
    <row r="100" spans="1:219" ht="15" customHeight="1">
      <c r="A100" s="336">
        <v>2</v>
      </c>
      <c r="B100" s="400" t="str">
        <f>VLOOKUP(Ruimtestaat[[#This Row],[Code]],Locaties[[Code]:[Locatie]],2,FALSE)</f>
        <v>Kleine Houtweg</v>
      </c>
      <c r="C100" s="400" t="str">
        <f>VLOOKUP(Ruimtestaat[[#This Row],[Code]],Locaties[[#All],[Code]:[Adres]],4,FALSE)</f>
        <v>Kleine Houtweg 18</v>
      </c>
      <c r="D100" s="400" t="str">
        <f>VLOOKUP(Ruimtestaat[[#This Row],[Code]],Locaties[[#All],[Code]:[Postcode]],5,FALSE)</f>
        <v>2012 CH</v>
      </c>
      <c r="E100" s="400" t="str">
        <f>VLOOKUP(Ruimtestaat[[#This Row],[Code]],Locaties[#All],6,FALSE)</f>
        <v>Haarlem</v>
      </c>
      <c r="F100" s="399" t="s">
        <v>1668</v>
      </c>
      <c r="G100" s="399" t="s">
        <v>1667</v>
      </c>
      <c r="H100" s="401"/>
      <c r="I100" s="402" t="s">
        <v>1652</v>
      </c>
      <c r="J100" s="336">
        <v>10</v>
      </c>
      <c r="K100" s="414" t="str">
        <f>VLOOKUP(Ruimtestaat[[#This Row],[Ruimte code]],Ruimtegroepen[[#All],[Code]:[Ruimte omschrijving]],2,FALSE)</f>
        <v>Trappenhuizen/lift</v>
      </c>
      <c r="L100" s="399" t="s">
        <v>102</v>
      </c>
      <c r="M100" s="402" t="s">
        <v>1671</v>
      </c>
      <c r="N100" s="404">
        <v>1.5</v>
      </c>
      <c r="O100" s="413"/>
      <c r="P100" s="405" t="str">
        <f>VLOOKUP(Ruimtestaat[[#This Row],[Ruimte code]],Ruimtegroepen[],4,FALSE)</f>
        <v>Ve</v>
      </c>
      <c r="Q100" s="399">
        <v>51</v>
      </c>
      <c r="R100" s="399" t="s">
        <v>15</v>
      </c>
      <c r="S100" s="399">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100" s="399">
        <f>IF(S100&gt;0,VLOOKUP($J100,Ruimtegroepen[],3,FALSE)*VLOOKUP($L100,Vloersoorten[],3,FALSE)*VLOOKUP($R100,Frequenties[],3,FALSE)*VLOOKUP($A100,Locaties[],3,FALSE),0)</f>
        <v>0</v>
      </c>
      <c r="U100" s="399">
        <f>Ruimtestaat[[#This Row],[Uitvoeringen werkdagen]]*Ruimtestaat[[#This Row],[Oppervlak (netto)]]</f>
        <v>76.5</v>
      </c>
      <c r="V100" s="406">
        <f>IF(T100&gt;0,Ruimtestaat[[#This Row],[Prest. (m2 /jaar) werkdagen]]/Ruimtestaat[[#This Row],[Norm (m2/uur) werkdagen]],0)</f>
        <v>0</v>
      </c>
      <c r="W100" s="407">
        <f>Ruimtestaat[[#This Row],[uren / jaar werkdagen]]*Tariefsopbouw!$E$35</f>
        <v>0</v>
      </c>
      <c r="X100" s="399"/>
      <c r="Y100" s="399">
        <f>IF(Ruimtestaat[[#This Row],[Frequentie weekend]]&gt;0,VALUE(LEFT(X100,1))*Q100,0)</f>
        <v>0</v>
      </c>
      <c r="Z100" s="408">
        <f>IF($Y100&gt;0,VLOOKUP($J100,Ruimtegroepen[],3,FALSE)*VLOOKUP($L100,Vloersoorten[],3,FALSE)*VLOOKUP($X100,Frequenties[],3,FALSE)*VLOOKUP(#REF!,Locaties[],3,FALSE),0)</f>
        <v>0</v>
      </c>
      <c r="AA100" s="408">
        <f>Ruimtestaat[[#This Row],[Uitvoeringen weekend]]*Ruimtestaat[[#This Row],[Oppervlak (netto)]]</f>
        <v>0</v>
      </c>
      <c r="AB100" s="408">
        <f>IF(Z100&gt;0,Ruimtestaat[[#This Row],[Prest. (m2 /jaar) weekend]]/Ruimtestaat[[#This Row],[Norm (m2/uur) weekend]],0)</f>
        <v>0</v>
      </c>
      <c r="AC100" s="407">
        <f>Ruimtestaat[[#This Row],[uren / jaar weekend]]*Tariefsopbouw!$D$40</f>
        <v>0</v>
      </c>
      <c r="AD100" s="406">
        <f>Ruimtestaat[[#This Row],[Prest. (m2 /jaar) weekend]]+Ruimtestaat[[#This Row],[Prest. (m2 /jaar) werkdagen]]</f>
        <v>76.5</v>
      </c>
      <c r="AE100" s="406">
        <f>Ruimtestaat[[#This Row],[uren / jaar weekend]]+Ruimtestaat[[#This Row],[uren / jaar werkdagen]]</f>
        <v>0</v>
      </c>
      <c r="AF100" s="409">
        <f>Ruimtestaat[[#This Row],[kosten / jaar weekend]]+Ruimtestaat[[#This Row],[kosten / jaar werkdagen]]</f>
        <v>0</v>
      </c>
      <c r="AG100" s="409"/>
      <c r="AH100" s="410" t="str">
        <f>IF(Ruimtestaat[[#This Row],[Frequentie werkdagen]]="","",_xlfn.CONCAT(Ruimtestaat[[#This Row],[Ruimte code]],"-",Ruimtestaat[[#This Row],[Frequentie werkdagen]]," ",Ruimtestaat[[#This Row],[Vloer code]]))</f>
        <v>10-1w P</v>
      </c>
      <c r="AI100" s="411" t="str">
        <f>_xlfn.IFNA(VLOOKUP($AH100,Programma!$F$3:$G$1101,2,0),"")</f>
        <v>_</v>
      </c>
      <c r="AJ100" s="411" t="str">
        <f>_xlfn.IFNA(VLOOKUP($AH100,Programma!$F$3:$H$1101,3,0),"")</f>
        <v>_</v>
      </c>
      <c r="AK100" s="411" t="str">
        <f>_xlfn.IFNA(VLOOKUP($AH100,Programma!$F$3:$I$1101,4,0),"")</f>
        <v>_</v>
      </c>
      <c r="AL100" s="411" t="str">
        <f>_xlfn.IFNA(VLOOKUP($AH100,Programma!$F$3:$J$1101,5,0),"")</f>
        <v>1w</v>
      </c>
      <c r="AM100" s="411" t="str">
        <f>_xlfn.IFNA(VLOOKUP($AH100,Programma!$F$3:$K$1101,6,0),"")</f>
        <v>4j</v>
      </c>
      <c r="AN100" s="411" t="str">
        <f>_xlfn.IFNA(VLOOKUP($AH100,Programma!$F$3:$L$1101,7,0),"")</f>
        <v>_</v>
      </c>
      <c r="AO100" s="411" t="str">
        <f>_xlfn.IFNA(VLOOKUP($AH100,Programma!$F$3:$M$1101,8,0),"")</f>
        <v>_</v>
      </c>
      <c r="AP100" s="411" t="str">
        <f>_xlfn.IFNA(VLOOKUP($AH100,Programma!$F$3:$N$1101,9,0),"")</f>
        <v>_</v>
      </c>
      <c r="AQ100" s="411" t="str">
        <f>_xlfn.IFNA(VLOOKUP($AH100,Programma!$F$3:$O$1101,10,0),"")</f>
        <v>1w</v>
      </c>
      <c r="AR100" s="411" t="str">
        <f>_xlfn.IFNA(VLOOKUP($AH100,Programma!$F$3:$P$1101,11,0),"")</f>
        <v>1w</v>
      </c>
      <c r="AS100" s="411" t="str">
        <f>_xlfn.IFNA(VLOOKUP($AH100,Programma!$F$3:$Q$1101,12,0),"")</f>
        <v>1w</v>
      </c>
      <c r="AT100" s="411" t="str">
        <f>_xlfn.IFNA(VLOOKUP($AH100,Programma!$F$3:$R$1101,13,0),"")</f>
        <v>1w</v>
      </c>
      <c r="AU100" s="411" t="str">
        <f>_xlfn.IFNA(VLOOKUP($AH100,Programma!$F$3:$S$1101,14,0),"")</f>
        <v>1m</v>
      </c>
      <c r="AV100" s="411" t="str">
        <f>_xlfn.IFNA(VLOOKUP($AH100,Programma!$F$3:$T$1101,15,0),"")</f>
        <v>2j</v>
      </c>
      <c r="AW100" s="411" t="str">
        <f>_xlfn.IFNA(VLOOKUP($AH100,Programma!$F$3:$U$1101,16,0),"")</f>
        <v>1j</v>
      </c>
      <c r="AX100" s="411" t="str">
        <f>_xlfn.IFNA(VLOOKUP($AH100,Programma!$F$3:$V$1101,17,0),"")</f>
        <v>_</v>
      </c>
      <c r="AY100" s="411" t="str">
        <f>_xlfn.IFNA(VLOOKUP($AH100,Programma!$F$3:$W$1101,18,0),"")</f>
        <v>_</v>
      </c>
      <c r="AZ100" s="411" t="str">
        <f>_xlfn.IFNA(VLOOKUP($AH100,Programma!$F$3:$X$1101,19,0),"")</f>
        <v>_</v>
      </c>
      <c r="BA100" s="411" t="str">
        <f>_xlfn.IFNA(VLOOKUP($AH100,Programma!$F$3:$Y$1101,20,0),"")</f>
        <v>_</v>
      </c>
      <c r="BB100" s="412"/>
      <c r="BC100" s="410" t="str">
        <f>IF(Ruimtestaat[[#This Row],[Frequentie weekend]]="","",_xlfn.CONCAT(Ruimtestaat[[#This Row],[Ruimte code]],"-",Ruimtestaat[[#This Row],[Frequentie weekend]]," ",Ruimtestaat[[#This Row],[Vloer code]]))</f>
        <v/>
      </c>
      <c r="BD100" s="411" t="str">
        <f>_xlfn.IFNA(VLOOKUP($BC100,Programma!$F$3:$G$1101,2,0),"")</f>
        <v/>
      </c>
      <c r="BE100" s="411" t="str">
        <f>_xlfn.IFNA(VLOOKUP($BC100,Programma!$F$3:$H$1101,3,0),"")</f>
        <v/>
      </c>
      <c r="BF100" s="411" t="str">
        <f>_xlfn.IFNA(VLOOKUP($BC100,Programma!$F$3:$I$1101,4,0),"")</f>
        <v/>
      </c>
      <c r="BG100" s="411" t="str">
        <f>_xlfn.IFNA(VLOOKUP($BC100,Programma!$F$3:$J$1101,5,0),"")</f>
        <v/>
      </c>
      <c r="BH100" s="411" t="str">
        <f>_xlfn.IFNA(VLOOKUP($BC100,Programma!$F$3:$K$1101,6,0),"")</f>
        <v/>
      </c>
      <c r="BI100" s="411" t="str">
        <f>_xlfn.IFNA(VLOOKUP($BC100,Programma!$F$3:$L$1101,7,0),"")</f>
        <v/>
      </c>
      <c r="BJ100" s="411" t="str">
        <f>_xlfn.IFNA(VLOOKUP($BC100,Programma!$F$3:$M$1101,8,0),"")</f>
        <v/>
      </c>
      <c r="BK100" s="411" t="str">
        <f>_xlfn.IFNA(VLOOKUP($BC100,Programma!$F$3:$N$1101,9,0),"")</f>
        <v/>
      </c>
      <c r="BL100" s="411" t="str">
        <f>_xlfn.IFNA(VLOOKUP($BC100,Programma!$F$3:$O$1101,10,0),"")</f>
        <v/>
      </c>
      <c r="BM100" s="411" t="str">
        <f>_xlfn.IFNA(VLOOKUP($BC100,Programma!$F$3:$P$1101,11,0),"")</f>
        <v/>
      </c>
      <c r="BN100" s="411" t="str">
        <f>_xlfn.IFNA(VLOOKUP($BC100,Programma!$F$3:$Q$1101,12,0),"")</f>
        <v/>
      </c>
      <c r="BO100" s="411" t="str">
        <f>_xlfn.IFNA(VLOOKUP($BC100,Programma!$F$3:$R$1101,13,0),"")</f>
        <v/>
      </c>
      <c r="BP100" s="411" t="str">
        <f>_xlfn.IFNA(VLOOKUP($BC100,Programma!$F$3:$S$1101,14,0),"")</f>
        <v/>
      </c>
      <c r="BQ100" s="411" t="str">
        <f>_xlfn.IFNA(VLOOKUP($BC100,Programma!$F$3:$T$1101,15,0),"")</f>
        <v/>
      </c>
      <c r="BR100" s="411" t="str">
        <f>_xlfn.IFNA(VLOOKUP($BC100,Programma!$F$3:$U$1101,16,0),"")</f>
        <v/>
      </c>
      <c r="BS100" s="411" t="str">
        <f>_xlfn.IFNA(VLOOKUP($BC100,Programma!$F$3:$V$1101,17,0),"")</f>
        <v/>
      </c>
      <c r="BT100" s="411" t="str">
        <f>_xlfn.IFNA(VLOOKUP($BC100,Programma!$F$3:$W$1101,18,0),"")</f>
        <v/>
      </c>
      <c r="BU100" s="411" t="str">
        <f>_xlfn.IFNA(VLOOKUP($BC100,Programma!$F$3:$X$1101,19,0),"")</f>
        <v/>
      </c>
      <c r="BV100" s="411" t="str">
        <f>_xlfn.IFNA(VLOOKUP($BC100,Programma!$F$3:$Y$1101,20,0),"")</f>
        <v/>
      </c>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c r="FJ100" s="28"/>
      <c r="FK100" s="28"/>
      <c r="FL100" s="28"/>
      <c r="FM100" s="28"/>
      <c r="FN100" s="28"/>
      <c r="FO100" s="28"/>
      <c r="FP100" s="28"/>
      <c r="FQ100" s="28"/>
      <c r="FR100" s="28"/>
      <c r="FS100" s="28"/>
      <c r="FT100" s="28"/>
      <c r="FU100" s="28"/>
      <c r="FV100" s="28"/>
      <c r="FW100" s="28"/>
      <c r="FX100" s="28"/>
      <c r="FY100" s="28"/>
      <c r="FZ100" s="28"/>
      <c r="GA100" s="28"/>
      <c r="GB100" s="28"/>
      <c r="GC100" s="28"/>
      <c r="GD100" s="28"/>
      <c r="GE100" s="28"/>
      <c r="GF100" s="28"/>
      <c r="GG100" s="28"/>
      <c r="GH100" s="28"/>
      <c r="GI100" s="28"/>
      <c r="GJ100" s="28"/>
      <c r="GK100" s="28"/>
      <c r="GL100" s="28"/>
      <c r="GM100" s="28"/>
      <c r="GN100" s="28"/>
      <c r="GO100" s="28"/>
      <c r="GP100" s="28"/>
      <c r="GQ100" s="28"/>
      <c r="GR100" s="28"/>
      <c r="GS100" s="28"/>
      <c r="GT100" s="28"/>
      <c r="GU100" s="28"/>
      <c r="GV100" s="28"/>
      <c r="GW100" s="28"/>
      <c r="GX100" s="28"/>
      <c r="GY100" s="28"/>
      <c r="GZ100" s="28"/>
      <c r="HA100" s="28"/>
      <c r="HB100" s="28"/>
      <c r="HC100" s="28"/>
      <c r="HD100" s="28"/>
      <c r="HE100" s="28"/>
      <c r="HF100" s="28"/>
      <c r="HG100" s="28"/>
      <c r="HH100" s="28"/>
      <c r="HI100" s="28"/>
      <c r="HJ100" s="28"/>
      <c r="HK100" s="28"/>
    </row>
    <row r="101" spans="1:219" ht="15" customHeight="1">
      <c r="A101" s="336">
        <v>2</v>
      </c>
      <c r="B101" s="400" t="str">
        <f>VLOOKUP(Ruimtestaat[[#This Row],[Code]],Locaties[[Code]:[Locatie]],2,FALSE)</f>
        <v>Kleine Houtweg</v>
      </c>
      <c r="C101" s="400" t="str">
        <f>VLOOKUP(Ruimtestaat[[#This Row],[Code]],Locaties[[#All],[Code]:[Adres]],4,FALSE)</f>
        <v>Kleine Houtweg 18</v>
      </c>
      <c r="D101" s="400" t="str">
        <f>VLOOKUP(Ruimtestaat[[#This Row],[Code]],Locaties[[#All],[Code]:[Postcode]],5,FALSE)</f>
        <v>2012 CH</v>
      </c>
      <c r="E101" s="400" t="str">
        <f>VLOOKUP(Ruimtestaat[[#This Row],[Code]],Locaties[#All],6,FALSE)</f>
        <v>Haarlem</v>
      </c>
      <c r="F101" s="399" t="s">
        <v>1668</v>
      </c>
      <c r="G101" s="399" t="s">
        <v>1670</v>
      </c>
      <c r="H101" s="401"/>
      <c r="I101" s="402" t="s">
        <v>1641</v>
      </c>
      <c r="J101" s="336">
        <v>10</v>
      </c>
      <c r="K101" s="414" t="str">
        <f>VLOOKUP(Ruimtestaat[[#This Row],[Ruimte code]],Ruimtegroepen[[#All],[Code]:[Ruimte omschrijving]],2,FALSE)</f>
        <v>Trappenhuizen/lift</v>
      </c>
      <c r="L101" s="399" t="s">
        <v>101</v>
      </c>
      <c r="M101" s="402" t="s">
        <v>1669</v>
      </c>
      <c r="N101" s="404">
        <v>4.8</v>
      </c>
      <c r="O101" s="413"/>
      <c r="P101" s="405" t="str">
        <f>VLOOKUP(Ruimtestaat[[#This Row],[Ruimte code]],Ruimtegroepen[],4,FALSE)</f>
        <v>Ve</v>
      </c>
      <c r="Q101" s="399">
        <v>51</v>
      </c>
      <c r="R101" s="399" t="s">
        <v>15</v>
      </c>
      <c r="S101" s="399">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101" s="399">
        <f>IF(S101&gt;0,VLOOKUP($J101,Ruimtegroepen[],3,FALSE)*VLOOKUP($L101,Vloersoorten[],3,FALSE)*VLOOKUP($R101,Frequenties[],3,FALSE)*VLOOKUP($A101,Locaties[],3,FALSE),0)</f>
        <v>0</v>
      </c>
      <c r="U101" s="399">
        <f>Ruimtestaat[[#This Row],[Uitvoeringen werkdagen]]*Ruimtestaat[[#This Row],[Oppervlak (netto)]]</f>
        <v>244.79999999999998</v>
      </c>
      <c r="V101" s="406">
        <f>IF(T101&gt;0,Ruimtestaat[[#This Row],[Prest. (m2 /jaar) werkdagen]]/Ruimtestaat[[#This Row],[Norm (m2/uur) werkdagen]],0)</f>
        <v>0</v>
      </c>
      <c r="W101" s="407">
        <f>Ruimtestaat[[#This Row],[uren / jaar werkdagen]]*Tariefsopbouw!$E$35</f>
        <v>0</v>
      </c>
      <c r="X101" s="399"/>
      <c r="Y101" s="399">
        <f>IF(Ruimtestaat[[#This Row],[Frequentie weekend]]&gt;0,VALUE(LEFT(X101,1))*Q101,0)</f>
        <v>0</v>
      </c>
      <c r="Z101" s="408">
        <f>IF($Y101&gt;0,VLOOKUP($J101,Ruimtegroepen[],3,FALSE)*VLOOKUP($L101,Vloersoorten[],3,FALSE)*VLOOKUP($X101,Frequenties[],3,FALSE)*VLOOKUP(#REF!,Locaties[],3,FALSE),0)</f>
        <v>0</v>
      </c>
      <c r="AA101" s="408">
        <f>Ruimtestaat[[#This Row],[Uitvoeringen weekend]]*Ruimtestaat[[#This Row],[Oppervlak (netto)]]</f>
        <v>0</v>
      </c>
      <c r="AB101" s="408">
        <f>IF(Z101&gt;0,Ruimtestaat[[#This Row],[Prest. (m2 /jaar) weekend]]/Ruimtestaat[[#This Row],[Norm (m2/uur) weekend]],0)</f>
        <v>0</v>
      </c>
      <c r="AC101" s="407">
        <f>Ruimtestaat[[#This Row],[uren / jaar weekend]]*Tariefsopbouw!$D$40</f>
        <v>0</v>
      </c>
      <c r="AD101" s="406">
        <f>Ruimtestaat[[#This Row],[Prest. (m2 /jaar) weekend]]+Ruimtestaat[[#This Row],[Prest. (m2 /jaar) werkdagen]]</f>
        <v>244.79999999999998</v>
      </c>
      <c r="AE101" s="406">
        <f>Ruimtestaat[[#This Row],[uren / jaar weekend]]+Ruimtestaat[[#This Row],[uren / jaar werkdagen]]</f>
        <v>0</v>
      </c>
      <c r="AF101" s="409">
        <f>Ruimtestaat[[#This Row],[kosten / jaar weekend]]+Ruimtestaat[[#This Row],[kosten / jaar werkdagen]]</f>
        <v>0</v>
      </c>
      <c r="AG101" s="409"/>
      <c r="AH101" s="410" t="str">
        <f>IF(Ruimtestaat[[#This Row],[Frequentie werkdagen]]="","",_xlfn.CONCAT(Ruimtestaat[[#This Row],[Ruimte code]],"-",Ruimtestaat[[#This Row],[Frequentie werkdagen]]," ",Ruimtestaat[[#This Row],[Vloer code]]))</f>
        <v>10-1w S</v>
      </c>
      <c r="AI101" s="411" t="str">
        <f>_xlfn.IFNA(VLOOKUP($AH101,Programma!$F$3:$G$1101,2,0),"")</f>
        <v>_</v>
      </c>
      <c r="AJ101" s="411" t="str">
        <f>_xlfn.IFNA(VLOOKUP($AH101,Programma!$F$3:$H$1101,3,0),"")</f>
        <v>_</v>
      </c>
      <c r="AK101" s="411" t="str">
        <f>_xlfn.IFNA(VLOOKUP($AH101,Programma!$F$3:$I$1101,4,0),"")</f>
        <v>_</v>
      </c>
      <c r="AL101" s="411" t="str">
        <f>_xlfn.IFNA(VLOOKUP($AH101,Programma!$F$3:$J$1101,5,0),"")</f>
        <v>1w</v>
      </c>
      <c r="AM101" s="411" t="str">
        <f>_xlfn.IFNA(VLOOKUP($AH101,Programma!$F$3:$K$1101,6,0),"")</f>
        <v>4j</v>
      </c>
      <c r="AN101" s="411" t="str">
        <f>_xlfn.IFNA(VLOOKUP($AH101,Programma!$F$3:$L$1101,7,0),"")</f>
        <v>_</v>
      </c>
      <c r="AO101" s="411" t="str">
        <f>_xlfn.IFNA(VLOOKUP($AH101,Programma!$F$3:$M$1101,8,0),"")</f>
        <v>_</v>
      </c>
      <c r="AP101" s="411" t="str">
        <f>_xlfn.IFNA(VLOOKUP($AH101,Programma!$F$3:$N$1101,9,0),"")</f>
        <v>_</v>
      </c>
      <c r="AQ101" s="411" t="str">
        <f>_xlfn.IFNA(VLOOKUP($AH101,Programma!$F$3:$O$1101,10,0),"")</f>
        <v>1w</v>
      </c>
      <c r="AR101" s="411" t="str">
        <f>_xlfn.IFNA(VLOOKUP($AH101,Programma!$F$3:$P$1101,11,0),"")</f>
        <v>1w</v>
      </c>
      <c r="AS101" s="411" t="str">
        <f>_xlfn.IFNA(VLOOKUP($AH101,Programma!$F$3:$Q$1101,12,0),"")</f>
        <v>1w</v>
      </c>
      <c r="AT101" s="411" t="str">
        <f>_xlfn.IFNA(VLOOKUP($AH101,Programma!$F$3:$R$1101,13,0),"")</f>
        <v>1w</v>
      </c>
      <c r="AU101" s="411" t="str">
        <f>_xlfn.IFNA(VLOOKUP($AH101,Programma!$F$3:$S$1101,14,0),"")</f>
        <v>1m</v>
      </c>
      <c r="AV101" s="411" t="str">
        <f>_xlfn.IFNA(VLOOKUP($AH101,Programma!$F$3:$T$1101,15,0),"")</f>
        <v>2j</v>
      </c>
      <c r="AW101" s="411" t="str">
        <f>_xlfn.IFNA(VLOOKUP($AH101,Programma!$F$3:$U$1101,16,0),"")</f>
        <v>1j</v>
      </c>
      <c r="AX101" s="411" t="str">
        <f>_xlfn.IFNA(VLOOKUP($AH101,Programma!$F$3:$V$1101,17,0),"")</f>
        <v>_</v>
      </c>
      <c r="AY101" s="411" t="str">
        <f>_xlfn.IFNA(VLOOKUP($AH101,Programma!$F$3:$W$1101,18,0),"")</f>
        <v>_</v>
      </c>
      <c r="AZ101" s="411" t="str">
        <f>_xlfn.IFNA(VLOOKUP($AH101,Programma!$F$3:$X$1101,19,0),"")</f>
        <v>_</v>
      </c>
      <c r="BA101" s="411" t="str">
        <f>_xlfn.IFNA(VLOOKUP($AH101,Programma!$F$3:$Y$1101,20,0),"")</f>
        <v>_</v>
      </c>
      <c r="BB101" s="412"/>
      <c r="BC101" s="410" t="str">
        <f>IF(Ruimtestaat[[#This Row],[Frequentie weekend]]="","",_xlfn.CONCAT(Ruimtestaat[[#This Row],[Ruimte code]],"-",Ruimtestaat[[#This Row],[Frequentie weekend]]," ",Ruimtestaat[[#This Row],[Vloer code]]))</f>
        <v/>
      </c>
      <c r="BD101" s="411" t="str">
        <f>_xlfn.IFNA(VLOOKUP($BC101,Programma!$F$3:$G$1101,2,0),"")</f>
        <v/>
      </c>
      <c r="BE101" s="411" t="str">
        <f>_xlfn.IFNA(VLOOKUP($BC101,Programma!$F$3:$H$1101,3,0),"")</f>
        <v/>
      </c>
      <c r="BF101" s="411" t="str">
        <f>_xlfn.IFNA(VLOOKUP($BC101,Programma!$F$3:$I$1101,4,0),"")</f>
        <v/>
      </c>
      <c r="BG101" s="411" t="str">
        <f>_xlfn.IFNA(VLOOKUP($BC101,Programma!$F$3:$J$1101,5,0),"")</f>
        <v/>
      </c>
      <c r="BH101" s="411" t="str">
        <f>_xlfn.IFNA(VLOOKUP($BC101,Programma!$F$3:$K$1101,6,0),"")</f>
        <v/>
      </c>
      <c r="BI101" s="411" t="str">
        <f>_xlfn.IFNA(VLOOKUP($BC101,Programma!$F$3:$L$1101,7,0),"")</f>
        <v/>
      </c>
      <c r="BJ101" s="411" t="str">
        <f>_xlfn.IFNA(VLOOKUP($BC101,Programma!$F$3:$M$1101,8,0),"")</f>
        <v/>
      </c>
      <c r="BK101" s="411" t="str">
        <f>_xlfn.IFNA(VLOOKUP($BC101,Programma!$F$3:$N$1101,9,0),"")</f>
        <v/>
      </c>
      <c r="BL101" s="411" t="str">
        <f>_xlfn.IFNA(VLOOKUP($BC101,Programma!$F$3:$O$1101,10,0),"")</f>
        <v/>
      </c>
      <c r="BM101" s="411" t="str">
        <f>_xlfn.IFNA(VLOOKUP($BC101,Programma!$F$3:$P$1101,11,0),"")</f>
        <v/>
      </c>
      <c r="BN101" s="411" t="str">
        <f>_xlfn.IFNA(VLOOKUP($BC101,Programma!$F$3:$Q$1101,12,0),"")</f>
        <v/>
      </c>
      <c r="BO101" s="411" t="str">
        <f>_xlfn.IFNA(VLOOKUP($BC101,Programma!$F$3:$R$1101,13,0),"")</f>
        <v/>
      </c>
      <c r="BP101" s="411" t="str">
        <f>_xlfn.IFNA(VLOOKUP($BC101,Programma!$F$3:$S$1101,14,0),"")</f>
        <v/>
      </c>
      <c r="BQ101" s="411" t="str">
        <f>_xlfn.IFNA(VLOOKUP($BC101,Programma!$F$3:$T$1101,15,0),"")</f>
        <v/>
      </c>
      <c r="BR101" s="411" t="str">
        <f>_xlfn.IFNA(VLOOKUP($BC101,Programma!$F$3:$U$1101,16,0),"")</f>
        <v/>
      </c>
      <c r="BS101" s="411" t="str">
        <f>_xlfn.IFNA(VLOOKUP($BC101,Programma!$F$3:$V$1101,17,0),"")</f>
        <v/>
      </c>
      <c r="BT101" s="411" t="str">
        <f>_xlfn.IFNA(VLOOKUP($BC101,Programma!$F$3:$W$1101,18,0),"")</f>
        <v/>
      </c>
      <c r="BU101" s="411" t="str">
        <f>_xlfn.IFNA(VLOOKUP($BC101,Programma!$F$3:$X$1101,19,0),"")</f>
        <v/>
      </c>
      <c r="BV101" s="411" t="str">
        <f>_xlfn.IFNA(VLOOKUP($BC101,Programma!$F$3:$Y$1101,20,0),"")</f>
        <v/>
      </c>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c r="ET101" s="28"/>
      <c r="EU101" s="28"/>
      <c r="EV101" s="28"/>
      <c r="EW101" s="28"/>
      <c r="EX101" s="28"/>
      <c r="EY101" s="28"/>
      <c r="EZ101" s="28"/>
      <c r="FA101" s="28"/>
      <c r="FB101" s="28"/>
      <c r="FC101" s="28"/>
      <c r="FD101" s="28"/>
      <c r="FE101" s="28"/>
      <c r="FF101" s="28"/>
      <c r="FG101" s="28"/>
      <c r="FH101" s="28"/>
      <c r="FI101" s="28"/>
      <c r="FJ101" s="28"/>
      <c r="FK101" s="28"/>
      <c r="FL101" s="28"/>
      <c r="FM101" s="28"/>
      <c r="FN101" s="28"/>
      <c r="FO101" s="28"/>
      <c r="FP101" s="28"/>
      <c r="FQ101" s="28"/>
      <c r="FR101" s="28"/>
      <c r="FS101" s="28"/>
      <c r="FT101" s="28"/>
      <c r="FU101" s="28"/>
      <c r="FV101" s="28"/>
      <c r="FW101" s="28"/>
      <c r="FX101" s="28"/>
      <c r="FY101" s="28"/>
      <c r="FZ101" s="28"/>
      <c r="GA101" s="28"/>
      <c r="GB101" s="28"/>
      <c r="GC101" s="28"/>
      <c r="GD101" s="28"/>
      <c r="GE101" s="28"/>
      <c r="GF101" s="28"/>
      <c r="GG101" s="28"/>
      <c r="GH101" s="28"/>
      <c r="GI101" s="28"/>
      <c r="GJ101" s="28"/>
      <c r="GK101" s="28"/>
      <c r="GL101" s="28"/>
      <c r="GM101" s="28"/>
      <c r="GN101" s="28"/>
      <c r="GO101" s="28"/>
      <c r="GP101" s="28"/>
      <c r="GQ101" s="28"/>
      <c r="GR101" s="28"/>
      <c r="GS101" s="28"/>
      <c r="GT101" s="28"/>
      <c r="GU101" s="28"/>
      <c r="GV101" s="28"/>
      <c r="GW101" s="28"/>
      <c r="GX101" s="28"/>
      <c r="GY101" s="28"/>
      <c r="GZ101" s="28"/>
      <c r="HA101" s="28"/>
      <c r="HB101" s="28"/>
      <c r="HC101" s="28"/>
      <c r="HD101" s="28"/>
      <c r="HE101" s="28"/>
      <c r="HF101" s="28"/>
      <c r="HG101" s="28"/>
      <c r="HH101" s="28"/>
      <c r="HI101" s="28"/>
      <c r="HJ101" s="28"/>
      <c r="HK101" s="28"/>
    </row>
    <row r="102" spans="1:219" ht="15" customHeight="1">
      <c r="A102" s="336">
        <v>2</v>
      </c>
      <c r="B102" s="400" t="str">
        <f>VLOOKUP(Ruimtestaat[[#This Row],[Code]],Locaties[[Code]:[Locatie]],2,FALSE)</f>
        <v>Kleine Houtweg</v>
      </c>
      <c r="C102" s="400" t="str">
        <f>VLOOKUP(Ruimtestaat[[#This Row],[Code]],Locaties[[#All],[Code]:[Adres]],4,FALSE)</f>
        <v>Kleine Houtweg 18</v>
      </c>
      <c r="D102" s="400" t="str">
        <f>VLOOKUP(Ruimtestaat[[#This Row],[Code]],Locaties[[#All],[Code]:[Postcode]],5,FALSE)</f>
        <v>2012 CH</v>
      </c>
      <c r="E102" s="400" t="str">
        <f>VLOOKUP(Ruimtestaat[[#This Row],[Code]],Locaties[#All],6,FALSE)</f>
        <v>Haarlem</v>
      </c>
      <c r="F102" s="399" t="s">
        <v>1668</v>
      </c>
      <c r="G102" s="399" t="s">
        <v>1670</v>
      </c>
      <c r="H102" s="401"/>
      <c r="I102" s="402" t="s">
        <v>1631</v>
      </c>
      <c r="J102" s="336">
        <v>6</v>
      </c>
      <c r="K102" s="414" t="str">
        <f>VLOOKUP(Ruimtestaat[[#This Row],[Ruimte code]],Ruimtegroepen[[#All],[Code]:[Ruimte omschrijving]],2,FALSE)</f>
        <v>Gangen/hallen</v>
      </c>
      <c r="L102" s="399" t="s">
        <v>99</v>
      </c>
      <c r="M102" s="402" t="s">
        <v>36</v>
      </c>
      <c r="N102" s="404">
        <v>14.2</v>
      </c>
      <c r="O102" s="413"/>
      <c r="P102" s="405" t="str">
        <f>VLOOKUP(Ruimtestaat[[#This Row],[Ruimte code]],Ruimtegroepen[],4,FALSE)</f>
        <v>Ve</v>
      </c>
      <c r="Q102" s="399">
        <v>51</v>
      </c>
      <c r="R102" s="399" t="s">
        <v>15</v>
      </c>
      <c r="S102" s="399">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102" s="399">
        <f>IF(S102&gt;0,VLOOKUP($J102,Ruimtegroepen[],3,FALSE)*VLOOKUP($L102,Vloersoorten[],3,FALSE)*VLOOKUP($R102,Frequenties[],3,FALSE)*VLOOKUP($A102,Locaties[],3,FALSE),0)</f>
        <v>0</v>
      </c>
      <c r="U102" s="399">
        <f>Ruimtestaat[[#This Row],[Uitvoeringen werkdagen]]*Ruimtestaat[[#This Row],[Oppervlak (netto)]]</f>
        <v>724.19999999999993</v>
      </c>
      <c r="V102" s="406">
        <f>IF(T102&gt;0,Ruimtestaat[[#This Row],[Prest. (m2 /jaar) werkdagen]]/Ruimtestaat[[#This Row],[Norm (m2/uur) werkdagen]],0)</f>
        <v>0</v>
      </c>
      <c r="W102" s="407">
        <f>Ruimtestaat[[#This Row],[uren / jaar werkdagen]]*Tariefsopbouw!$E$35</f>
        <v>0</v>
      </c>
      <c r="X102" s="399"/>
      <c r="Y102" s="399">
        <f>IF(Ruimtestaat[[#This Row],[Frequentie weekend]]&gt;0,VALUE(LEFT(X102,1))*Q102,0)</f>
        <v>0</v>
      </c>
      <c r="Z102" s="408">
        <f>IF($Y102&gt;0,VLOOKUP($J102,Ruimtegroepen[],3,FALSE)*VLOOKUP($L102,Vloersoorten[],3,FALSE)*VLOOKUP($X102,Frequenties[],3,FALSE)*VLOOKUP(#REF!,Locaties[],3,FALSE),0)</f>
        <v>0</v>
      </c>
      <c r="AA102" s="408">
        <f>Ruimtestaat[[#This Row],[Uitvoeringen weekend]]*Ruimtestaat[[#This Row],[Oppervlak (netto)]]</f>
        <v>0</v>
      </c>
      <c r="AB102" s="408">
        <f>IF(Z102&gt;0,Ruimtestaat[[#This Row],[Prest. (m2 /jaar) weekend]]/Ruimtestaat[[#This Row],[Norm (m2/uur) weekend]],0)</f>
        <v>0</v>
      </c>
      <c r="AC102" s="407">
        <f>Ruimtestaat[[#This Row],[uren / jaar weekend]]*Tariefsopbouw!$D$40</f>
        <v>0</v>
      </c>
      <c r="AD102" s="406">
        <f>Ruimtestaat[[#This Row],[Prest. (m2 /jaar) weekend]]+Ruimtestaat[[#This Row],[Prest. (m2 /jaar) werkdagen]]</f>
        <v>724.19999999999993</v>
      </c>
      <c r="AE102" s="406">
        <f>Ruimtestaat[[#This Row],[uren / jaar weekend]]+Ruimtestaat[[#This Row],[uren / jaar werkdagen]]</f>
        <v>0</v>
      </c>
      <c r="AF102" s="409">
        <f>Ruimtestaat[[#This Row],[kosten / jaar weekend]]+Ruimtestaat[[#This Row],[kosten / jaar werkdagen]]</f>
        <v>0</v>
      </c>
      <c r="AG102" s="409"/>
      <c r="AH102" s="410" t="str">
        <f>IF(Ruimtestaat[[#This Row],[Frequentie werkdagen]]="","",_xlfn.CONCAT(Ruimtestaat[[#This Row],[Ruimte code]],"-",Ruimtestaat[[#This Row],[Frequentie werkdagen]]," ",Ruimtestaat[[#This Row],[Vloer code]]))</f>
        <v>6-1w T</v>
      </c>
      <c r="AI102" s="411" t="str">
        <f>_xlfn.IFNA(VLOOKUP($AH102,Programma!$F$3:$G$1101,2,0),"")</f>
        <v>_</v>
      </c>
      <c r="AJ102" s="411" t="str">
        <f>_xlfn.IFNA(VLOOKUP($AH102,Programma!$F$3:$H$1101,3,0),"")</f>
        <v>1w</v>
      </c>
      <c r="AK102" s="411" t="str">
        <f>_xlfn.IFNA(VLOOKUP($AH102,Programma!$F$3:$I$1101,4,0),"")</f>
        <v>_</v>
      </c>
      <c r="AL102" s="411" t="str">
        <f>_xlfn.IFNA(VLOOKUP($AH102,Programma!$F$3:$J$1101,5,0),"")</f>
        <v>_</v>
      </c>
      <c r="AM102" s="411" t="str">
        <f>_xlfn.IFNA(VLOOKUP($AH102,Programma!$F$3:$K$1101,6,0),"")</f>
        <v>_</v>
      </c>
      <c r="AN102" s="411" t="str">
        <f>_xlfn.IFNA(VLOOKUP($AH102,Programma!$F$3:$L$1101,7,0),"")</f>
        <v>_</v>
      </c>
      <c r="AO102" s="411" t="str">
        <f>_xlfn.IFNA(VLOOKUP($AH102,Programma!$F$3:$M$1101,8,0),"")</f>
        <v>_</v>
      </c>
      <c r="AP102" s="411" t="str">
        <f>_xlfn.IFNA(VLOOKUP($AH102,Programma!$F$3:$N$1101,9,0),"")</f>
        <v>_</v>
      </c>
      <c r="AQ102" s="411" t="str">
        <f>_xlfn.IFNA(VLOOKUP($AH102,Programma!$F$3:$O$1101,10,0),"")</f>
        <v>1w</v>
      </c>
      <c r="AR102" s="411" t="str">
        <f>_xlfn.IFNA(VLOOKUP($AH102,Programma!$F$3:$P$1101,11,0),"")</f>
        <v>1w</v>
      </c>
      <c r="AS102" s="411" t="str">
        <f>_xlfn.IFNA(VLOOKUP($AH102,Programma!$F$3:$Q$1101,12,0),"")</f>
        <v>1w</v>
      </c>
      <c r="AT102" s="411" t="str">
        <f>_xlfn.IFNA(VLOOKUP($AH102,Programma!$F$3:$R$1101,13,0),"")</f>
        <v>1w</v>
      </c>
      <c r="AU102" s="411" t="str">
        <f>_xlfn.IFNA(VLOOKUP($AH102,Programma!$F$3:$S$1101,14,0),"")</f>
        <v>1m</v>
      </c>
      <c r="AV102" s="411" t="str">
        <f>_xlfn.IFNA(VLOOKUP($AH102,Programma!$F$3:$T$1101,15,0),"")</f>
        <v>2j</v>
      </c>
      <c r="AW102" s="411" t="str">
        <f>_xlfn.IFNA(VLOOKUP($AH102,Programma!$F$3:$U$1101,16,0),"")</f>
        <v>1j</v>
      </c>
      <c r="AX102" s="411" t="str">
        <f>_xlfn.IFNA(VLOOKUP($AH102,Programma!$F$3:$V$1101,17,0),"")</f>
        <v>_</v>
      </c>
      <c r="AY102" s="411" t="str">
        <f>_xlfn.IFNA(VLOOKUP($AH102,Programma!$F$3:$W$1101,18,0),"")</f>
        <v>_</v>
      </c>
      <c r="AZ102" s="411" t="str">
        <f>_xlfn.IFNA(VLOOKUP($AH102,Programma!$F$3:$X$1101,19,0),"")</f>
        <v>_</v>
      </c>
      <c r="BA102" s="411" t="str">
        <f>_xlfn.IFNA(VLOOKUP($AH102,Programma!$F$3:$Y$1101,20,0),"")</f>
        <v>_</v>
      </c>
      <c r="BB102" s="412"/>
      <c r="BC102" s="410" t="str">
        <f>IF(Ruimtestaat[[#This Row],[Frequentie weekend]]="","",_xlfn.CONCAT(Ruimtestaat[[#This Row],[Ruimte code]],"-",Ruimtestaat[[#This Row],[Frequentie weekend]]," ",Ruimtestaat[[#This Row],[Vloer code]]))</f>
        <v/>
      </c>
      <c r="BD102" s="411" t="str">
        <f>_xlfn.IFNA(VLOOKUP($BC102,Programma!$F$3:$G$1101,2,0),"")</f>
        <v/>
      </c>
      <c r="BE102" s="411" t="str">
        <f>_xlfn.IFNA(VLOOKUP($BC102,Programma!$F$3:$H$1101,3,0),"")</f>
        <v/>
      </c>
      <c r="BF102" s="411" t="str">
        <f>_xlfn.IFNA(VLOOKUP($BC102,Programma!$F$3:$I$1101,4,0),"")</f>
        <v/>
      </c>
      <c r="BG102" s="411" t="str">
        <f>_xlfn.IFNA(VLOOKUP($BC102,Programma!$F$3:$J$1101,5,0),"")</f>
        <v/>
      </c>
      <c r="BH102" s="411" t="str">
        <f>_xlfn.IFNA(VLOOKUP($BC102,Programma!$F$3:$K$1101,6,0),"")</f>
        <v/>
      </c>
      <c r="BI102" s="411" t="str">
        <f>_xlfn.IFNA(VLOOKUP($BC102,Programma!$F$3:$L$1101,7,0),"")</f>
        <v/>
      </c>
      <c r="BJ102" s="411" t="str">
        <f>_xlfn.IFNA(VLOOKUP($BC102,Programma!$F$3:$M$1101,8,0),"")</f>
        <v/>
      </c>
      <c r="BK102" s="411" t="str">
        <f>_xlfn.IFNA(VLOOKUP($BC102,Programma!$F$3:$N$1101,9,0),"")</f>
        <v/>
      </c>
      <c r="BL102" s="411" t="str">
        <f>_xlfn.IFNA(VLOOKUP($BC102,Programma!$F$3:$O$1101,10,0),"")</f>
        <v/>
      </c>
      <c r="BM102" s="411" t="str">
        <f>_xlfn.IFNA(VLOOKUP($BC102,Programma!$F$3:$P$1101,11,0),"")</f>
        <v/>
      </c>
      <c r="BN102" s="411" t="str">
        <f>_xlfn.IFNA(VLOOKUP($BC102,Programma!$F$3:$Q$1101,12,0),"")</f>
        <v/>
      </c>
      <c r="BO102" s="411" t="str">
        <f>_xlfn.IFNA(VLOOKUP($BC102,Programma!$F$3:$R$1101,13,0),"")</f>
        <v/>
      </c>
      <c r="BP102" s="411" t="str">
        <f>_xlfn.IFNA(VLOOKUP($BC102,Programma!$F$3:$S$1101,14,0),"")</f>
        <v/>
      </c>
      <c r="BQ102" s="411" t="str">
        <f>_xlfn.IFNA(VLOOKUP($BC102,Programma!$F$3:$T$1101,15,0),"")</f>
        <v/>
      </c>
      <c r="BR102" s="411" t="str">
        <f>_xlfn.IFNA(VLOOKUP($BC102,Programma!$F$3:$U$1101,16,0),"")</f>
        <v/>
      </c>
      <c r="BS102" s="411" t="str">
        <f>_xlfn.IFNA(VLOOKUP($BC102,Programma!$F$3:$V$1101,17,0),"")</f>
        <v/>
      </c>
      <c r="BT102" s="411" t="str">
        <f>_xlfn.IFNA(VLOOKUP($BC102,Programma!$F$3:$W$1101,18,0),"")</f>
        <v/>
      </c>
      <c r="BU102" s="411" t="str">
        <f>_xlfn.IFNA(VLOOKUP($BC102,Programma!$F$3:$X$1101,19,0),"")</f>
        <v/>
      </c>
      <c r="BV102" s="411" t="str">
        <f>_xlfn.IFNA(VLOOKUP($BC102,Programma!$F$3:$Y$1101,20,0),"")</f>
        <v/>
      </c>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row>
    <row r="103" spans="1:219" ht="15" customHeight="1">
      <c r="A103" s="336">
        <v>2</v>
      </c>
      <c r="B103" s="400" t="str">
        <f>VLOOKUP(Ruimtestaat[[#This Row],[Code]],Locaties[[Code]:[Locatie]],2,FALSE)</f>
        <v>Kleine Houtweg</v>
      </c>
      <c r="C103" s="400" t="str">
        <f>VLOOKUP(Ruimtestaat[[#This Row],[Code]],Locaties[[#All],[Code]:[Adres]],4,FALSE)</f>
        <v>Kleine Houtweg 18</v>
      </c>
      <c r="D103" s="400" t="str">
        <f>VLOOKUP(Ruimtestaat[[#This Row],[Code]],Locaties[[#All],[Code]:[Postcode]],5,FALSE)</f>
        <v>2012 CH</v>
      </c>
      <c r="E103" s="400" t="str">
        <f>VLOOKUP(Ruimtestaat[[#This Row],[Code]],Locaties[#All],6,FALSE)</f>
        <v>Haarlem</v>
      </c>
      <c r="F103" s="399" t="s">
        <v>1668</v>
      </c>
      <c r="G103" s="399" t="s">
        <v>1640</v>
      </c>
      <c r="H103" s="401"/>
      <c r="I103" s="402" t="s">
        <v>1641</v>
      </c>
      <c r="J103" s="336">
        <v>10</v>
      </c>
      <c r="K103" s="414" t="str">
        <f>VLOOKUP(Ruimtestaat[[#This Row],[Ruimte code]],Ruimtegroepen[[#All],[Code]:[Ruimte omschrijving]],2,FALSE)</f>
        <v>Trappenhuizen/lift</v>
      </c>
      <c r="L103" s="399" t="s">
        <v>101</v>
      </c>
      <c r="M103" s="402" t="s">
        <v>1669</v>
      </c>
      <c r="N103" s="404">
        <v>4.8</v>
      </c>
      <c r="O103" s="413"/>
      <c r="P103" s="405" t="str">
        <f>VLOOKUP(Ruimtestaat[[#This Row],[Ruimte code]],Ruimtegroepen[],4,FALSE)</f>
        <v>Ve</v>
      </c>
      <c r="Q103" s="399">
        <v>51</v>
      </c>
      <c r="R103" s="399" t="s">
        <v>15</v>
      </c>
      <c r="S103" s="399">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103" s="399">
        <f>IF(S103&gt;0,VLOOKUP($J103,Ruimtegroepen[],3,FALSE)*VLOOKUP($L103,Vloersoorten[],3,FALSE)*VLOOKUP($R103,Frequenties[],3,FALSE)*VLOOKUP($A103,Locaties[],3,FALSE),0)</f>
        <v>0</v>
      </c>
      <c r="U103" s="399">
        <f>Ruimtestaat[[#This Row],[Uitvoeringen werkdagen]]*Ruimtestaat[[#This Row],[Oppervlak (netto)]]</f>
        <v>244.79999999999998</v>
      </c>
      <c r="V103" s="406">
        <f>IF(T103&gt;0,Ruimtestaat[[#This Row],[Prest. (m2 /jaar) werkdagen]]/Ruimtestaat[[#This Row],[Norm (m2/uur) werkdagen]],0)</f>
        <v>0</v>
      </c>
      <c r="W103" s="407">
        <f>Ruimtestaat[[#This Row],[uren / jaar werkdagen]]*Tariefsopbouw!$E$35</f>
        <v>0</v>
      </c>
      <c r="X103" s="399"/>
      <c r="Y103" s="399">
        <f>IF(Ruimtestaat[[#This Row],[Frequentie weekend]]&gt;0,VALUE(LEFT(X103,1))*Q103,0)</f>
        <v>0</v>
      </c>
      <c r="Z103" s="408">
        <f>IF($Y103&gt;0,VLOOKUP($J103,Ruimtegroepen[],3,FALSE)*VLOOKUP($L103,Vloersoorten[],3,FALSE)*VLOOKUP($X103,Frequenties[],3,FALSE)*VLOOKUP(#REF!,Locaties[],3,FALSE),0)</f>
        <v>0</v>
      </c>
      <c r="AA103" s="408">
        <f>Ruimtestaat[[#This Row],[Uitvoeringen weekend]]*Ruimtestaat[[#This Row],[Oppervlak (netto)]]</f>
        <v>0</v>
      </c>
      <c r="AB103" s="408">
        <f>IF(Z103&gt;0,Ruimtestaat[[#This Row],[Prest. (m2 /jaar) weekend]]/Ruimtestaat[[#This Row],[Norm (m2/uur) weekend]],0)</f>
        <v>0</v>
      </c>
      <c r="AC103" s="407">
        <f>Ruimtestaat[[#This Row],[uren / jaar weekend]]*Tariefsopbouw!$D$40</f>
        <v>0</v>
      </c>
      <c r="AD103" s="406">
        <f>Ruimtestaat[[#This Row],[Prest. (m2 /jaar) weekend]]+Ruimtestaat[[#This Row],[Prest. (m2 /jaar) werkdagen]]</f>
        <v>244.79999999999998</v>
      </c>
      <c r="AE103" s="406">
        <f>Ruimtestaat[[#This Row],[uren / jaar weekend]]+Ruimtestaat[[#This Row],[uren / jaar werkdagen]]</f>
        <v>0</v>
      </c>
      <c r="AF103" s="409">
        <f>Ruimtestaat[[#This Row],[kosten / jaar weekend]]+Ruimtestaat[[#This Row],[kosten / jaar werkdagen]]</f>
        <v>0</v>
      </c>
      <c r="AG103" s="409"/>
      <c r="AH103" s="410" t="str">
        <f>IF(Ruimtestaat[[#This Row],[Frequentie werkdagen]]="","",_xlfn.CONCAT(Ruimtestaat[[#This Row],[Ruimte code]],"-",Ruimtestaat[[#This Row],[Frequentie werkdagen]]," ",Ruimtestaat[[#This Row],[Vloer code]]))</f>
        <v>10-1w S</v>
      </c>
      <c r="AI103" s="411" t="str">
        <f>_xlfn.IFNA(VLOOKUP($AH103,Programma!$F$3:$G$1101,2,0),"")</f>
        <v>_</v>
      </c>
      <c r="AJ103" s="411" t="str">
        <f>_xlfn.IFNA(VLOOKUP($AH103,Programma!$F$3:$H$1101,3,0),"")</f>
        <v>_</v>
      </c>
      <c r="AK103" s="411" t="str">
        <f>_xlfn.IFNA(VLOOKUP($AH103,Programma!$F$3:$I$1101,4,0),"")</f>
        <v>_</v>
      </c>
      <c r="AL103" s="411" t="str">
        <f>_xlfn.IFNA(VLOOKUP($AH103,Programma!$F$3:$J$1101,5,0),"")</f>
        <v>1w</v>
      </c>
      <c r="AM103" s="411" t="str">
        <f>_xlfn.IFNA(VLOOKUP($AH103,Programma!$F$3:$K$1101,6,0),"")</f>
        <v>4j</v>
      </c>
      <c r="AN103" s="411" t="str">
        <f>_xlfn.IFNA(VLOOKUP($AH103,Programma!$F$3:$L$1101,7,0),"")</f>
        <v>_</v>
      </c>
      <c r="AO103" s="411" t="str">
        <f>_xlfn.IFNA(VLOOKUP($AH103,Programma!$F$3:$M$1101,8,0),"")</f>
        <v>_</v>
      </c>
      <c r="AP103" s="411" t="str">
        <f>_xlfn.IFNA(VLOOKUP($AH103,Programma!$F$3:$N$1101,9,0),"")</f>
        <v>_</v>
      </c>
      <c r="AQ103" s="411" t="str">
        <f>_xlfn.IFNA(VLOOKUP($AH103,Programma!$F$3:$O$1101,10,0),"")</f>
        <v>1w</v>
      </c>
      <c r="AR103" s="411" t="str">
        <f>_xlfn.IFNA(VLOOKUP($AH103,Programma!$F$3:$P$1101,11,0),"")</f>
        <v>1w</v>
      </c>
      <c r="AS103" s="411" t="str">
        <f>_xlfn.IFNA(VLOOKUP($AH103,Programma!$F$3:$Q$1101,12,0),"")</f>
        <v>1w</v>
      </c>
      <c r="AT103" s="411" t="str">
        <f>_xlfn.IFNA(VLOOKUP($AH103,Programma!$F$3:$R$1101,13,0),"")</f>
        <v>1w</v>
      </c>
      <c r="AU103" s="411" t="str">
        <f>_xlfn.IFNA(VLOOKUP($AH103,Programma!$F$3:$S$1101,14,0),"")</f>
        <v>1m</v>
      </c>
      <c r="AV103" s="411" t="str">
        <f>_xlfn.IFNA(VLOOKUP($AH103,Programma!$F$3:$T$1101,15,0),"")</f>
        <v>2j</v>
      </c>
      <c r="AW103" s="411" t="str">
        <f>_xlfn.IFNA(VLOOKUP($AH103,Programma!$F$3:$U$1101,16,0),"")</f>
        <v>1j</v>
      </c>
      <c r="AX103" s="411" t="str">
        <f>_xlfn.IFNA(VLOOKUP($AH103,Programma!$F$3:$V$1101,17,0),"")</f>
        <v>_</v>
      </c>
      <c r="AY103" s="411" t="str">
        <f>_xlfn.IFNA(VLOOKUP($AH103,Programma!$F$3:$W$1101,18,0),"")</f>
        <v>_</v>
      </c>
      <c r="AZ103" s="411" t="str">
        <f>_xlfn.IFNA(VLOOKUP($AH103,Programma!$F$3:$X$1101,19,0),"")</f>
        <v>_</v>
      </c>
      <c r="BA103" s="411" t="str">
        <f>_xlfn.IFNA(VLOOKUP($AH103,Programma!$F$3:$Y$1101,20,0),"")</f>
        <v>_</v>
      </c>
      <c r="BB103" s="412"/>
      <c r="BC103" s="410" t="str">
        <f>IF(Ruimtestaat[[#This Row],[Frequentie weekend]]="","",_xlfn.CONCAT(Ruimtestaat[[#This Row],[Ruimte code]],"-",Ruimtestaat[[#This Row],[Frequentie weekend]]," ",Ruimtestaat[[#This Row],[Vloer code]]))</f>
        <v/>
      </c>
      <c r="BD103" s="411" t="str">
        <f>_xlfn.IFNA(VLOOKUP($BC103,Programma!$F$3:$G$1101,2,0),"")</f>
        <v/>
      </c>
      <c r="BE103" s="411" t="str">
        <f>_xlfn.IFNA(VLOOKUP($BC103,Programma!$F$3:$H$1101,3,0),"")</f>
        <v/>
      </c>
      <c r="BF103" s="411" t="str">
        <f>_xlfn.IFNA(VLOOKUP($BC103,Programma!$F$3:$I$1101,4,0),"")</f>
        <v/>
      </c>
      <c r="BG103" s="411" t="str">
        <f>_xlfn.IFNA(VLOOKUP($BC103,Programma!$F$3:$J$1101,5,0),"")</f>
        <v/>
      </c>
      <c r="BH103" s="411" t="str">
        <f>_xlfn.IFNA(VLOOKUP($BC103,Programma!$F$3:$K$1101,6,0),"")</f>
        <v/>
      </c>
      <c r="BI103" s="411" t="str">
        <f>_xlfn.IFNA(VLOOKUP($BC103,Programma!$F$3:$L$1101,7,0),"")</f>
        <v/>
      </c>
      <c r="BJ103" s="411" t="str">
        <f>_xlfn.IFNA(VLOOKUP($BC103,Programma!$F$3:$M$1101,8,0),"")</f>
        <v/>
      </c>
      <c r="BK103" s="411" t="str">
        <f>_xlfn.IFNA(VLOOKUP($BC103,Programma!$F$3:$N$1101,9,0),"")</f>
        <v/>
      </c>
      <c r="BL103" s="411" t="str">
        <f>_xlfn.IFNA(VLOOKUP($BC103,Programma!$F$3:$O$1101,10,0),"")</f>
        <v/>
      </c>
      <c r="BM103" s="411" t="str">
        <f>_xlfn.IFNA(VLOOKUP($BC103,Programma!$F$3:$P$1101,11,0),"")</f>
        <v/>
      </c>
      <c r="BN103" s="411" t="str">
        <f>_xlfn.IFNA(VLOOKUP($BC103,Programma!$F$3:$Q$1101,12,0),"")</f>
        <v/>
      </c>
      <c r="BO103" s="411" t="str">
        <f>_xlfn.IFNA(VLOOKUP($BC103,Programma!$F$3:$R$1101,13,0),"")</f>
        <v/>
      </c>
      <c r="BP103" s="411" t="str">
        <f>_xlfn.IFNA(VLOOKUP($BC103,Programma!$F$3:$S$1101,14,0),"")</f>
        <v/>
      </c>
      <c r="BQ103" s="411" t="str">
        <f>_xlfn.IFNA(VLOOKUP($BC103,Programma!$F$3:$T$1101,15,0),"")</f>
        <v/>
      </c>
      <c r="BR103" s="411" t="str">
        <f>_xlfn.IFNA(VLOOKUP($BC103,Programma!$F$3:$U$1101,16,0),"")</f>
        <v/>
      </c>
      <c r="BS103" s="411" t="str">
        <f>_xlfn.IFNA(VLOOKUP($BC103,Programma!$F$3:$V$1101,17,0),"")</f>
        <v/>
      </c>
      <c r="BT103" s="411" t="str">
        <f>_xlfn.IFNA(VLOOKUP($BC103,Programma!$F$3:$W$1101,18,0),"")</f>
        <v/>
      </c>
      <c r="BU103" s="411" t="str">
        <f>_xlfn.IFNA(VLOOKUP($BC103,Programma!$F$3:$X$1101,19,0),"")</f>
        <v/>
      </c>
      <c r="BV103" s="411" t="str">
        <f>_xlfn.IFNA(VLOOKUP($BC103,Programma!$F$3:$Y$1101,20,0),"")</f>
        <v/>
      </c>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c r="EO103" s="28"/>
      <c r="EP103" s="28"/>
      <c r="EQ103" s="28"/>
      <c r="ER103" s="28"/>
      <c r="ES103" s="28"/>
      <c r="ET103" s="28"/>
      <c r="EU103" s="28"/>
      <c r="EV103" s="28"/>
      <c r="EW103" s="28"/>
      <c r="EX103" s="28"/>
      <c r="EY103" s="28"/>
      <c r="EZ103" s="28"/>
      <c r="FA103" s="28"/>
      <c r="FB103" s="28"/>
      <c r="FC103" s="28"/>
      <c r="FD103" s="28"/>
      <c r="FE103" s="28"/>
      <c r="FF103" s="28"/>
      <c r="FG103" s="28"/>
      <c r="FH103" s="28"/>
      <c r="FI103" s="28"/>
      <c r="FJ103" s="28"/>
      <c r="FK103" s="28"/>
      <c r="FL103" s="28"/>
      <c r="FM103" s="28"/>
      <c r="FN103" s="28"/>
      <c r="FO103" s="28"/>
      <c r="FP103" s="28"/>
      <c r="FQ103" s="28"/>
      <c r="FR103" s="28"/>
      <c r="FS103" s="28"/>
      <c r="FT103" s="28"/>
      <c r="FU103" s="28"/>
      <c r="FV103" s="28"/>
      <c r="FW103" s="28"/>
      <c r="FX103" s="28"/>
      <c r="FY103" s="28"/>
      <c r="FZ103" s="28"/>
      <c r="GA103" s="28"/>
      <c r="GB103" s="28"/>
      <c r="GC103" s="28"/>
      <c r="GD103" s="28"/>
      <c r="GE103" s="28"/>
      <c r="GF103" s="28"/>
      <c r="GG103" s="28"/>
      <c r="GH103" s="28"/>
      <c r="GI103" s="28"/>
      <c r="GJ103" s="28"/>
      <c r="GK103" s="28"/>
      <c r="GL103" s="28"/>
      <c r="GM103" s="28"/>
      <c r="GN103" s="28"/>
      <c r="GO103" s="28"/>
      <c r="GP103" s="28"/>
      <c r="GQ103" s="28"/>
      <c r="GR103" s="28"/>
      <c r="GS103" s="28"/>
      <c r="GT103" s="28"/>
      <c r="GU103" s="28"/>
      <c r="GV103" s="28"/>
      <c r="GW103" s="28"/>
      <c r="GX103" s="28"/>
      <c r="GY103" s="28"/>
      <c r="GZ103" s="28"/>
      <c r="HA103" s="28"/>
      <c r="HB103" s="28"/>
      <c r="HC103" s="28"/>
      <c r="HD103" s="28"/>
      <c r="HE103" s="28"/>
      <c r="HF103" s="28"/>
      <c r="HG103" s="28"/>
      <c r="HH103" s="28"/>
      <c r="HI103" s="28"/>
      <c r="HJ103" s="28"/>
      <c r="HK103" s="28"/>
    </row>
    <row r="104" spans="1:219" ht="15" customHeight="1">
      <c r="A104" s="336">
        <v>2</v>
      </c>
      <c r="B104" s="400" t="str">
        <f>VLOOKUP(Ruimtestaat[[#This Row],[Code]],Locaties[[Code]:[Locatie]],2,FALSE)</f>
        <v>Kleine Houtweg</v>
      </c>
      <c r="C104" s="400" t="str">
        <f>VLOOKUP(Ruimtestaat[[#This Row],[Code]],Locaties[[#All],[Code]:[Adres]],4,FALSE)</f>
        <v>Kleine Houtweg 18</v>
      </c>
      <c r="D104" s="400" t="str">
        <f>VLOOKUP(Ruimtestaat[[#This Row],[Code]],Locaties[[#All],[Code]:[Postcode]],5,FALSE)</f>
        <v>2012 CH</v>
      </c>
      <c r="E104" s="400" t="str">
        <f>VLOOKUP(Ruimtestaat[[#This Row],[Code]],Locaties[#All],6,FALSE)</f>
        <v>Haarlem</v>
      </c>
      <c r="F104" s="399" t="s">
        <v>1668</v>
      </c>
      <c r="G104" s="399" t="s">
        <v>1640</v>
      </c>
      <c r="H104" s="401"/>
      <c r="I104" s="402" t="s">
        <v>1631</v>
      </c>
      <c r="J104" s="336">
        <v>6</v>
      </c>
      <c r="K104" s="414" t="str">
        <f>VLOOKUP(Ruimtestaat[[#This Row],[Ruimte code]],Ruimtegroepen[[#All],[Code]:[Ruimte omschrijving]],2,FALSE)</f>
        <v>Gangen/hallen</v>
      </c>
      <c r="L104" s="399" t="s">
        <v>99</v>
      </c>
      <c r="M104" s="402" t="s">
        <v>36</v>
      </c>
      <c r="N104" s="404">
        <v>14.2</v>
      </c>
      <c r="O104" s="413"/>
      <c r="P104" s="405" t="str">
        <f>VLOOKUP(Ruimtestaat[[#This Row],[Ruimte code]],Ruimtegroepen[],4,FALSE)</f>
        <v>Ve</v>
      </c>
      <c r="Q104" s="399">
        <v>51</v>
      </c>
      <c r="R104" s="399" t="s">
        <v>15</v>
      </c>
      <c r="S104" s="399">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104" s="399">
        <f>IF(S104&gt;0,VLOOKUP($J104,Ruimtegroepen[],3,FALSE)*VLOOKUP($L104,Vloersoorten[],3,FALSE)*VLOOKUP($R104,Frequenties[],3,FALSE)*VLOOKUP($A104,Locaties[],3,FALSE),0)</f>
        <v>0</v>
      </c>
      <c r="U104" s="399">
        <f>Ruimtestaat[[#This Row],[Uitvoeringen werkdagen]]*Ruimtestaat[[#This Row],[Oppervlak (netto)]]</f>
        <v>724.19999999999993</v>
      </c>
      <c r="V104" s="406">
        <f>IF(T104&gt;0,Ruimtestaat[[#This Row],[Prest. (m2 /jaar) werkdagen]]/Ruimtestaat[[#This Row],[Norm (m2/uur) werkdagen]],0)</f>
        <v>0</v>
      </c>
      <c r="W104" s="407">
        <f>Ruimtestaat[[#This Row],[uren / jaar werkdagen]]*Tariefsopbouw!$E$35</f>
        <v>0</v>
      </c>
      <c r="X104" s="399"/>
      <c r="Y104" s="399">
        <f>IF(Ruimtestaat[[#This Row],[Frequentie weekend]]&gt;0,VALUE(LEFT(X104,1))*Q104,0)</f>
        <v>0</v>
      </c>
      <c r="Z104" s="408">
        <f>IF($Y104&gt;0,VLOOKUP($J104,Ruimtegroepen[],3,FALSE)*VLOOKUP($L104,Vloersoorten[],3,FALSE)*VLOOKUP($X104,Frequenties[],3,FALSE)*VLOOKUP(#REF!,Locaties[],3,FALSE),0)</f>
        <v>0</v>
      </c>
      <c r="AA104" s="408">
        <f>Ruimtestaat[[#This Row],[Uitvoeringen weekend]]*Ruimtestaat[[#This Row],[Oppervlak (netto)]]</f>
        <v>0</v>
      </c>
      <c r="AB104" s="408">
        <f>IF(Z104&gt;0,Ruimtestaat[[#This Row],[Prest. (m2 /jaar) weekend]]/Ruimtestaat[[#This Row],[Norm (m2/uur) weekend]],0)</f>
        <v>0</v>
      </c>
      <c r="AC104" s="407">
        <f>Ruimtestaat[[#This Row],[uren / jaar weekend]]*Tariefsopbouw!$D$40</f>
        <v>0</v>
      </c>
      <c r="AD104" s="406">
        <f>Ruimtestaat[[#This Row],[Prest. (m2 /jaar) weekend]]+Ruimtestaat[[#This Row],[Prest. (m2 /jaar) werkdagen]]</f>
        <v>724.19999999999993</v>
      </c>
      <c r="AE104" s="406">
        <f>Ruimtestaat[[#This Row],[uren / jaar weekend]]+Ruimtestaat[[#This Row],[uren / jaar werkdagen]]</f>
        <v>0</v>
      </c>
      <c r="AF104" s="409">
        <f>Ruimtestaat[[#This Row],[kosten / jaar weekend]]+Ruimtestaat[[#This Row],[kosten / jaar werkdagen]]</f>
        <v>0</v>
      </c>
      <c r="AG104" s="409"/>
      <c r="AH104" s="410" t="str">
        <f>IF(Ruimtestaat[[#This Row],[Frequentie werkdagen]]="","",_xlfn.CONCAT(Ruimtestaat[[#This Row],[Ruimte code]],"-",Ruimtestaat[[#This Row],[Frequentie werkdagen]]," ",Ruimtestaat[[#This Row],[Vloer code]]))</f>
        <v>6-1w T</v>
      </c>
      <c r="AI104" s="411" t="str">
        <f>_xlfn.IFNA(VLOOKUP($AH104,Programma!$F$3:$G$1101,2,0),"")</f>
        <v>_</v>
      </c>
      <c r="AJ104" s="411" t="str">
        <f>_xlfn.IFNA(VLOOKUP($AH104,Programma!$F$3:$H$1101,3,0),"")</f>
        <v>1w</v>
      </c>
      <c r="AK104" s="411" t="str">
        <f>_xlfn.IFNA(VLOOKUP($AH104,Programma!$F$3:$I$1101,4,0),"")</f>
        <v>_</v>
      </c>
      <c r="AL104" s="411" t="str">
        <f>_xlfn.IFNA(VLOOKUP($AH104,Programma!$F$3:$J$1101,5,0),"")</f>
        <v>_</v>
      </c>
      <c r="AM104" s="411" t="str">
        <f>_xlfn.IFNA(VLOOKUP($AH104,Programma!$F$3:$K$1101,6,0),"")</f>
        <v>_</v>
      </c>
      <c r="AN104" s="411" t="str">
        <f>_xlfn.IFNA(VLOOKUP($AH104,Programma!$F$3:$L$1101,7,0),"")</f>
        <v>_</v>
      </c>
      <c r="AO104" s="411" t="str">
        <f>_xlfn.IFNA(VLOOKUP($AH104,Programma!$F$3:$M$1101,8,0),"")</f>
        <v>_</v>
      </c>
      <c r="AP104" s="411" t="str">
        <f>_xlfn.IFNA(VLOOKUP($AH104,Programma!$F$3:$N$1101,9,0),"")</f>
        <v>_</v>
      </c>
      <c r="AQ104" s="411" t="str">
        <f>_xlfn.IFNA(VLOOKUP($AH104,Programma!$F$3:$O$1101,10,0),"")</f>
        <v>1w</v>
      </c>
      <c r="AR104" s="411" t="str">
        <f>_xlfn.IFNA(VLOOKUP($AH104,Programma!$F$3:$P$1101,11,0),"")</f>
        <v>1w</v>
      </c>
      <c r="AS104" s="411" t="str">
        <f>_xlfn.IFNA(VLOOKUP($AH104,Programma!$F$3:$Q$1101,12,0),"")</f>
        <v>1w</v>
      </c>
      <c r="AT104" s="411" t="str">
        <f>_xlfn.IFNA(VLOOKUP($AH104,Programma!$F$3:$R$1101,13,0),"")</f>
        <v>1w</v>
      </c>
      <c r="AU104" s="411" t="str">
        <f>_xlfn.IFNA(VLOOKUP($AH104,Programma!$F$3:$S$1101,14,0),"")</f>
        <v>1m</v>
      </c>
      <c r="AV104" s="411" t="str">
        <f>_xlfn.IFNA(VLOOKUP($AH104,Programma!$F$3:$T$1101,15,0),"")</f>
        <v>2j</v>
      </c>
      <c r="AW104" s="411" t="str">
        <f>_xlfn.IFNA(VLOOKUP($AH104,Programma!$F$3:$U$1101,16,0),"")</f>
        <v>1j</v>
      </c>
      <c r="AX104" s="411" t="str">
        <f>_xlfn.IFNA(VLOOKUP($AH104,Programma!$F$3:$V$1101,17,0),"")</f>
        <v>_</v>
      </c>
      <c r="AY104" s="411" t="str">
        <f>_xlfn.IFNA(VLOOKUP($AH104,Programma!$F$3:$W$1101,18,0),"")</f>
        <v>_</v>
      </c>
      <c r="AZ104" s="411" t="str">
        <f>_xlfn.IFNA(VLOOKUP($AH104,Programma!$F$3:$X$1101,19,0),"")</f>
        <v>_</v>
      </c>
      <c r="BA104" s="411" t="str">
        <f>_xlfn.IFNA(VLOOKUP($AH104,Programma!$F$3:$Y$1101,20,0),"")</f>
        <v>_</v>
      </c>
      <c r="BB104" s="412"/>
      <c r="BC104" s="410" t="str">
        <f>IF(Ruimtestaat[[#This Row],[Frequentie weekend]]="","",_xlfn.CONCAT(Ruimtestaat[[#This Row],[Ruimte code]],"-",Ruimtestaat[[#This Row],[Frequentie weekend]]," ",Ruimtestaat[[#This Row],[Vloer code]]))</f>
        <v/>
      </c>
      <c r="BD104" s="411" t="str">
        <f>_xlfn.IFNA(VLOOKUP($BC104,Programma!$F$3:$G$1101,2,0),"")</f>
        <v/>
      </c>
      <c r="BE104" s="411" t="str">
        <f>_xlfn.IFNA(VLOOKUP($BC104,Programma!$F$3:$H$1101,3,0),"")</f>
        <v/>
      </c>
      <c r="BF104" s="411" t="str">
        <f>_xlfn.IFNA(VLOOKUP($BC104,Programma!$F$3:$I$1101,4,0),"")</f>
        <v/>
      </c>
      <c r="BG104" s="411" t="str">
        <f>_xlfn.IFNA(VLOOKUP($BC104,Programma!$F$3:$J$1101,5,0),"")</f>
        <v/>
      </c>
      <c r="BH104" s="411" t="str">
        <f>_xlfn.IFNA(VLOOKUP($BC104,Programma!$F$3:$K$1101,6,0),"")</f>
        <v/>
      </c>
      <c r="BI104" s="411" t="str">
        <f>_xlfn.IFNA(VLOOKUP($BC104,Programma!$F$3:$L$1101,7,0),"")</f>
        <v/>
      </c>
      <c r="BJ104" s="411" t="str">
        <f>_xlfn.IFNA(VLOOKUP($BC104,Programma!$F$3:$M$1101,8,0),"")</f>
        <v/>
      </c>
      <c r="BK104" s="411" t="str">
        <f>_xlfn.IFNA(VLOOKUP($BC104,Programma!$F$3:$N$1101,9,0),"")</f>
        <v/>
      </c>
      <c r="BL104" s="411" t="str">
        <f>_xlfn.IFNA(VLOOKUP($BC104,Programma!$F$3:$O$1101,10,0),"")</f>
        <v/>
      </c>
      <c r="BM104" s="411" t="str">
        <f>_xlfn.IFNA(VLOOKUP($BC104,Programma!$F$3:$P$1101,11,0),"")</f>
        <v/>
      </c>
      <c r="BN104" s="411" t="str">
        <f>_xlfn.IFNA(VLOOKUP($BC104,Programma!$F$3:$Q$1101,12,0),"")</f>
        <v/>
      </c>
      <c r="BO104" s="411" t="str">
        <f>_xlfn.IFNA(VLOOKUP($BC104,Programma!$F$3:$R$1101,13,0),"")</f>
        <v/>
      </c>
      <c r="BP104" s="411" t="str">
        <f>_xlfn.IFNA(VLOOKUP($BC104,Programma!$F$3:$S$1101,14,0),"")</f>
        <v/>
      </c>
      <c r="BQ104" s="411" t="str">
        <f>_xlfn.IFNA(VLOOKUP($BC104,Programma!$F$3:$T$1101,15,0),"")</f>
        <v/>
      </c>
      <c r="BR104" s="411" t="str">
        <f>_xlfn.IFNA(VLOOKUP($BC104,Programma!$F$3:$U$1101,16,0),"")</f>
        <v/>
      </c>
      <c r="BS104" s="411" t="str">
        <f>_xlfn.IFNA(VLOOKUP($BC104,Programma!$F$3:$V$1101,17,0),"")</f>
        <v/>
      </c>
      <c r="BT104" s="411" t="str">
        <f>_xlfn.IFNA(VLOOKUP($BC104,Programma!$F$3:$W$1101,18,0),"")</f>
        <v/>
      </c>
      <c r="BU104" s="411" t="str">
        <f>_xlfn.IFNA(VLOOKUP($BC104,Programma!$F$3:$X$1101,19,0),"")</f>
        <v/>
      </c>
      <c r="BV104" s="411" t="str">
        <f>_xlfn.IFNA(VLOOKUP($BC104,Programma!$F$3:$Y$1101,20,0),"")</f>
        <v/>
      </c>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c r="EO104" s="28"/>
      <c r="EP104" s="28"/>
      <c r="EQ104" s="28"/>
      <c r="ER104" s="28"/>
      <c r="ES104" s="28"/>
      <c r="ET104" s="28"/>
      <c r="EU104" s="28"/>
      <c r="EV104" s="28"/>
      <c r="EW104" s="28"/>
      <c r="EX104" s="28"/>
      <c r="EY104" s="28"/>
      <c r="EZ104" s="28"/>
      <c r="FA104" s="28"/>
      <c r="FB104" s="28"/>
      <c r="FC104" s="28"/>
      <c r="FD104" s="28"/>
      <c r="FE104" s="28"/>
      <c r="FF104" s="28"/>
      <c r="FG104" s="28"/>
      <c r="FH104" s="28"/>
      <c r="FI104" s="28"/>
      <c r="FJ104" s="28"/>
      <c r="FK104" s="28"/>
      <c r="FL104" s="28"/>
      <c r="FM104" s="28"/>
      <c r="FN104" s="28"/>
      <c r="FO104" s="28"/>
      <c r="FP104" s="28"/>
      <c r="FQ104" s="28"/>
      <c r="FR104" s="28"/>
      <c r="FS104" s="28"/>
      <c r="FT104" s="28"/>
      <c r="FU104" s="28"/>
      <c r="FV104" s="28"/>
      <c r="FW104" s="28"/>
      <c r="FX104" s="28"/>
      <c r="FY104" s="28"/>
      <c r="FZ104" s="28"/>
      <c r="GA104" s="28"/>
      <c r="GB104" s="28"/>
      <c r="GC104" s="28"/>
      <c r="GD104" s="28"/>
      <c r="GE104" s="28"/>
      <c r="GF104" s="28"/>
      <c r="GG104" s="28"/>
      <c r="GH104" s="28"/>
      <c r="GI104" s="28"/>
      <c r="GJ104" s="28"/>
      <c r="GK104" s="28"/>
      <c r="GL104" s="28"/>
      <c r="GM104" s="28"/>
      <c r="GN104" s="28"/>
      <c r="GO104" s="28"/>
      <c r="GP104" s="28"/>
      <c r="GQ104" s="28"/>
      <c r="GR104" s="28"/>
      <c r="GS104" s="28"/>
      <c r="GT104" s="28"/>
      <c r="GU104" s="28"/>
      <c r="GV104" s="28"/>
      <c r="GW104" s="28"/>
      <c r="GX104" s="28"/>
      <c r="GY104" s="28"/>
      <c r="GZ104" s="28"/>
      <c r="HA104" s="28"/>
      <c r="HB104" s="28"/>
      <c r="HC104" s="28"/>
      <c r="HD104" s="28"/>
      <c r="HE104" s="28"/>
      <c r="HF104" s="28"/>
      <c r="HG104" s="28"/>
      <c r="HH104" s="28"/>
      <c r="HI104" s="28"/>
      <c r="HJ104" s="28"/>
      <c r="HK104" s="28"/>
    </row>
    <row r="105" spans="1:219" ht="15" customHeight="1">
      <c r="A105" s="336">
        <v>2</v>
      </c>
      <c r="B105" s="400" t="str">
        <f>VLOOKUP(Ruimtestaat[[#This Row],[Code]],Locaties[[Code]:[Locatie]],2,FALSE)</f>
        <v>Kleine Houtweg</v>
      </c>
      <c r="C105" s="400" t="str">
        <f>VLOOKUP(Ruimtestaat[[#This Row],[Code]],Locaties[[#All],[Code]:[Adres]],4,FALSE)</f>
        <v>Kleine Houtweg 18</v>
      </c>
      <c r="D105" s="400" t="str">
        <f>VLOOKUP(Ruimtestaat[[#This Row],[Code]],Locaties[[#All],[Code]:[Postcode]],5,FALSE)</f>
        <v>2012 CH</v>
      </c>
      <c r="E105" s="400" t="str">
        <f>VLOOKUP(Ruimtestaat[[#This Row],[Code]],Locaties[#All],6,FALSE)</f>
        <v>Haarlem</v>
      </c>
      <c r="F105" s="399" t="s">
        <v>1668</v>
      </c>
      <c r="G105" s="399" t="s">
        <v>1645</v>
      </c>
      <c r="H105" s="401"/>
      <c r="I105" s="402" t="s">
        <v>1641</v>
      </c>
      <c r="J105" s="336">
        <v>10</v>
      </c>
      <c r="K105" s="414" t="str">
        <f>VLOOKUP(Ruimtestaat[[#This Row],[Ruimte code]],Ruimtegroepen[[#All],[Code]:[Ruimte omschrijving]],2,FALSE)</f>
        <v>Trappenhuizen/lift</v>
      </c>
      <c r="L105" s="399" t="s">
        <v>101</v>
      </c>
      <c r="M105" s="402" t="s">
        <v>1669</v>
      </c>
      <c r="N105" s="404">
        <v>4.8</v>
      </c>
      <c r="O105" s="413"/>
      <c r="P105" s="405" t="str">
        <f>VLOOKUP(Ruimtestaat[[#This Row],[Ruimte code]],Ruimtegroepen[],4,FALSE)</f>
        <v>Ve</v>
      </c>
      <c r="Q105" s="399">
        <v>51</v>
      </c>
      <c r="R105" s="399" t="s">
        <v>15</v>
      </c>
      <c r="S105" s="399">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105" s="399">
        <f>IF(S105&gt;0,VLOOKUP($J105,Ruimtegroepen[],3,FALSE)*VLOOKUP($L105,Vloersoorten[],3,FALSE)*VLOOKUP($R105,Frequenties[],3,FALSE)*VLOOKUP($A105,Locaties[],3,FALSE),0)</f>
        <v>0</v>
      </c>
      <c r="U105" s="399">
        <f>Ruimtestaat[[#This Row],[Uitvoeringen werkdagen]]*Ruimtestaat[[#This Row],[Oppervlak (netto)]]</f>
        <v>244.79999999999998</v>
      </c>
      <c r="V105" s="406">
        <f>IF(T105&gt;0,Ruimtestaat[[#This Row],[Prest. (m2 /jaar) werkdagen]]/Ruimtestaat[[#This Row],[Norm (m2/uur) werkdagen]],0)</f>
        <v>0</v>
      </c>
      <c r="W105" s="407">
        <f>Ruimtestaat[[#This Row],[uren / jaar werkdagen]]*Tariefsopbouw!$E$35</f>
        <v>0</v>
      </c>
      <c r="X105" s="399"/>
      <c r="Y105" s="399">
        <f>IF(Ruimtestaat[[#This Row],[Frequentie weekend]]&gt;0,VALUE(LEFT(X105,1))*Q105,0)</f>
        <v>0</v>
      </c>
      <c r="Z105" s="408">
        <f>IF($Y105&gt;0,VLOOKUP($J105,Ruimtegroepen[],3,FALSE)*VLOOKUP($L105,Vloersoorten[],3,FALSE)*VLOOKUP($X105,Frequenties[],3,FALSE)*VLOOKUP(#REF!,Locaties[],3,FALSE),0)</f>
        <v>0</v>
      </c>
      <c r="AA105" s="408">
        <f>Ruimtestaat[[#This Row],[Uitvoeringen weekend]]*Ruimtestaat[[#This Row],[Oppervlak (netto)]]</f>
        <v>0</v>
      </c>
      <c r="AB105" s="408">
        <f>IF(Z105&gt;0,Ruimtestaat[[#This Row],[Prest. (m2 /jaar) weekend]]/Ruimtestaat[[#This Row],[Norm (m2/uur) weekend]],0)</f>
        <v>0</v>
      </c>
      <c r="AC105" s="407">
        <f>Ruimtestaat[[#This Row],[uren / jaar weekend]]*Tariefsopbouw!$D$40</f>
        <v>0</v>
      </c>
      <c r="AD105" s="406">
        <f>Ruimtestaat[[#This Row],[Prest. (m2 /jaar) weekend]]+Ruimtestaat[[#This Row],[Prest. (m2 /jaar) werkdagen]]</f>
        <v>244.79999999999998</v>
      </c>
      <c r="AE105" s="406">
        <f>Ruimtestaat[[#This Row],[uren / jaar weekend]]+Ruimtestaat[[#This Row],[uren / jaar werkdagen]]</f>
        <v>0</v>
      </c>
      <c r="AF105" s="409">
        <f>Ruimtestaat[[#This Row],[kosten / jaar weekend]]+Ruimtestaat[[#This Row],[kosten / jaar werkdagen]]</f>
        <v>0</v>
      </c>
      <c r="AG105" s="409"/>
      <c r="AH105" s="410" t="str">
        <f>IF(Ruimtestaat[[#This Row],[Frequentie werkdagen]]="","",_xlfn.CONCAT(Ruimtestaat[[#This Row],[Ruimte code]],"-",Ruimtestaat[[#This Row],[Frequentie werkdagen]]," ",Ruimtestaat[[#This Row],[Vloer code]]))</f>
        <v>10-1w S</v>
      </c>
      <c r="AI105" s="411" t="str">
        <f>_xlfn.IFNA(VLOOKUP($AH105,Programma!$F$3:$G$1101,2,0),"")</f>
        <v>_</v>
      </c>
      <c r="AJ105" s="411" t="str">
        <f>_xlfn.IFNA(VLOOKUP($AH105,Programma!$F$3:$H$1101,3,0),"")</f>
        <v>_</v>
      </c>
      <c r="AK105" s="411" t="str">
        <f>_xlfn.IFNA(VLOOKUP($AH105,Programma!$F$3:$I$1101,4,0),"")</f>
        <v>_</v>
      </c>
      <c r="AL105" s="411" t="str">
        <f>_xlfn.IFNA(VLOOKUP($AH105,Programma!$F$3:$J$1101,5,0),"")</f>
        <v>1w</v>
      </c>
      <c r="AM105" s="411" t="str">
        <f>_xlfn.IFNA(VLOOKUP($AH105,Programma!$F$3:$K$1101,6,0),"")</f>
        <v>4j</v>
      </c>
      <c r="AN105" s="411" t="str">
        <f>_xlfn.IFNA(VLOOKUP($AH105,Programma!$F$3:$L$1101,7,0),"")</f>
        <v>_</v>
      </c>
      <c r="AO105" s="411" t="str">
        <f>_xlfn.IFNA(VLOOKUP($AH105,Programma!$F$3:$M$1101,8,0),"")</f>
        <v>_</v>
      </c>
      <c r="AP105" s="411" t="str">
        <f>_xlfn.IFNA(VLOOKUP($AH105,Programma!$F$3:$N$1101,9,0),"")</f>
        <v>_</v>
      </c>
      <c r="AQ105" s="411" t="str">
        <f>_xlfn.IFNA(VLOOKUP($AH105,Programma!$F$3:$O$1101,10,0),"")</f>
        <v>1w</v>
      </c>
      <c r="AR105" s="411" t="str">
        <f>_xlfn.IFNA(VLOOKUP($AH105,Programma!$F$3:$P$1101,11,0),"")</f>
        <v>1w</v>
      </c>
      <c r="AS105" s="411" t="str">
        <f>_xlfn.IFNA(VLOOKUP($AH105,Programma!$F$3:$Q$1101,12,0),"")</f>
        <v>1w</v>
      </c>
      <c r="AT105" s="411" t="str">
        <f>_xlfn.IFNA(VLOOKUP($AH105,Programma!$F$3:$R$1101,13,0),"")</f>
        <v>1w</v>
      </c>
      <c r="AU105" s="411" t="str">
        <f>_xlfn.IFNA(VLOOKUP($AH105,Programma!$F$3:$S$1101,14,0),"")</f>
        <v>1m</v>
      </c>
      <c r="AV105" s="411" t="str">
        <f>_xlfn.IFNA(VLOOKUP($AH105,Programma!$F$3:$T$1101,15,0),"")</f>
        <v>2j</v>
      </c>
      <c r="AW105" s="411" t="str">
        <f>_xlfn.IFNA(VLOOKUP($AH105,Programma!$F$3:$U$1101,16,0),"")</f>
        <v>1j</v>
      </c>
      <c r="AX105" s="411" t="str">
        <f>_xlfn.IFNA(VLOOKUP($AH105,Programma!$F$3:$V$1101,17,0),"")</f>
        <v>_</v>
      </c>
      <c r="AY105" s="411" t="str">
        <f>_xlfn.IFNA(VLOOKUP($AH105,Programma!$F$3:$W$1101,18,0),"")</f>
        <v>_</v>
      </c>
      <c r="AZ105" s="411" t="str">
        <f>_xlfn.IFNA(VLOOKUP($AH105,Programma!$F$3:$X$1101,19,0),"")</f>
        <v>_</v>
      </c>
      <c r="BA105" s="411" t="str">
        <f>_xlfn.IFNA(VLOOKUP($AH105,Programma!$F$3:$Y$1101,20,0),"")</f>
        <v>_</v>
      </c>
      <c r="BB105" s="412"/>
      <c r="BC105" s="410" t="str">
        <f>IF(Ruimtestaat[[#This Row],[Frequentie weekend]]="","",_xlfn.CONCAT(Ruimtestaat[[#This Row],[Ruimte code]],"-",Ruimtestaat[[#This Row],[Frequentie weekend]]," ",Ruimtestaat[[#This Row],[Vloer code]]))</f>
        <v/>
      </c>
      <c r="BD105" s="411" t="str">
        <f>_xlfn.IFNA(VLOOKUP($BC105,Programma!$F$3:$G$1101,2,0),"")</f>
        <v/>
      </c>
      <c r="BE105" s="411" t="str">
        <f>_xlfn.IFNA(VLOOKUP($BC105,Programma!$F$3:$H$1101,3,0),"")</f>
        <v/>
      </c>
      <c r="BF105" s="411" t="str">
        <f>_xlfn.IFNA(VLOOKUP($BC105,Programma!$F$3:$I$1101,4,0),"")</f>
        <v/>
      </c>
      <c r="BG105" s="411" t="str">
        <f>_xlfn.IFNA(VLOOKUP($BC105,Programma!$F$3:$J$1101,5,0),"")</f>
        <v/>
      </c>
      <c r="BH105" s="411" t="str">
        <f>_xlfn.IFNA(VLOOKUP($BC105,Programma!$F$3:$K$1101,6,0),"")</f>
        <v/>
      </c>
      <c r="BI105" s="411" t="str">
        <f>_xlfn.IFNA(VLOOKUP($BC105,Programma!$F$3:$L$1101,7,0),"")</f>
        <v/>
      </c>
      <c r="BJ105" s="411" t="str">
        <f>_xlfn.IFNA(VLOOKUP($BC105,Programma!$F$3:$M$1101,8,0),"")</f>
        <v/>
      </c>
      <c r="BK105" s="411" t="str">
        <f>_xlfn.IFNA(VLOOKUP($BC105,Programma!$F$3:$N$1101,9,0),"")</f>
        <v/>
      </c>
      <c r="BL105" s="411" t="str">
        <f>_xlfn.IFNA(VLOOKUP($BC105,Programma!$F$3:$O$1101,10,0),"")</f>
        <v/>
      </c>
      <c r="BM105" s="411" t="str">
        <f>_xlfn.IFNA(VLOOKUP($BC105,Programma!$F$3:$P$1101,11,0),"")</f>
        <v/>
      </c>
      <c r="BN105" s="411" t="str">
        <f>_xlfn.IFNA(VLOOKUP($BC105,Programma!$F$3:$Q$1101,12,0),"")</f>
        <v/>
      </c>
      <c r="BO105" s="411" t="str">
        <f>_xlfn.IFNA(VLOOKUP($BC105,Programma!$F$3:$R$1101,13,0),"")</f>
        <v/>
      </c>
      <c r="BP105" s="411" t="str">
        <f>_xlfn.IFNA(VLOOKUP($BC105,Programma!$F$3:$S$1101,14,0),"")</f>
        <v/>
      </c>
      <c r="BQ105" s="411" t="str">
        <f>_xlfn.IFNA(VLOOKUP($BC105,Programma!$F$3:$T$1101,15,0),"")</f>
        <v/>
      </c>
      <c r="BR105" s="411" t="str">
        <f>_xlfn.IFNA(VLOOKUP($BC105,Programma!$F$3:$U$1101,16,0),"")</f>
        <v/>
      </c>
      <c r="BS105" s="411" t="str">
        <f>_xlfn.IFNA(VLOOKUP($BC105,Programma!$F$3:$V$1101,17,0),"")</f>
        <v/>
      </c>
      <c r="BT105" s="411" t="str">
        <f>_xlfn.IFNA(VLOOKUP($BC105,Programma!$F$3:$W$1101,18,0),"")</f>
        <v/>
      </c>
      <c r="BU105" s="411" t="str">
        <f>_xlfn.IFNA(VLOOKUP($BC105,Programma!$F$3:$X$1101,19,0),"")</f>
        <v/>
      </c>
      <c r="BV105" s="411" t="str">
        <f>_xlfn.IFNA(VLOOKUP($BC105,Programma!$F$3:$Y$1101,20,0),"")</f>
        <v/>
      </c>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c r="EV105" s="28"/>
      <c r="EW105" s="28"/>
      <c r="EX105" s="28"/>
      <c r="EY105" s="28"/>
      <c r="EZ105" s="28"/>
      <c r="FA105" s="28"/>
      <c r="FB105" s="28"/>
      <c r="FC105" s="28"/>
      <c r="FD105" s="28"/>
      <c r="FE105" s="28"/>
      <c r="FF105" s="28"/>
      <c r="FG105" s="28"/>
      <c r="FH105" s="28"/>
      <c r="FI105" s="28"/>
      <c r="FJ105" s="28"/>
      <c r="FK105" s="28"/>
      <c r="FL105" s="28"/>
      <c r="FM105" s="28"/>
      <c r="FN105" s="28"/>
      <c r="FO105" s="28"/>
      <c r="FP105" s="28"/>
      <c r="FQ105" s="28"/>
      <c r="FR105" s="28"/>
      <c r="FS105" s="28"/>
      <c r="FT105" s="28"/>
      <c r="FU105" s="28"/>
      <c r="FV105" s="28"/>
      <c r="FW105" s="28"/>
      <c r="FX105" s="28"/>
      <c r="FY105" s="28"/>
      <c r="FZ105" s="28"/>
      <c r="GA105" s="28"/>
      <c r="GB105" s="28"/>
      <c r="GC105" s="28"/>
      <c r="GD105" s="28"/>
      <c r="GE105" s="28"/>
      <c r="GF105" s="28"/>
      <c r="GG105" s="28"/>
      <c r="GH105" s="28"/>
      <c r="GI105" s="28"/>
      <c r="GJ105" s="28"/>
      <c r="GK105" s="28"/>
      <c r="GL105" s="28"/>
      <c r="GM105" s="28"/>
      <c r="GN105" s="28"/>
      <c r="GO105" s="28"/>
      <c r="GP105" s="28"/>
      <c r="GQ105" s="28"/>
      <c r="GR105" s="28"/>
      <c r="GS105" s="28"/>
      <c r="GT105" s="28"/>
      <c r="GU105" s="28"/>
      <c r="GV105" s="28"/>
      <c r="GW105" s="28"/>
      <c r="GX105" s="28"/>
      <c r="GY105" s="28"/>
      <c r="GZ105" s="28"/>
      <c r="HA105" s="28"/>
      <c r="HB105" s="28"/>
      <c r="HC105" s="28"/>
      <c r="HD105" s="28"/>
      <c r="HE105" s="28"/>
      <c r="HF105" s="28"/>
      <c r="HG105" s="28"/>
      <c r="HH105" s="28"/>
      <c r="HI105" s="28"/>
      <c r="HJ105" s="28"/>
      <c r="HK105" s="28"/>
    </row>
    <row r="106" spans="1:219" ht="15" customHeight="1">
      <c r="A106" s="336">
        <v>2</v>
      </c>
      <c r="B106" s="400" t="str">
        <f>VLOOKUP(Ruimtestaat[[#This Row],[Code]],Locaties[[Code]:[Locatie]],2,FALSE)</f>
        <v>Kleine Houtweg</v>
      </c>
      <c r="C106" s="400" t="str">
        <f>VLOOKUP(Ruimtestaat[[#This Row],[Code]],Locaties[[#All],[Code]:[Adres]],4,FALSE)</f>
        <v>Kleine Houtweg 18</v>
      </c>
      <c r="D106" s="400" t="str">
        <f>VLOOKUP(Ruimtestaat[[#This Row],[Code]],Locaties[[#All],[Code]:[Postcode]],5,FALSE)</f>
        <v>2012 CH</v>
      </c>
      <c r="E106" s="400" t="str">
        <f>VLOOKUP(Ruimtestaat[[#This Row],[Code]],Locaties[#All],6,FALSE)</f>
        <v>Haarlem</v>
      </c>
      <c r="F106" s="399" t="s">
        <v>1668</v>
      </c>
      <c r="G106" s="399" t="s">
        <v>1645</v>
      </c>
      <c r="H106" s="401"/>
      <c r="I106" s="402" t="s">
        <v>1631</v>
      </c>
      <c r="J106" s="336">
        <v>6</v>
      </c>
      <c r="K106" s="414" t="str">
        <f>VLOOKUP(Ruimtestaat[[#This Row],[Ruimte code]],Ruimtegroepen[[#All],[Code]:[Ruimte omschrijving]],2,FALSE)</f>
        <v>Gangen/hallen</v>
      </c>
      <c r="L106" s="399" t="s">
        <v>99</v>
      </c>
      <c r="M106" s="402" t="s">
        <v>36</v>
      </c>
      <c r="N106" s="404">
        <v>14.2</v>
      </c>
      <c r="O106" s="413"/>
      <c r="P106" s="405" t="str">
        <f>VLOOKUP(Ruimtestaat[[#This Row],[Ruimte code]],Ruimtegroepen[],4,FALSE)</f>
        <v>Ve</v>
      </c>
      <c r="Q106" s="399">
        <v>51</v>
      </c>
      <c r="R106" s="399" t="s">
        <v>15</v>
      </c>
      <c r="S106" s="399">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106" s="399">
        <f>IF(S106&gt;0,VLOOKUP($J106,Ruimtegroepen[],3,FALSE)*VLOOKUP($L106,Vloersoorten[],3,FALSE)*VLOOKUP($R106,Frequenties[],3,FALSE)*VLOOKUP($A106,Locaties[],3,FALSE),0)</f>
        <v>0</v>
      </c>
      <c r="U106" s="399">
        <f>Ruimtestaat[[#This Row],[Uitvoeringen werkdagen]]*Ruimtestaat[[#This Row],[Oppervlak (netto)]]</f>
        <v>724.19999999999993</v>
      </c>
      <c r="V106" s="406">
        <f>IF(T106&gt;0,Ruimtestaat[[#This Row],[Prest. (m2 /jaar) werkdagen]]/Ruimtestaat[[#This Row],[Norm (m2/uur) werkdagen]],0)</f>
        <v>0</v>
      </c>
      <c r="W106" s="407">
        <f>Ruimtestaat[[#This Row],[uren / jaar werkdagen]]*Tariefsopbouw!$E$35</f>
        <v>0</v>
      </c>
      <c r="X106" s="399"/>
      <c r="Y106" s="399">
        <f>IF(Ruimtestaat[[#This Row],[Frequentie weekend]]&gt;0,VALUE(LEFT(X106,1))*Q106,0)</f>
        <v>0</v>
      </c>
      <c r="Z106" s="408">
        <f>IF($Y106&gt;0,VLOOKUP($J106,Ruimtegroepen[],3,FALSE)*VLOOKUP($L106,Vloersoorten[],3,FALSE)*VLOOKUP($X106,Frequenties[],3,FALSE)*VLOOKUP(#REF!,Locaties[],3,FALSE),0)</f>
        <v>0</v>
      </c>
      <c r="AA106" s="408">
        <f>Ruimtestaat[[#This Row],[Uitvoeringen weekend]]*Ruimtestaat[[#This Row],[Oppervlak (netto)]]</f>
        <v>0</v>
      </c>
      <c r="AB106" s="408">
        <f>IF(Z106&gt;0,Ruimtestaat[[#This Row],[Prest. (m2 /jaar) weekend]]/Ruimtestaat[[#This Row],[Norm (m2/uur) weekend]],0)</f>
        <v>0</v>
      </c>
      <c r="AC106" s="407">
        <f>Ruimtestaat[[#This Row],[uren / jaar weekend]]*Tariefsopbouw!$D$40</f>
        <v>0</v>
      </c>
      <c r="AD106" s="406">
        <f>Ruimtestaat[[#This Row],[Prest. (m2 /jaar) weekend]]+Ruimtestaat[[#This Row],[Prest. (m2 /jaar) werkdagen]]</f>
        <v>724.19999999999993</v>
      </c>
      <c r="AE106" s="406">
        <f>Ruimtestaat[[#This Row],[uren / jaar weekend]]+Ruimtestaat[[#This Row],[uren / jaar werkdagen]]</f>
        <v>0</v>
      </c>
      <c r="AF106" s="409">
        <f>Ruimtestaat[[#This Row],[kosten / jaar weekend]]+Ruimtestaat[[#This Row],[kosten / jaar werkdagen]]</f>
        <v>0</v>
      </c>
      <c r="AG106" s="409"/>
      <c r="AH106" s="410" t="str">
        <f>IF(Ruimtestaat[[#This Row],[Frequentie werkdagen]]="","",_xlfn.CONCAT(Ruimtestaat[[#This Row],[Ruimte code]],"-",Ruimtestaat[[#This Row],[Frequentie werkdagen]]," ",Ruimtestaat[[#This Row],[Vloer code]]))</f>
        <v>6-1w T</v>
      </c>
      <c r="AI106" s="411" t="str">
        <f>_xlfn.IFNA(VLOOKUP($AH106,Programma!$F$3:$G$1101,2,0),"")</f>
        <v>_</v>
      </c>
      <c r="AJ106" s="411" t="str">
        <f>_xlfn.IFNA(VLOOKUP($AH106,Programma!$F$3:$H$1101,3,0),"")</f>
        <v>1w</v>
      </c>
      <c r="AK106" s="411" t="str">
        <f>_xlfn.IFNA(VLOOKUP($AH106,Programma!$F$3:$I$1101,4,0),"")</f>
        <v>_</v>
      </c>
      <c r="AL106" s="411" t="str">
        <f>_xlfn.IFNA(VLOOKUP($AH106,Programma!$F$3:$J$1101,5,0),"")</f>
        <v>_</v>
      </c>
      <c r="AM106" s="411" t="str">
        <f>_xlfn.IFNA(VLOOKUP($AH106,Programma!$F$3:$K$1101,6,0),"")</f>
        <v>_</v>
      </c>
      <c r="AN106" s="411" t="str">
        <f>_xlfn.IFNA(VLOOKUP($AH106,Programma!$F$3:$L$1101,7,0),"")</f>
        <v>_</v>
      </c>
      <c r="AO106" s="411" t="str">
        <f>_xlfn.IFNA(VLOOKUP($AH106,Programma!$F$3:$M$1101,8,0),"")</f>
        <v>_</v>
      </c>
      <c r="AP106" s="411" t="str">
        <f>_xlfn.IFNA(VLOOKUP($AH106,Programma!$F$3:$N$1101,9,0),"")</f>
        <v>_</v>
      </c>
      <c r="AQ106" s="411" t="str">
        <f>_xlfn.IFNA(VLOOKUP($AH106,Programma!$F$3:$O$1101,10,0),"")</f>
        <v>1w</v>
      </c>
      <c r="AR106" s="411" t="str">
        <f>_xlfn.IFNA(VLOOKUP($AH106,Programma!$F$3:$P$1101,11,0),"")</f>
        <v>1w</v>
      </c>
      <c r="AS106" s="411" t="str">
        <f>_xlfn.IFNA(VLOOKUP($AH106,Programma!$F$3:$Q$1101,12,0),"")</f>
        <v>1w</v>
      </c>
      <c r="AT106" s="411" t="str">
        <f>_xlfn.IFNA(VLOOKUP($AH106,Programma!$F$3:$R$1101,13,0),"")</f>
        <v>1w</v>
      </c>
      <c r="AU106" s="411" t="str">
        <f>_xlfn.IFNA(VLOOKUP($AH106,Programma!$F$3:$S$1101,14,0),"")</f>
        <v>1m</v>
      </c>
      <c r="AV106" s="411" t="str">
        <f>_xlfn.IFNA(VLOOKUP($AH106,Programma!$F$3:$T$1101,15,0),"")</f>
        <v>2j</v>
      </c>
      <c r="AW106" s="411" t="str">
        <f>_xlfn.IFNA(VLOOKUP($AH106,Programma!$F$3:$U$1101,16,0),"")</f>
        <v>1j</v>
      </c>
      <c r="AX106" s="411" t="str">
        <f>_xlfn.IFNA(VLOOKUP($AH106,Programma!$F$3:$V$1101,17,0),"")</f>
        <v>_</v>
      </c>
      <c r="AY106" s="411" t="str">
        <f>_xlfn.IFNA(VLOOKUP($AH106,Programma!$F$3:$W$1101,18,0),"")</f>
        <v>_</v>
      </c>
      <c r="AZ106" s="411" t="str">
        <f>_xlfn.IFNA(VLOOKUP($AH106,Programma!$F$3:$X$1101,19,0),"")</f>
        <v>_</v>
      </c>
      <c r="BA106" s="411" t="str">
        <f>_xlfn.IFNA(VLOOKUP($AH106,Programma!$F$3:$Y$1101,20,0),"")</f>
        <v>_</v>
      </c>
      <c r="BB106" s="412"/>
      <c r="BC106" s="410" t="str">
        <f>IF(Ruimtestaat[[#This Row],[Frequentie weekend]]="","",_xlfn.CONCAT(Ruimtestaat[[#This Row],[Ruimte code]],"-",Ruimtestaat[[#This Row],[Frequentie weekend]]," ",Ruimtestaat[[#This Row],[Vloer code]]))</f>
        <v/>
      </c>
      <c r="BD106" s="411" t="str">
        <f>_xlfn.IFNA(VLOOKUP($BC106,Programma!$F$3:$G$1101,2,0),"")</f>
        <v/>
      </c>
      <c r="BE106" s="411" t="str">
        <f>_xlfn.IFNA(VLOOKUP($BC106,Programma!$F$3:$H$1101,3,0),"")</f>
        <v/>
      </c>
      <c r="BF106" s="411" t="str">
        <f>_xlfn.IFNA(VLOOKUP($BC106,Programma!$F$3:$I$1101,4,0),"")</f>
        <v/>
      </c>
      <c r="BG106" s="411" t="str">
        <f>_xlfn.IFNA(VLOOKUP($BC106,Programma!$F$3:$J$1101,5,0),"")</f>
        <v/>
      </c>
      <c r="BH106" s="411" t="str">
        <f>_xlfn.IFNA(VLOOKUP($BC106,Programma!$F$3:$K$1101,6,0),"")</f>
        <v/>
      </c>
      <c r="BI106" s="411" t="str">
        <f>_xlfn.IFNA(VLOOKUP($BC106,Programma!$F$3:$L$1101,7,0),"")</f>
        <v/>
      </c>
      <c r="BJ106" s="411" t="str">
        <f>_xlfn.IFNA(VLOOKUP($BC106,Programma!$F$3:$M$1101,8,0),"")</f>
        <v/>
      </c>
      <c r="BK106" s="411" t="str">
        <f>_xlfn.IFNA(VLOOKUP($BC106,Programma!$F$3:$N$1101,9,0),"")</f>
        <v/>
      </c>
      <c r="BL106" s="411" t="str">
        <f>_xlfn.IFNA(VLOOKUP($BC106,Programma!$F$3:$O$1101,10,0),"")</f>
        <v/>
      </c>
      <c r="BM106" s="411" t="str">
        <f>_xlfn.IFNA(VLOOKUP($BC106,Programma!$F$3:$P$1101,11,0),"")</f>
        <v/>
      </c>
      <c r="BN106" s="411" t="str">
        <f>_xlfn.IFNA(VLOOKUP($BC106,Programma!$F$3:$Q$1101,12,0),"")</f>
        <v/>
      </c>
      <c r="BO106" s="411" t="str">
        <f>_xlfn.IFNA(VLOOKUP($BC106,Programma!$F$3:$R$1101,13,0),"")</f>
        <v/>
      </c>
      <c r="BP106" s="411" t="str">
        <f>_xlfn.IFNA(VLOOKUP($BC106,Programma!$F$3:$S$1101,14,0),"")</f>
        <v/>
      </c>
      <c r="BQ106" s="411" t="str">
        <f>_xlfn.IFNA(VLOOKUP($BC106,Programma!$F$3:$T$1101,15,0),"")</f>
        <v/>
      </c>
      <c r="BR106" s="411" t="str">
        <f>_xlfn.IFNA(VLOOKUP($BC106,Programma!$F$3:$U$1101,16,0),"")</f>
        <v/>
      </c>
      <c r="BS106" s="411" t="str">
        <f>_xlfn.IFNA(VLOOKUP($BC106,Programma!$F$3:$V$1101,17,0),"")</f>
        <v/>
      </c>
      <c r="BT106" s="411" t="str">
        <f>_xlfn.IFNA(VLOOKUP($BC106,Programma!$F$3:$W$1101,18,0),"")</f>
        <v/>
      </c>
      <c r="BU106" s="411" t="str">
        <f>_xlfn.IFNA(VLOOKUP($BC106,Programma!$F$3:$X$1101,19,0),"")</f>
        <v/>
      </c>
      <c r="BV106" s="411" t="str">
        <f>_xlfn.IFNA(VLOOKUP($BC106,Programma!$F$3:$Y$1101,20,0),"")</f>
        <v/>
      </c>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8"/>
      <c r="FJ106" s="28"/>
      <c r="FK106" s="28"/>
      <c r="FL106" s="28"/>
      <c r="FM106" s="28"/>
      <c r="FN106" s="28"/>
      <c r="FO106" s="28"/>
      <c r="FP106" s="28"/>
      <c r="FQ106" s="28"/>
      <c r="FR106" s="28"/>
      <c r="FS106" s="28"/>
      <c r="FT106" s="28"/>
      <c r="FU106" s="28"/>
      <c r="FV106" s="28"/>
      <c r="FW106" s="28"/>
      <c r="FX106" s="28"/>
      <c r="FY106" s="28"/>
      <c r="FZ106" s="28"/>
      <c r="GA106" s="28"/>
      <c r="GB106" s="28"/>
      <c r="GC106" s="28"/>
      <c r="GD106" s="28"/>
      <c r="GE106" s="28"/>
      <c r="GF106" s="28"/>
      <c r="GG106" s="28"/>
      <c r="GH106" s="28"/>
      <c r="GI106" s="28"/>
      <c r="GJ106" s="28"/>
      <c r="GK106" s="28"/>
      <c r="GL106" s="28"/>
      <c r="GM106" s="28"/>
      <c r="GN106" s="28"/>
      <c r="GO106" s="28"/>
      <c r="GP106" s="28"/>
      <c r="GQ106" s="28"/>
      <c r="GR106" s="28"/>
      <c r="GS106" s="28"/>
      <c r="GT106" s="28"/>
      <c r="GU106" s="28"/>
      <c r="GV106" s="28"/>
      <c r="GW106" s="28"/>
      <c r="GX106" s="28"/>
      <c r="GY106" s="28"/>
      <c r="GZ106" s="28"/>
      <c r="HA106" s="28"/>
      <c r="HB106" s="28"/>
      <c r="HC106" s="28"/>
      <c r="HD106" s="28"/>
      <c r="HE106" s="28"/>
      <c r="HF106" s="28"/>
      <c r="HG106" s="28"/>
      <c r="HH106" s="28"/>
      <c r="HI106" s="28"/>
      <c r="HJ106" s="28"/>
      <c r="HK106" s="28"/>
    </row>
    <row r="107" spans="1:219" ht="15" customHeight="1">
      <c r="A107" s="336">
        <v>2</v>
      </c>
      <c r="B107" s="400" t="str">
        <f>VLOOKUP(Ruimtestaat[[#This Row],[Code]],Locaties[[Code]:[Locatie]],2,FALSE)</f>
        <v>Kleine Houtweg</v>
      </c>
      <c r="C107" s="400" t="str">
        <f>VLOOKUP(Ruimtestaat[[#This Row],[Code]],Locaties[[#All],[Code]:[Adres]],4,FALSE)</f>
        <v>Kleine Houtweg 18</v>
      </c>
      <c r="D107" s="400" t="str">
        <f>VLOOKUP(Ruimtestaat[[#This Row],[Code]],Locaties[[#All],[Code]:[Postcode]],5,FALSE)</f>
        <v>2012 CH</v>
      </c>
      <c r="E107" s="400" t="str">
        <f>VLOOKUP(Ruimtestaat[[#This Row],[Code]],Locaties[#All],6,FALSE)</f>
        <v>Haarlem</v>
      </c>
      <c r="F107" s="399" t="s">
        <v>1668</v>
      </c>
      <c r="G107" s="399" t="s">
        <v>1655</v>
      </c>
      <c r="H107" s="401"/>
      <c r="I107" s="402" t="s">
        <v>1641</v>
      </c>
      <c r="J107" s="336">
        <v>10</v>
      </c>
      <c r="K107" s="414" t="str">
        <f>VLOOKUP(Ruimtestaat[[#This Row],[Ruimte code]],Ruimtegroepen[[#All],[Code]:[Ruimte omschrijving]],2,FALSE)</f>
        <v>Trappenhuizen/lift</v>
      </c>
      <c r="L107" s="399" t="s">
        <v>101</v>
      </c>
      <c r="M107" s="402" t="s">
        <v>1669</v>
      </c>
      <c r="N107" s="404">
        <v>4.8</v>
      </c>
      <c r="O107" s="413"/>
      <c r="P107" s="405" t="str">
        <f>VLOOKUP(Ruimtestaat[[#This Row],[Ruimte code]],Ruimtegroepen[],4,FALSE)</f>
        <v>Ve</v>
      </c>
      <c r="Q107" s="399">
        <v>51</v>
      </c>
      <c r="R107" s="399" t="s">
        <v>15</v>
      </c>
      <c r="S107" s="399">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107" s="399">
        <f>IF(S107&gt;0,VLOOKUP($J107,Ruimtegroepen[],3,FALSE)*VLOOKUP($L107,Vloersoorten[],3,FALSE)*VLOOKUP($R107,Frequenties[],3,FALSE)*VLOOKUP($A107,Locaties[],3,FALSE),0)</f>
        <v>0</v>
      </c>
      <c r="U107" s="399">
        <f>Ruimtestaat[[#This Row],[Uitvoeringen werkdagen]]*Ruimtestaat[[#This Row],[Oppervlak (netto)]]</f>
        <v>244.79999999999998</v>
      </c>
      <c r="V107" s="406">
        <f>IF(T107&gt;0,Ruimtestaat[[#This Row],[Prest. (m2 /jaar) werkdagen]]/Ruimtestaat[[#This Row],[Norm (m2/uur) werkdagen]],0)</f>
        <v>0</v>
      </c>
      <c r="W107" s="407">
        <f>Ruimtestaat[[#This Row],[uren / jaar werkdagen]]*Tariefsopbouw!$E$35</f>
        <v>0</v>
      </c>
      <c r="X107" s="399"/>
      <c r="Y107" s="399">
        <f>IF(Ruimtestaat[[#This Row],[Frequentie weekend]]&gt;0,VALUE(LEFT(X107,1))*Q107,0)</f>
        <v>0</v>
      </c>
      <c r="Z107" s="408">
        <f>IF($Y107&gt;0,VLOOKUP($J107,Ruimtegroepen[],3,FALSE)*VLOOKUP($L107,Vloersoorten[],3,FALSE)*VLOOKUP($X107,Frequenties[],3,FALSE)*VLOOKUP(#REF!,Locaties[],3,FALSE),0)</f>
        <v>0</v>
      </c>
      <c r="AA107" s="408">
        <f>Ruimtestaat[[#This Row],[Uitvoeringen weekend]]*Ruimtestaat[[#This Row],[Oppervlak (netto)]]</f>
        <v>0</v>
      </c>
      <c r="AB107" s="408">
        <f>IF(Z107&gt;0,Ruimtestaat[[#This Row],[Prest. (m2 /jaar) weekend]]/Ruimtestaat[[#This Row],[Norm (m2/uur) weekend]],0)</f>
        <v>0</v>
      </c>
      <c r="AC107" s="407">
        <f>Ruimtestaat[[#This Row],[uren / jaar weekend]]*Tariefsopbouw!$D$40</f>
        <v>0</v>
      </c>
      <c r="AD107" s="406">
        <f>Ruimtestaat[[#This Row],[Prest. (m2 /jaar) weekend]]+Ruimtestaat[[#This Row],[Prest. (m2 /jaar) werkdagen]]</f>
        <v>244.79999999999998</v>
      </c>
      <c r="AE107" s="406">
        <f>Ruimtestaat[[#This Row],[uren / jaar weekend]]+Ruimtestaat[[#This Row],[uren / jaar werkdagen]]</f>
        <v>0</v>
      </c>
      <c r="AF107" s="409">
        <f>Ruimtestaat[[#This Row],[kosten / jaar weekend]]+Ruimtestaat[[#This Row],[kosten / jaar werkdagen]]</f>
        <v>0</v>
      </c>
      <c r="AG107" s="409"/>
      <c r="AH107" s="410" t="str">
        <f>IF(Ruimtestaat[[#This Row],[Frequentie werkdagen]]="","",_xlfn.CONCAT(Ruimtestaat[[#This Row],[Ruimte code]],"-",Ruimtestaat[[#This Row],[Frequentie werkdagen]]," ",Ruimtestaat[[#This Row],[Vloer code]]))</f>
        <v>10-1w S</v>
      </c>
      <c r="AI107" s="411" t="str">
        <f>_xlfn.IFNA(VLOOKUP($AH107,Programma!$F$3:$G$1101,2,0),"")</f>
        <v>_</v>
      </c>
      <c r="AJ107" s="411" t="str">
        <f>_xlfn.IFNA(VLOOKUP($AH107,Programma!$F$3:$H$1101,3,0),"")</f>
        <v>_</v>
      </c>
      <c r="AK107" s="411" t="str">
        <f>_xlfn.IFNA(VLOOKUP($AH107,Programma!$F$3:$I$1101,4,0),"")</f>
        <v>_</v>
      </c>
      <c r="AL107" s="411" t="str">
        <f>_xlfn.IFNA(VLOOKUP($AH107,Programma!$F$3:$J$1101,5,0),"")</f>
        <v>1w</v>
      </c>
      <c r="AM107" s="411" t="str">
        <f>_xlfn.IFNA(VLOOKUP($AH107,Programma!$F$3:$K$1101,6,0),"")</f>
        <v>4j</v>
      </c>
      <c r="AN107" s="411" t="str">
        <f>_xlfn.IFNA(VLOOKUP($AH107,Programma!$F$3:$L$1101,7,0),"")</f>
        <v>_</v>
      </c>
      <c r="AO107" s="411" t="str">
        <f>_xlfn.IFNA(VLOOKUP($AH107,Programma!$F$3:$M$1101,8,0),"")</f>
        <v>_</v>
      </c>
      <c r="AP107" s="411" t="str">
        <f>_xlfn.IFNA(VLOOKUP($AH107,Programma!$F$3:$N$1101,9,0),"")</f>
        <v>_</v>
      </c>
      <c r="AQ107" s="411" t="str">
        <f>_xlfn.IFNA(VLOOKUP($AH107,Programma!$F$3:$O$1101,10,0),"")</f>
        <v>1w</v>
      </c>
      <c r="AR107" s="411" t="str">
        <f>_xlfn.IFNA(VLOOKUP($AH107,Programma!$F$3:$P$1101,11,0),"")</f>
        <v>1w</v>
      </c>
      <c r="AS107" s="411" t="str">
        <f>_xlfn.IFNA(VLOOKUP($AH107,Programma!$F$3:$Q$1101,12,0),"")</f>
        <v>1w</v>
      </c>
      <c r="AT107" s="411" t="str">
        <f>_xlfn.IFNA(VLOOKUP($AH107,Programma!$F$3:$R$1101,13,0),"")</f>
        <v>1w</v>
      </c>
      <c r="AU107" s="411" t="str">
        <f>_xlfn.IFNA(VLOOKUP($AH107,Programma!$F$3:$S$1101,14,0),"")</f>
        <v>1m</v>
      </c>
      <c r="AV107" s="411" t="str">
        <f>_xlfn.IFNA(VLOOKUP($AH107,Programma!$F$3:$T$1101,15,0),"")</f>
        <v>2j</v>
      </c>
      <c r="AW107" s="411" t="str">
        <f>_xlfn.IFNA(VLOOKUP($AH107,Programma!$F$3:$U$1101,16,0),"")</f>
        <v>1j</v>
      </c>
      <c r="AX107" s="411" t="str">
        <f>_xlfn.IFNA(VLOOKUP($AH107,Programma!$F$3:$V$1101,17,0),"")</f>
        <v>_</v>
      </c>
      <c r="AY107" s="411" t="str">
        <f>_xlfn.IFNA(VLOOKUP($AH107,Programma!$F$3:$W$1101,18,0),"")</f>
        <v>_</v>
      </c>
      <c r="AZ107" s="411" t="str">
        <f>_xlfn.IFNA(VLOOKUP($AH107,Programma!$F$3:$X$1101,19,0),"")</f>
        <v>_</v>
      </c>
      <c r="BA107" s="411" t="str">
        <f>_xlfn.IFNA(VLOOKUP($AH107,Programma!$F$3:$Y$1101,20,0),"")</f>
        <v>_</v>
      </c>
      <c r="BB107" s="412"/>
      <c r="BC107" s="410" t="str">
        <f>IF(Ruimtestaat[[#This Row],[Frequentie weekend]]="","",_xlfn.CONCAT(Ruimtestaat[[#This Row],[Ruimte code]],"-",Ruimtestaat[[#This Row],[Frequentie weekend]]," ",Ruimtestaat[[#This Row],[Vloer code]]))</f>
        <v/>
      </c>
      <c r="BD107" s="411" t="str">
        <f>_xlfn.IFNA(VLOOKUP($BC107,Programma!$F$3:$G$1101,2,0),"")</f>
        <v/>
      </c>
      <c r="BE107" s="411" t="str">
        <f>_xlfn.IFNA(VLOOKUP($BC107,Programma!$F$3:$H$1101,3,0),"")</f>
        <v/>
      </c>
      <c r="BF107" s="411" t="str">
        <f>_xlfn.IFNA(VLOOKUP($BC107,Programma!$F$3:$I$1101,4,0),"")</f>
        <v/>
      </c>
      <c r="BG107" s="411" t="str">
        <f>_xlfn.IFNA(VLOOKUP($BC107,Programma!$F$3:$J$1101,5,0),"")</f>
        <v/>
      </c>
      <c r="BH107" s="411" t="str">
        <f>_xlfn.IFNA(VLOOKUP($BC107,Programma!$F$3:$K$1101,6,0),"")</f>
        <v/>
      </c>
      <c r="BI107" s="411" t="str">
        <f>_xlfn.IFNA(VLOOKUP($BC107,Programma!$F$3:$L$1101,7,0),"")</f>
        <v/>
      </c>
      <c r="BJ107" s="411" t="str">
        <f>_xlfn.IFNA(VLOOKUP($BC107,Programma!$F$3:$M$1101,8,0),"")</f>
        <v/>
      </c>
      <c r="BK107" s="411" t="str">
        <f>_xlfn.IFNA(VLOOKUP($BC107,Programma!$F$3:$N$1101,9,0),"")</f>
        <v/>
      </c>
      <c r="BL107" s="411" t="str">
        <f>_xlfn.IFNA(VLOOKUP($BC107,Programma!$F$3:$O$1101,10,0),"")</f>
        <v/>
      </c>
      <c r="BM107" s="411" t="str">
        <f>_xlfn.IFNA(VLOOKUP($BC107,Programma!$F$3:$P$1101,11,0),"")</f>
        <v/>
      </c>
      <c r="BN107" s="411" t="str">
        <f>_xlfn.IFNA(VLOOKUP($BC107,Programma!$F$3:$Q$1101,12,0),"")</f>
        <v/>
      </c>
      <c r="BO107" s="411" t="str">
        <f>_xlfn.IFNA(VLOOKUP($BC107,Programma!$F$3:$R$1101,13,0),"")</f>
        <v/>
      </c>
      <c r="BP107" s="411" t="str">
        <f>_xlfn.IFNA(VLOOKUP($BC107,Programma!$F$3:$S$1101,14,0),"")</f>
        <v/>
      </c>
      <c r="BQ107" s="411" t="str">
        <f>_xlfn.IFNA(VLOOKUP($BC107,Programma!$F$3:$T$1101,15,0),"")</f>
        <v/>
      </c>
      <c r="BR107" s="411" t="str">
        <f>_xlfn.IFNA(VLOOKUP($BC107,Programma!$F$3:$U$1101,16,0),"")</f>
        <v/>
      </c>
      <c r="BS107" s="411" t="str">
        <f>_xlfn.IFNA(VLOOKUP($BC107,Programma!$F$3:$V$1101,17,0),"")</f>
        <v/>
      </c>
      <c r="BT107" s="411" t="str">
        <f>_xlfn.IFNA(VLOOKUP($BC107,Programma!$F$3:$W$1101,18,0),"")</f>
        <v/>
      </c>
      <c r="BU107" s="411" t="str">
        <f>_xlfn.IFNA(VLOOKUP($BC107,Programma!$F$3:$X$1101,19,0),"")</f>
        <v/>
      </c>
      <c r="BV107" s="411" t="str">
        <f>_xlfn.IFNA(VLOOKUP($BC107,Programma!$F$3:$Y$1101,20,0),"")</f>
        <v/>
      </c>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c r="FJ107" s="28"/>
      <c r="FK107" s="28"/>
      <c r="FL107" s="28"/>
      <c r="FM107" s="28"/>
      <c r="FN107" s="28"/>
      <c r="FO107" s="28"/>
      <c r="FP107" s="28"/>
      <c r="FQ107" s="28"/>
      <c r="FR107" s="28"/>
      <c r="FS107" s="28"/>
      <c r="FT107" s="28"/>
      <c r="FU107" s="28"/>
      <c r="FV107" s="28"/>
      <c r="FW107" s="28"/>
      <c r="FX107" s="28"/>
      <c r="FY107" s="28"/>
      <c r="FZ107" s="28"/>
      <c r="GA107" s="28"/>
      <c r="GB107" s="28"/>
      <c r="GC107" s="28"/>
      <c r="GD107" s="28"/>
      <c r="GE107" s="28"/>
      <c r="GF107" s="28"/>
      <c r="GG107" s="28"/>
      <c r="GH107" s="28"/>
      <c r="GI107" s="28"/>
      <c r="GJ107" s="28"/>
      <c r="GK107" s="28"/>
      <c r="GL107" s="28"/>
      <c r="GM107" s="28"/>
      <c r="GN107" s="28"/>
      <c r="GO107" s="28"/>
      <c r="GP107" s="28"/>
      <c r="GQ107" s="28"/>
      <c r="GR107" s="28"/>
      <c r="GS107" s="28"/>
      <c r="GT107" s="28"/>
      <c r="GU107" s="28"/>
      <c r="GV107" s="28"/>
      <c r="GW107" s="28"/>
      <c r="GX107" s="28"/>
      <c r="GY107" s="28"/>
      <c r="GZ107" s="28"/>
      <c r="HA107" s="28"/>
      <c r="HB107" s="28"/>
      <c r="HC107" s="28"/>
      <c r="HD107" s="28"/>
      <c r="HE107" s="28"/>
      <c r="HF107" s="28"/>
      <c r="HG107" s="28"/>
      <c r="HH107" s="28"/>
      <c r="HI107" s="28"/>
      <c r="HJ107" s="28"/>
      <c r="HK107" s="28"/>
    </row>
    <row r="108" spans="1:219" ht="15" customHeight="1">
      <c r="A108" s="336">
        <v>2</v>
      </c>
      <c r="B108" s="400" t="str">
        <f>VLOOKUP(Ruimtestaat[[#This Row],[Code]],Locaties[[Code]:[Locatie]],2,FALSE)</f>
        <v>Kleine Houtweg</v>
      </c>
      <c r="C108" s="400" t="str">
        <f>VLOOKUP(Ruimtestaat[[#This Row],[Code]],Locaties[[#All],[Code]:[Adres]],4,FALSE)</f>
        <v>Kleine Houtweg 18</v>
      </c>
      <c r="D108" s="400" t="str">
        <f>VLOOKUP(Ruimtestaat[[#This Row],[Code]],Locaties[[#All],[Code]:[Postcode]],5,FALSE)</f>
        <v>2012 CH</v>
      </c>
      <c r="E108" s="400" t="str">
        <f>VLOOKUP(Ruimtestaat[[#This Row],[Code]],Locaties[#All],6,FALSE)</f>
        <v>Haarlem</v>
      </c>
      <c r="F108" s="399" t="s">
        <v>1668</v>
      </c>
      <c r="G108" s="399" t="s">
        <v>1655</v>
      </c>
      <c r="H108" s="401"/>
      <c r="I108" s="402" t="s">
        <v>1631</v>
      </c>
      <c r="J108" s="336">
        <v>6</v>
      </c>
      <c r="K108" s="414" t="str">
        <f>VLOOKUP(Ruimtestaat[[#This Row],[Ruimte code]],Ruimtegroepen[[#All],[Code]:[Ruimte omschrijving]],2,FALSE)</f>
        <v>Gangen/hallen</v>
      </c>
      <c r="L108" s="399" t="s">
        <v>99</v>
      </c>
      <c r="M108" s="402" t="s">
        <v>36</v>
      </c>
      <c r="N108" s="404">
        <v>14.2</v>
      </c>
      <c r="O108" s="413"/>
      <c r="P108" s="405" t="str">
        <f>VLOOKUP(Ruimtestaat[[#This Row],[Ruimte code]],Ruimtegroepen[],4,FALSE)</f>
        <v>Ve</v>
      </c>
      <c r="Q108" s="399">
        <v>51</v>
      </c>
      <c r="R108" s="399" t="s">
        <v>15</v>
      </c>
      <c r="S108" s="399">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108" s="399">
        <f>IF(S108&gt;0,VLOOKUP($J108,Ruimtegroepen[],3,FALSE)*VLOOKUP($L108,Vloersoorten[],3,FALSE)*VLOOKUP($R108,Frequenties[],3,FALSE)*VLOOKUP($A108,Locaties[],3,FALSE),0)</f>
        <v>0</v>
      </c>
      <c r="U108" s="399">
        <f>Ruimtestaat[[#This Row],[Uitvoeringen werkdagen]]*Ruimtestaat[[#This Row],[Oppervlak (netto)]]</f>
        <v>724.19999999999993</v>
      </c>
      <c r="V108" s="406">
        <f>IF(T108&gt;0,Ruimtestaat[[#This Row],[Prest. (m2 /jaar) werkdagen]]/Ruimtestaat[[#This Row],[Norm (m2/uur) werkdagen]],0)</f>
        <v>0</v>
      </c>
      <c r="W108" s="407">
        <f>Ruimtestaat[[#This Row],[uren / jaar werkdagen]]*Tariefsopbouw!$E$35</f>
        <v>0</v>
      </c>
      <c r="X108" s="399"/>
      <c r="Y108" s="399">
        <f>IF(Ruimtestaat[[#This Row],[Frequentie weekend]]&gt;0,VALUE(LEFT(X108,1))*Q108,0)</f>
        <v>0</v>
      </c>
      <c r="Z108" s="408">
        <f>IF($Y108&gt;0,VLOOKUP($J108,Ruimtegroepen[],3,FALSE)*VLOOKUP($L108,Vloersoorten[],3,FALSE)*VLOOKUP($X108,Frequenties[],3,FALSE)*VLOOKUP(#REF!,Locaties[],3,FALSE),0)</f>
        <v>0</v>
      </c>
      <c r="AA108" s="408">
        <f>Ruimtestaat[[#This Row],[Uitvoeringen weekend]]*Ruimtestaat[[#This Row],[Oppervlak (netto)]]</f>
        <v>0</v>
      </c>
      <c r="AB108" s="408">
        <f>IF(Z108&gt;0,Ruimtestaat[[#This Row],[Prest. (m2 /jaar) weekend]]/Ruimtestaat[[#This Row],[Norm (m2/uur) weekend]],0)</f>
        <v>0</v>
      </c>
      <c r="AC108" s="407">
        <f>Ruimtestaat[[#This Row],[uren / jaar weekend]]*Tariefsopbouw!$D$40</f>
        <v>0</v>
      </c>
      <c r="AD108" s="406">
        <f>Ruimtestaat[[#This Row],[Prest. (m2 /jaar) weekend]]+Ruimtestaat[[#This Row],[Prest. (m2 /jaar) werkdagen]]</f>
        <v>724.19999999999993</v>
      </c>
      <c r="AE108" s="406">
        <f>Ruimtestaat[[#This Row],[uren / jaar weekend]]+Ruimtestaat[[#This Row],[uren / jaar werkdagen]]</f>
        <v>0</v>
      </c>
      <c r="AF108" s="409">
        <f>Ruimtestaat[[#This Row],[kosten / jaar weekend]]+Ruimtestaat[[#This Row],[kosten / jaar werkdagen]]</f>
        <v>0</v>
      </c>
      <c r="AG108" s="409"/>
      <c r="AH108" s="410" t="str">
        <f>IF(Ruimtestaat[[#This Row],[Frequentie werkdagen]]="","",_xlfn.CONCAT(Ruimtestaat[[#This Row],[Ruimte code]],"-",Ruimtestaat[[#This Row],[Frequentie werkdagen]]," ",Ruimtestaat[[#This Row],[Vloer code]]))</f>
        <v>6-1w T</v>
      </c>
      <c r="AI108" s="411" t="str">
        <f>_xlfn.IFNA(VLOOKUP($AH108,Programma!$F$3:$G$1101,2,0),"")</f>
        <v>_</v>
      </c>
      <c r="AJ108" s="411" t="str">
        <f>_xlfn.IFNA(VLOOKUP($AH108,Programma!$F$3:$H$1101,3,0),"")</f>
        <v>1w</v>
      </c>
      <c r="AK108" s="411" t="str">
        <f>_xlfn.IFNA(VLOOKUP($AH108,Programma!$F$3:$I$1101,4,0),"")</f>
        <v>_</v>
      </c>
      <c r="AL108" s="411" t="str">
        <f>_xlfn.IFNA(VLOOKUP($AH108,Programma!$F$3:$J$1101,5,0),"")</f>
        <v>_</v>
      </c>
      <c r="AM108" s="411" t="str">
        <f>_xlfn.IFNA(VLOOKUP($AH108,Programma!$F$3:$K$1101,6,0),"")</f>
        <v>_</v>
      </c>
      <c r="AN108" s="411" t="str">
        <f>_xlfn.IFNA(VLOOKUP($AH108,Programma!$F$3:$L$1101,7,0),"")</f>
        <v>_</v>
      </c>
      <c r="AO108" s="411" t="str">
        <f>_xlfn.IFNA(VLOOKUP($AH108,Programma!$F$3:$M$1101,8,0),"")</f>
        <v>_</v>
      </c>
      <c r="AP108" s="411" t="str">
        <f>_xlfn.IFNA(VLOOKUP($AH108,Programma!$F$3:$N$1101,9,0),"")</f>
        <v>_</v>
      </c>
      <c r="AQ108" s="411" t="str">
        <f>_xlfn.IFNA(VLOOKUP($AH108,Programma!$F$3:$O$1101,10,0),"")</f>
        <v>1w</v>
      </c>
      <c r="AR108" s="411" t="str">
        <f>_xlfn.IFNA(VLOOKUP($AH108,Programma!$F$3:$P$1101,11,0),"")</f>
        <v>1w</v>
      </c>
      <c r="AS108" s="411" t="str">
        <f>_xlfn.IFNA(VLOOKUP($AH108,Programma!$F$3:$Q$1101,12,0),"")</f>
        <v>1w</v>
      </c>
      <c r="AT108" s="411" t="str">
        <f>_xlfn.IFNA(VLOOKUP($AH108,Programma!$F$3:$R$1101,13,0),"")</f>
        <v>1w</v>
      </c>
      <c r="AU108" s="411" t="str">
        <f>_xlfn.IFNA(VLOOKUP($AH108,Programma!$F$3:$S$1101,14,0),"")</f>
        <v>1m</v>
      </c>
      <c r="AV108" s="411" t="str">
        <f>_xlfn.IFNA(VLOOKUP($AH108,Programma!$F$3:$T$1101,15,0),"")</f>
        <v>2j</v>
      </c>
      <c r="AW108" s="411" t="str">
        <f>_xlfn.IFNA(VLOOKUP($AH108,Programma!$F$3:$U$1101,16,0),"")</f>
        <v>1j</v>
      </c>
      <c r="AX108" s="411" t="str">
        <f>_xlfn.IFNA(VLOOKUP($AH108,Programma!$F$3:$V$1101,17,0),"")</f>
        <v>_</v>
      </c>
      <c r="AY108" s="411" t="str">
        <f>_xlfn.IFNA(VLOOKUP($AH108,Programma!$F$3:$W$1101,18,0),"")</f>
        <v>_</v>
      </c>
      <c r="AZ108" s="411" t="str">
        <f>_xlfn.IFNA(VLOOKUP($AH108,Programma!$F$3:$X$1101,19,0),"")</f>
        <v>_</v>
      </c>
      <c r="BA108" s="411" t="str">
        <f>_xlfn.IFNA(VLOOKUP($AH108,Programma!$F$3:$Y$1101,20,0),"")</f>
        <v>_</v>
      </c>
      <c r="BB108" s="412"/>
      <c r="BC108" s="410" t="str">
        <f>IF(Ruimtestaat[[#This Row],[Frequentie weekend]]="","",_xlfn.CONCAT(Ruimtestaat[[#This Row],[Ruimte code]],"-",Ruimtestaat[[#This Row],[Frequentie weekend]]," ",Ruimtestaat[[#This Row],[Vloer code]]))</f>
        <v/>
      </c>
      <c r="BD108" s="411" t="str">
        <f>_xlfn.IFNA(VLOOKUP($BC108,Programma!$F$3:$G$1101,2,0),"")</f>
        <v/>
      </c>
      <c r="BE108" s="411" t="str">
        <f>_xlfn.IFNA(VLOOKUP($BC108,Programma!$F$3:$H$1101,3,0),"")</f>
        <v/>
      </c>
      <c r="BF108" s="411" t="str">
        <f>_xlfn.IFNA(VLOOKUP($BC108,Programma!$F$3:$I$1101,4,0),"")</f>
        <v/>
      </c>
      <c r="BG108" s="411" t="str">
        <f>_xlfn.IFNA(VLOOKUP($BC108,Programma!$F$3:$J$1101,5,0),"")</f>
        <v/>
      </c>
      <c r="BH108" s="411" t="str">
        <f>_xlfn.IFNA(VLOOKUP($BC108,Programma!$F$3:$K$1101,6,0),"")</f>
        <v/>
      </c>
      <c r="BI108" s="411" t="str">
        <f>_xlfn.IFNA(VLOOKUP($BC108,Programma!$F$3:$L$1101,7,0),"")</f>
        <v/>
      </c>
      <c r="BJ108" s="411" t="str">
        <f>_xlfn.IFNA(VLOOKUP($BC108,Programma!$F$3:$M$1101,8,0),"")</f>
        <v/>
      </c>
      <c r="BK108" s="411" t="str">
        <f>_xlfn.IFNA(VLOOKUP($BC108,Programma!$F$3:$N$1101,9,0),"")</f>
        <v/>
      </c>
      <c r="BL108" s="411" t="str">
        <f>_xlfn.IFNA(VLOOKUP($BC108,Programma!$F$3:$O$1101,10,0),"")</f>
        <v/>
      </c>
      <c r="BM108" s="411" t="str">
        <f>_xlfn.IFNA(VLOOKUP($BC108,Programma!$F$3:$P$1101,11,0),"")</f>
        <v/>
      </c>
      <c r="BN108" s="411" t="str">
        <f>_xlfn.IFNA(VLOOKUP($BC108,Programma!$F$3:$Q$1101,12,0),"")</f>
        <v/>
      </c>
      <c r="BO108" s="411" t="str">
        <f>_xlfn.IFNA(VLOOKUP($BC108,Programma!$F$3:$R$1101,13,0),"")</f>
        <v/>
      </c>
      <c r="BP108" s="411" t="str">
        <f>_xlfn.IFNA(VLOOKUP($BC108,Programma!$F$3:$S$1101,14,0),"")</f>
        <v/>
      </c>
      <c r="BQ108" s="411" t="str">
        <f>_xlfn.IFNA(VLOOKUP($BC108,Programma!$F$3:$T$1101,15,0),"")</f>
        <v/>
      </c>
      <c r="BR108" s="411" t="str">
        <f>_xlfn.IFNA(VLOOKUP($BC108,Programma!$F$3:$U$1101,16,0),"")</f>
        <v/>
      </c>
      <c r="BS108" s="411" t="str">
        <f>_xlfn.IFNA(VLOOKUP($BC108,Programma!$F$3:$V$1101,17,0),"")</f>
        <v/>
      </c>
      <c r="BT108" s="411" t="str">
        <f>_xlfn.IFNA(VLOOKUP($BC108,Programma!$F$3:$W$1101,18,0),"")</f>
        <v/>
      </c>
      <c r="BU108" s="411" t="str">
        <f>_xlfn.IFNA(VLOOKUP($BC108,Programma!$F$3:$X$1101,19,0),"")</f>
        <v/>
      </c>
      <c r="BV108" s="411" t="str">
        <f>_xlfn.IFNA(VLOOKUP($BC108,Programma!$F$3:$Y$1101,20,0),"")</f>
        <v/>
      </c>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c r="FJ108" s="28"/>
      <c r="FK108" s="28"/>
      <c r="FL108" s="28"/>
      <c r="FM108" s="28"/>
      <c r="FN108" s="28"/>
      <c r="FO108" s="28"/>
      <c r="FP108" s="28"/>
      <c r="FQ108" s="28"/>
      <c r="FR108" s="28"/>
      <c r="FS108" s="28"/>
      <c r="FT108" s="28"/>
      <c r="FU108" s="28"/>
      <c r="FV108" s="28"/>
      <c r="FW108" s="28"/>
      <c r="FX108" s="28"/>
      <c r="FY108" s="28"/>
      <c r="FZ108" s="28"/>
      <c r="GA108" s="28"/>
      <c r="GB108" s="28"/>
      <c r="GC108" s="28"/>
      <c r="GD108" s="28"/>
      <c r="GE108" s="28"/>
      <c r="GF108" s="28"/>
      <c r="GG108" s="28"/>
      <c r="GH108" s="28"/>
      <c r="GI108" s="28"/>
      <c r="GJ108" s="28"/>
      <c r="GK108" s="28"/>
      <c r="GL108" s="28"/>
      <c r="GM108" s="28"/>
      <c r="GN108" s="28"/>
      <c r="GO108" s="28"/>
      <c r="GP108" s="28"/>
      <c r="GQ108" s="28"/>
      <c r="GR108" s="28"/>
      <c r="GS108" s="28"/>
      <c r="GT108" s="28"/>
      <c r="GU108" s="28"/>
      <c r="GV108" s="28"/>
      <c r="GW108" s="28"/>
      <c r="GX108" s="28"/>
      <c r="GY108" s="28"/>
      <c r="GZ108" s="28"/>
      <c r="HA108" s="28"/>
      <c r="HB108" s="28"/>
      <c r="HC108" s="28"/>
      <c r="HD108" s="28"/>
      <c r="HE108" s="28"/>
      <c r="HF108" s="28"/>
      <c r="HG108" s="28"/>
      <c r="HH108" s="28"/>
      <c r="HI108" s="28"/>
      <c r="HJ108" s="28"/>
      <c r="HK108" s="28"/>
    </row>
  </sheetData>
  <sheetProtection algorithmName="SHA-512" hashValue="Qag9nxPKA/y2S3I2DRl72whWUmCtvOlL4xIo3362PNFmI4tvHQnuH9Xx0Ij9oAwbESu1mSK2Y8fmfpvFIeeMOQ==" saltValue="3YXL+uBHw+bJ1buY9BzIAw==" spinCount="100000" sheet="1" objects="1" scenarios="1" autoFilter="0"/>
  <sortState xmlns:xlrd2="http://schemas.microsoft.com/office/spreadsheetml/2017/richdata2" ref="B17:R98">
    <sortCondition ref="F17:F98"/>
  </sortState>
  <mergeCells count="13">
    <mergeCell ref="AI2:BA2"/>
    <mergeCell ref="BD2:BV2"/>
    <mergeCell ref="AI3:AP3"/>
    <mergeCell ref="AQ3:AX3"/>
    <mergeCell ref="AY3:BA3"/>
    <mergeCell ref="BD3:BK3"/>
    <mergeCell ref="BL3:BS3"/>
    <mergeCell ref="BT3:BV3"/>
    <mergeCell ref="A1:P1"/>
    <mergeCell ref="Q1:AF1"/>
    <mergeCell ref="R3:W3"/>
    <mergeCell ref="X3:AC3"/>
    <mergeCell ref="AD3:AF3"/>
  </mergeCells>
  <phoneticPr fontId="11" type="noConversion"/>
  <pageMargins left="0.23622047244094491" right="0.23622047244094491" top="0.74803149606299213" bottom="0.74803149606299213" header="0.31496062992125984" footer="0.31496062992125984"/>
  <pageSetup paperSize="8" scale="32" fitToWidth="2" fitToHeight="0" orientation="landscape" r:id="rId1"/>
  <headerFooter alignWithMargins="0">
    <oddFooter>&amp;L&amp;P&amp;Cparaaf Inschrijver&amp;R&amp;D</oddFooter>
  </headerFooter>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34"/>
  <sheetViews>
    <sheetView showGridLines="0" view="pageBreakPreview" zoomScaleNormal="100" zoomScaleSheetLayoutView="100" workbookViewId="0">
      <selection activeCell="D35" sqref="D35"/>
    </sheetView>
  </sheetViews>
  <sheetFormatPr defaultColWidth="9.109375" defaultRowHeight="15" customHeight="1"/>
  <cols>
    <col min="1" max="1" width="9.6640625" style="28" customWidth="1"/>
    <col min="2" max="2" width="56.33203125" style="28" customWidth="1"/>
    <col min="3" max="3" width="14.88671875" style="32" customWidth="1"/>
    <col min="4" max="4" width="62" style="28" customWidth="1"/>
    <col min="5" max="5" width="17.6640625" style="28" bestFit="1" customWidth="1"/>
    <col min="6" max="6" width="17.6640625" style="101" bestFit="1" customWidth="1"/>
    <col min="7" max="7" width="17.6640625" style="28" bestFit="1" customWidth="1"/>
    <col min="8" max="8" width="18" style="28" bestFit="1" customWidth="1"/>
    <col min="9" max="9" width="19" style="28" customWidth="1"/>
    <col min="10" max="10" width="6.44140625" style="28" customWidth="1"/>
    <col min="11" max="11" width="9.109375" style="28"/>
    <col min="12" max="12" width="35.6640625" style="28" customWidth="1"/>
    <col min="13" max="13" width="15.88671875" style="28" customWidth="1"/>
    <col min="14" max="16384" width="9.109375" style="28"/>
  </cols>
  <sheetData>
    <row r="1" spans="1:13" s="26" customFormat="1" ht="26.25" customHeight="1">
      <c r="A1" s="290" t="s">
        <v>160</v>
      </c>
      <c r="B1" s="290"/>
      <c r="C1" s="290"/>
      <c r="D1" s="290"/>
      <c r="E1" s="290"/>
      <c r="F1" s="290"/>
      <c r="G1" s="290"/>
      <c r="H1" s="290"/>
      <c r="I1" s="291"/>
      <c r="J1" s="291"/>
    </row>
    <row r="2" spans="1:13" s="26" customFormat="1" ht="15" customHeight="1">
      <c r="A2" s="416" t="s">
        <v>1611</v>
      </c>
      <c r="B2" s="292"/>
      <c r="C2" s="292"/>
      <c r="D2" s="292"/>
      <c r="E2" s="292"/>
      <c r="F2" s="292"/>
      <c r="G2" s="292"/>
      <c r="H2" s="292"/>
      <c r="I2" s="291"/>
      <c r="J2" s="291"/>
    </row>
    <row r="3" spans="1:13" ht="15" customHeight="1">
      <c r="A3" s="294"/>
      <c r="B3" s="336"/>
      <c r="C3" s="294"/>
      <c r="D3" s="417"/>
      <c r="E3" s="418"/>
      <c r="F3" s="419"/>
      <c r="G3" s="294"/>
      <c r="H3" s="294"/>
      <c r="I3" s="294"/>
      <c r="J3" s="294"/>
    </row>
    <row r="4" spans="1:13" ht="15" customHeight="1">
      <c r="A4" s="294" t="s">
        <v>168</v>
      </c>
      <c r="B4" s="420"/>
      <c r="C4" s="420"/>
      <c r="D4" s="420"/>
      <c r="E4" s="420"/>
      <c r="F4" s="421"/>
      <c r="G4" s="422"/>
      <c r="H4" s="294"/>
      <c r="I4" s="294"/>
      <c r="J4" s="294"/>
    </row>
    <row r="5" spans="1:13" ht="15" customHeight="1">
      <c r="A5" s="294" t="s">
        <v>222</v>
      </c>
      <c r="B5" s="420"/>
      <c r="C5" s="420"/>
      <c r="D5" s="420"/>
      <c r="E5" s="420"/>
      <c r="F5" s="421"/>
      <c r="G5" s="422"/>
      <c r="H5" s="294"/>
      <c r="I5" s="294"/>
      <c r="J5" s="294"/>
    </row>
    <row r="6" spans="1:13" ht="15" customHeight="1">
      <c r="A6" s="294" t="s">
        <v>215</v>
      </c>
      <c r="B6" s="423"/>
      <c r="C6" s="424"/>
      <c r="D6" s="424"/>
      <c r="E6" s="424"/>
      <c r="F6" s="425"/>
      <c r="G6" s="294"/>
      <c r="H6" s="294"/>
      <c r="I6" s="294"/>
      <c r="J6" s="294"/>
    </row>
    <row r="7" spans="1:13" ht="15" customHeight="1">
      <c r="A7" s="294"/>
      <c r="B7" s="423"/>
      <c r="C7" s="423"/>
      <c r="D7" s="426"/>
      <c r="E7" s="427" t="s">
        <v>244</v>
      </c>
      <c r="F7" s="427"/>
      <c r="G7" s="427"/>
      <c r="H7" s="427"/>
      <c r="I7" s="427"/>
      <c r="J7" s="294"/>
      <c r="M7" s="109"/>
    </row>
    <row r="8" spans="1:13" s="29" customFormat="1" ht="26.25" customHeight="1">
      <c r="A8" s="428" t="s">
        <v>198</v>
      </c>
      <c r="B8" s="429" t="s">
        <v>150</v>
      </c>
      <c r="C8" s="430" t="s">
        <v>142</v>
      </c>
      <c r="D8" s="428" t="s">
        <v>1302</v>
      </c>
      <c r="E8" s="428" t="s">
        <v>1304</v>
      </c>
      <c r="F8" s="428" t="s">
        <v>1582</v>
      </c>
      <c r="G8" s="428" t="s">
        <v>1617</v>
      </c>
      <c r="H8" s="428" t="s">
        <v>1616</v>
      </c>
      <c r="I8" s="428" t="s">
        <v>1681</v>
      </c>
      <c r="J8" s="302"/>
      <c r="M8" s="110"/>
    </row>
    <row r="9" spans="1:13" ht="15" customHeight="1">
      <c r="A9" s="431">
        <v>1</v>
      </c>
      <c r="B9" s="432" t="s">
        <v>155</v>
      </c>
      <c r="C9" s="452">
        <v>0</v>
      </c>
      <c r="D9" s="433" t="s">
        <v>151</v>
      </c>
      <c r="E9" s="434" t="e">
        <f>InvulVloer19[[#This Row],[Prijs]]*Tariefsopbouw!$I$37+InvulVloer19[[#This Row],[Prijs]]</f>
        <v>#DIV/0!</v>
      </c>
      <c r="F9" s="435" t="e">
        <f>InvulVloer19[[#This Row],[2028]]*Tariefsopbouw!$K$37+InvulVloer19[[#This Row],[2028]]</f>
        <v>#DIV/0!</v>
      </c>
      <c r="G9" s="435" t="e">
        <f>InvulVloer19[[#This Row],[2029]]*Tariefsopbouw!$M$37+InvulVloer19[[#This Row],[2029]]</f>
        <v>#DIV/0!</v>
      </c>
      <c r="H9" s="435" t="e">
        <f>InvulVloer19[[#This Row],[2030]]*Tariefsopbouw!$O$37+InvulVloer19[[#This Row],[2030]]</f>
        <v>#DIV/0!</v>
      </c>
      <c r="I9" s="435" t="e">
        <f>InvulVloer19[[#This Row],[2031]]*Tariefsopbouw!$Q$37+InvulVloer19[[#This Row],[2031]]</f>
        <v>#DIV/0!</v>
      </c>
      <c r="J9" s="294"/>
      <c r="M9" s="109"/>
    </row>
    <row r="10" spans="1:13" ht="15" customHeight="1">
      <c r="A10" s="431">
        <v>2</v>
      </c>
      <c r="B10" s="432" t="s">
        <v>245</v>
      </c>
      <c r="C10" s="452">
        <v>0</v>
      </c>
      <c r="D10" s="433" t="s">
        <v>151</v>
      </c>
      <c r="E10" s="434" t="e">
        <f>InvulVloer19[[#This Row],[Prijs]]*Tariefsopbouw!$I$37+InvulVloer19[[#This Row],[Prijs]]</f>
        <v>#DIV/0!</v>
      </c>
      <c r="F10" s="434" t="e">
        <f>InvulVloer19[[#This Row],[2028]]*Tariefsopbouw!$K$37+InvulVloer19[[#This Row],[2028]]</f>
        <v>#DIV/0!</v>
      </c>
      <c r="G10" s="434" t="e">
        <f>InvulVloer19[[#This Row],[2029]]*Tariefsopbouw!$M$37+InvulVloer19[[#This Row],[2029]]</f>
        <v>#DIV/0!</v>
      </c>
      <c r="H10" s="434" t="e">
        <f>InvulVloer19[[#This Row],[2030]]*Tariefsopbouw!$O$37+InvulVloer19[[#This Row],[2030]]</f>
        <v>#DIV/0!</v>
      </c>
      <c r="I10" s="434" t="e">
        <f>InvulVloer19[[#This Row],[2031]]*Tariefsopbouw!$Q$37+InvulVloer19[[#This Row],[2031]]</f>
        <v>#DIV/0!</v>
      </c>
      <c r="J10" s="294"/>
      <c r="M10" s="121"/>
    </row>
    <row r="11" spans="1:13" ht="15" customHeight="1">
      <c r="A11" s="431">
        <v>3</v>
      </c>
      <c r="B11" s="432" t="s">
        <v>156</v>
      </c>
      <c r="C11" s="452">
        <v>0</v>
      </c>
      <c r="D11" s="433" t="s">
        <v>152</v>
      </c>
      <c r="E11" s="434" t="e">
        <f>InvulVloer19[[#This Row],[Prijs]]*Tariefsopbouw!$I$37+InvulVloer19[[#This Row],[Prijs]]</f>
        <v>#DIV/0!</v>
      </c>
      <c r="F11" s="434" t="e">
        <f>InvulVloer19[[#This Row],[2028]]*Tariefsopbouw!$K$37+InvulVloer19[[#This Row],[2028]]</f>
        <v>#DIV/0!</v>
      </c>
      <c r="G11" s="434" t="e">
        <f>InvulVloer19[[#This Row],[2029]]*Tariefsopbouw!$M$37+InvulVloer19[[#This Row],[2029]]</f>
        <v>#DIV/0!</v>
      </c>
      <c r="H11" s="434" t="e">
        <f>InvulVloer19[[#This Row],[2030]]*Tariefsopbouw!$O$37+InvulVloer19[[#This Row],[2030]]</f>
        <v>#DIV/0!</v>
      </c>
      <c r="I11" s="434" t="e">
        <f>InvulVloer19[[#This Row],[2031]]*Tariefsopbouw!$Q$37+InvulVloer19[[#This Row],[2031]]</f>
        <v>#DIV/0!</v>
      </c>
      <c r="J11" s="294"/>
      <c r="M11" s="123"/>
    </row>
    <row r="12" spans="1:13" ht="15" customHeight="1">
      <c r="A12" s="431">
        <v>4</v>
      </c>
      <c r="B12" s="432" t="s">
        <v>246</v>
      </c>
      <c r="C12" s="452">
        <v>0</v>
      </c>
      <c r="D12" s="433" t="s">
        <v>151</v>
      </c>
      <c r="E12" s="434" t="e">
        <f>InvulVloer19[[#This Row],[Prijs]]*Tariefsopbouw!$I$37+InvulVloer19[[#This Row],[Prijs]]</f>
        <v>#DIV/0!</v>
      </c>
      <c r="F12" s="434" t="e">
        <f>InvulVloer19[[#This Row],[2028]]*Tariefsopbouw!$K$37+InvulVloer19[[#This Row],[2028]]</f>
        <v>#DIV/0!</v>
      </c>
      <c r="G12" s="434" t="e">
        <f>InvulVloer19[[#This Row],[2029]]*Tariefsopbouw!$M$37+InvulVloer19[[#This Row],[2029]]</f>
        <v>#DIV/0!</v>
      </c>
      <c r="H12" s="434" t="e">
        <f>InvulVloer19[[#This Row],[2030]]*Tariefsopbouw!$O$37+InvulVloer19[[#This Row],[2030]]</f>
        <v>#DIV/0!</v>
      </c>
      <c r="I12" s="434" t="e">
        <f>InvulVloer19[[#This Row],[2031]]*Tariefsopbouw!$Q$37+InvulVloer19[[#This Row],[2031]]</f>
        <v>#DIV/0!</v>
      </c>
      <c r="J12" s="294"/>
    </row>
    <row r="13" spans="1:13" ht="15" customHeight="1">
      <c r="A13" s="431">
        <v>5</v>
      </c>
      <c r="B13" s="432" t="s">
        <v>247</v>
      </c>
      <c r="C13" s="452">
        <v>0</v>
      </c>
      <c r="D13" s="433" t="s">
        <v>151</v>
      </c>
      <c r="E13" s="434" t="e">
        <f>InvulVloer19[[#This Row],[Prijs]]*Tariefsopbouw!$I$37+InvulVloer19[[#This Row],[Prijs]]</f>
        <v>#DIV/0!</v>
      </c>
      <c r="F13" s="434" t="e">
        <f>InvulVloer19[[#This Row],[2028]]*Tariefsopbouw!$K$37+InvulVloer19[[#This Row],[2028]]</f>
        <v>#DIV/0!</v>
      </c>
      <c r="G13" s="434" t="e">
        <f>InvulVloer19[[#This Row],[2029]]*Tariefsopbouw!$M$37+InvulVloer19[[#This Row],[2029]]</f>
        <v>#DIV/0!</v>
      </c>
      <c r="H13" s="434" t="e">
        <f>InvulVloer19[[#This Row],[2030]]*Tariefsopbouw!$O$37+InvulVloer19[[#This Row],[2030]]</f>
        <v>#DIV/0!</v>
      </c>
      <c r="I13" s="434" t="e">
        <f>InvulVloer19[[#This Row],[2031]]*Tariefsopbouw!$Q$37+InvulVloer19[[#This Row],[2031]]</f>
        <v>#DIV/0!</v>
      </c>
      <c r="J13" s="294"/>
    </row>
    <row r="14" spans="1:13" ht="15" customHeight="1">
      <c r="A14" s="431">
        <v>6</v>
      </c>
      <c r="B14" s="432" t="s">
        <v>157</v>
      </c>
      <c r="C14" s="452">
        <v>0</v>
      </c>
      <c r="D14" s="433" t="s">
        <v>151</v>
      </c>
      <c r="E14" s="434" t="e">
        <f>InvulVloer19[[#This Row],[Prijs]]*Tariefsopbouw!$I$37+InvulVloer19[[#This Row],[Prijs]]</f>
        <v>#DIV/0!</v>
      </c>
      <c r="F14" s="434" t="e">
        <f>InvulVloer19[[#This Row],[2028]]*Tariefsopbouw!$K$37+InvulVloer19[[#This Row],[2028]]</f>
        <v>#DIV/0!</v>
      </c>
      <c r="G14" s="434" t="e">
        <f>InvulVloer19[[#This Row],[2029]]*Tariefsopbouw!$M$37+InvulVloer19[[#This Row],[2029]]</f>
        <v>#DIV/0!</v>
      </c>
      <c r="H14" s="434" t="e">
        <f>InvulVloer19[[#This Row],[2030]]*Tariefsopbouw!$O$37+InvulVloer19[[#This Row],[2030]]</f>
        <v>#DIV/0!</v>
      </c>
      <c r="I14" s="434" t="e">
        <f>InvulVloer19[[#This Row],[2031]]*Tariefsopbouw!$Q$37+InvulVloer19[[#This Row],[2031]]</f>
        <v>#DIV/0!</v>
      </c>
      <c r="J14" s="294"/>
    </row>
    <row r="15" spans="1:13" ht="15" customHeight="1">
      <c r="A15" s="431">
        <v>7</v>
      </c>
      <c r="B15" s="432" t="s">
        <v>1588</v>
      </c>
      <c r="C15" s="452">
        <v>0</v>
      </c>
      <c r="D15" s="433" t="s">
        <v>151</v>
      </c>
      <c r="E15" s="434" t="e">
        <f>InvulVloer19[[#This Row],[Prijs]]*Tariefsopbouw!$I$37+InvulVloer19[[#This Row],[Prijs]]</f>
        <v>#DIV/0!</v>
      </c>
      <c r="F15" s="436" t="e">
        <f>InvulVloer19[[#This Row],[2028]]*Tariefsopbouw!$K$37+InvulVloer19[[#This Row],[2028]]</f>
        <v>#DIV/0!</v>
      </c>
      <c r="G15" s="434" t="e">
        <f>InvulVloer19[[#This Row],[2029]]*Tariefsopbouw!$M$37+InvulVloer19[[#This Row],[2029]]</f>
        <v>#DIV/0!</v>
      </c>
      <c r="H15" s="434" t="e">
        <f>InvulVloer19[[#This Row],[2030]]*Tariefsopbouw!$O$37+InvulVloer19[[#This Row],[2030]]</f>
        <v>#DIV/0!</v>
      </c>
      <c r="I15" s="434" t="e">
        <f>InvulVloer19[[#This Row],[2031]]*Tariefsopbouw!$Q$37+InvulVloer19[[#This Row],[2031]]</f>
        <v>#DIV/0!</v>
      </c>
      <c r="J15" s="294"/>
    </row>
    <row r="16" spans="1:13" ht="15" customHeight="1">
      <c r="A16" s="431">
        <v>8</v>
      </c>
      <c r="B16" s="433" t="s">
        <v>159</v>
      </c>
      <c r="C16" s="452">
        <v>0</v>
      </c>
      <c r="D16" s="433" t="s">
        <v>151</v>
      </c>
      <c r="E16" s="434" t="e">
        <f>InvulVloer19[[#This Row],[Prijs]]*Tariefsopbouw!$I$37+InvulVloer19[[#This Row],[Prijs]]</f>
        <v>#DIV/0!</v>
      </c>
      <c r="F16" s="434" t="e">
        <f>InvulVloer19[[#This Row],[2028]]*Tariefsopbouw!$K$37+InvulVloer19[[#This Row],[2028]]</f>
        <v>#DIV/0!</v>
      </c>
      <c r="G16" s="434" t="e">
        <f>InvulVloer19[[#This Row],[2029]]*Tariefsopbouw!$M$37+InvulVloer19[[#This Row],[2029]]</f>
        <v>#DIV/0!</v>
      </c>
      <c r="H16" s="434" t="e">
        <f>InvulVloer19[[#This Row],[2030]]*Tariefsopbouw!$O$37+InvulVloer19[[#This Row],[2030]]</f>
        <v>#DIV/0!</v>
      </c>
      <c r="I16" s="434" t="e">
        <f>InvulVloer19[[#This Row],[2031]]*Tariefsopbouw!$Q$37+InvulVloer19[[#This Row],[2031]]</f>
        <v>#DIV/0!</v>
      </c>
      <c r="J16" s="294"/>
    </row>
    <row r="17" spans="1:13" ht="15" customHeight="1">
      <c r="A17" s="431">
        <v>9</v>
      </c>
      <c r="B17" s="437" t="s">
        <v>186</v>
      </c>
      <c r="C17" s="452">
        <v>0</v>
      </c>
      <c r="D17" s="433" t="s">
        <v>151</v>
      </c>
      <c r="E17" s="434" t="e">
        <f>InvulVloer19[[#This Row],[Prijs]]*Tariefsopbouw!$I$37+InvulVloer19[[#This Row],[Prijs]]</f>
        <v>#DIV/0!</v>
      </c>
      <c r="F17" s="434" t="e">
        <f>InvulVloer19[[#This Row],[2028]]*Tariefsopbouw!$K$37+InvulVloer19[[#This Row],[2028]]</f>
        <v>#DIV/0!</v>
      </c>
      <c r="G17" s="434" t="e">
        <f>InvulVloer19[[#This Row],[2029]]*Tariefsopbouw!$M$37+InvulVloer19[[#This Row],[2029]]</f>
        <v>#DIV/0!</v>
      </c>
      <c r="H17" s="434" t="e">
        <f>InvulVloer19[[#This Row],[2030]]*Tariefsopbouw!$O$37+InvulVloer19[[#This Row],[2030]]</f>
        <v>#DIV/0!</v>
      </c>
      <c r="I17" s="434" t="e">
        <f>InvulVloer19[[#This Row],[2031]]*Tariefsopbouw!$Q$37+InvulVloer19[[#This Row],[2031]]</f>
        <v>#DIV/0!</v>
      </c>
      <c r="J17" s="294"/>
    </row>
    <row r="18" spans="1:13" ht="15" customHeight="1">
      <c r="A18" s="431">
        <v>10</v>
      </c>
      <c r="B18" s="437" t="s">
        <v>1666</v>
      </c>
      <c r="C18" s="452">
        <v>0</v>
      </c>
      <c r="D18" s="433" t="s">
        <v>151</v>
      </c>
      <c r="E18" s="438" t="e">
        <f>InvulVloer19[[#This Row],[Prijs]]*Tariefsopbouw!$I$37+InvulVloer19[[#This Row],[Prijs]]</f>
        <v>#DIV/0!</v>
      </c>
      <c r="F18" s="439" t="e">
        <f>InvulVloer19[[#This Row],[2028]]*Tariefsopbouw!$K$37+InvulVloer19[[#This Row],[2028]]</f>
        <v>#DIV/0!</v>
      </c>
      <c r="G18" s="438" t="e">
        <f>InvulVloer19[[#This Row],[2029]]*Tariefsopbouw!$M$37+InvulVloer19[[#This Row],[2029]]</f>
        <v>#DIV/0!</v>
      </c>
      <c r="H18" s="438" t="e">
        <f>InvulVloer19[[#This Row],[2030]]*Tariefsopbouw!$O$37+InvulVloer19[[#This Row],[2030]]</f>
        <v>#DIV/0!</v>
      </c>
      <c r="I18" s="438" t="e">
        <f>InvulVloer19[[#This Row],[2031]]*Tariefsopbouw!$Q$37+InvulVloer19[[#This Row],[2031]]</f>
        <v>#DIV/0!</v>
      </c>
      <c r="J18" s="294"/>
    </row>
    <row r="19" spans="1:13" ht="15" customHeight="1">
      <c r="A19" s="294"/>
      <c r="B19" s="336"/>
      <c r="C19" s="336"/>
      <c r="D19" s="294"/>
      <c r="E19" s="440"/>
      <c r="F19" s="441"/>
      <c r="G19" s="440"/>
      <c r="H19" s="440"/>
      <c r="I19" s="294"/>
      <c r="J19" s="294"/>
    </row>
    <row r="20" spans="1:13" s="74" customFormat="1" ht="26.25" customHeight="1">
      <c r="A20" s="428" t="s">
        <v>197</v>
      </c>
      <c r="B20" s="429" t="s">
        <v>135</v>
      </c>
      <c r="C20" s="430" t="s">
        <v>198</v>
      </c>
      <c r="D20" s="428" t="s">
        <v>227</v>
      </c>
      <c r="E20" s="428" t="s">
        <v>153</v>
      </c>
      <c r="F20" s="428" t="s">
        <v>154</v>
      </c>
      <c r="G20" s="428" t="s">
        <v>158</v>
      </c>
      <c r="H20" s="428" t="s">
        <v>137</v>
      </c>
      <c r="I20" s="428" t="s">
        <v>1262</v>
      </c>
      <c r="J20" s="399"/>
    </row>
    <row r="21" spans="1:13" ht="15" customHeight="1">
      <c r="A21" s="431">
        <v>1</v>
      </c>
      <c r="B21" s="433" t="str">
        <f>VLOOKUP(OverzichtVloer20[[#This Row],[Code Locatie]],Locaties[],2,0)</f>
        <v>Jansstraat en Janskerk</v>
      </c>
      <c r="C21" s="431">
        <v>1</v>
      </c>
      <c r="D21" s="442" t="str">
        <f>IF(Vloeronderhoud!$C21&gt;0,VLOOKUP(Vloeronderhoud!$C21,$A$8:$B$18,2,FALSE),"")</f>
        <v>Sprayen/opblokken</v>
      </c>
      <c r="E21" s="443" t="s">
        <v>100</v>
      </c>
      <c r="F21" s="444">
        <f>SUMIFS('Ruimtestaat'!$N:$N,'Ruimtestaat'!L:L,Vloeronderhoud!E21,'Ruimtestaat'!A:A,Vloeronderhoud!A21)</f>
        <v>353.19999999999993</v>
      </c>
      <c r="G21" s="420">
        <v>1</v>
      </c>
      <c r="H21" s="445">
        <f>VLOOKUP(OverzichtVloer20[[#This Row],[Code Taak]],InvulVloer19[],3,3)*F21*G21</f>
        <v>0</v>
      </c>
      <c r="I21" s="446">
        <f>OverzichtVloer20[[#This Row],[Kosten/jaar excl. BTW]]*1.21</f>
        <v>0</v>
      </c>
      <c r="J21" s="294"/>
      <c r="M21" s="109"/>
    </row>
    <row r="22" spans="1:13" ht="15" customHeight="1">
      <c r="A22" s="431">
        <v>1</v>
      </c>
      <c r="B22" s="433" t="str">
        <f>VLOOKUP(OverzichtVloer20[[#This Row],[Code Locatie]],Locaties[],2,0)</f>
        <v>Jansstraat en Janskerk</v>
      </c>
      <c r="C22" s="431">
        <v>2</v>
      </c>
      <c r="D22" s="442" t="str">
        <f>IF(Vloeronderhoud!$C22&gt;0,VLOOKUP(Vloeronderhoud!$C22,$A$8:$B$18,2,FALSE),"")</f>
        <v>Topstrippen en conserveren</v>
      </c>
      <c r="E22" s="443" t="s">
        <v>100</v>
      </c>
      <c r="F22" s="444">
        <f>SUMIFS('Ruimtestaat'!$N:$N,'Ruimtestaat'!L:L,Vloeronderhoud!E22,'Ruimtestaat'!A:A,Vloeronderhoud!A22)</f>
        <v>353.19999999999993</v>
      </c>
      <c r="G22" s="420">
        <v>1</v>
      </c>
      <c r="H22" s="445">
        <f>VLOOKUP(OverzichtVloer20[[#This Row],[Code Taak]],InvulVloer19[],3,3)*F22*G22</f>
        <v>0</v>
      </c>
      <c r="I22" s="446">
        <f>OverzichtVloer20[[#This Row],[Kosten/jaar excl. BTW]]*1.21</f>
        <v>0</v>
      </c>
      <c r="J22" s="294"/>
      <c r="M22" s="109"/>
    </row>
    <row r="23" spans="1:13" ht="15" customHeight="1">
      <c r="A23" s="431">
        <v>1</v>
      </c>
      <c r="B23" s="433" t="str">
        <f>VLOOKUP(OverzichtVloer20[[#This Row],[Code Locatie]],Locaties[],2,0)</f>
        <v>Jansstraat en Janskerk</v>
      </c>
      <c r="C23" s="431">
        <v>3</v>
      </c>
      <c r="D23" s="442" t="str">
        <f>IF(Vloeronderhoud!$C23&gt;0,VLOOKUP(Vloeronderhoud!$C23,$A$8:$B$18,2,FALSE),"")</f>
        <v>Diepstrippen, sealen en conserveren</v>
      </c>
      <c r="E23" s="443" t="s">
        <v>100</v>
      </c>
      <c r="F23" s="444">
        <f>SUMIFS('Ruimtestaat'!$N:$N,'Ruimtestaat'!L:L,Vloeronderhoud!E23,'Ruimtestaat'!A:A,Vloeronderhoud!A23)</f>
        <v>353.19999999999993</v>
      </c>
      <c r="G23" s="420">
        <v>0.25</v>
      </c>
      <c r="H23" s="445">
        <f>VLOOKUP(OverzichtVloer20[[#This Row],[Code Taak]],InvulVloer19[],3,3)*F23*G23</f>
        <v>0</v>
      </c>
      <c r="I23" s="446">
        <f>OverzichtVloer20[[#This Row],[Kosten/jaar excl. BTW]]*1.21</f>
        <v>0</v>
      </c>
      <c r="J23" s="294"/>
      <c r="M23" s="109"/>
    </row>
    <row r="24" spans="1:13" ht="14.25" customHeight="1">
      <c r="A24" s="431">
        <v>1</v>
      </c>
      <c r="B24" s="433" t="str">
        <f>VLOOKUP(OverzichtVloer20[[#This Row],[Code Locatie]],Locaties[],2,0)</f>
        <v>Jansstraat en Janskerk</v>
      </c>
      <c r="C24" s="431">
        <v>4</v>
      </c>
      <c r="D24" s="442" t="str">
        <f>IF(Vloeronderhoud!$C24&gt;0,VLOOKUP(Vloeronderhoud!$C24,$A$8:$B$18,2,FALSE),"")</f>
        <v>Tapijtreinigen, sproei-extractiemethode</v>
      </c>
      <c r="E24" s="443" t="s">
        <v>99</v>
      </c>
      <c r="F24" s="444">
        <f>SUMIFS('Ruimtestaat'!$N:$N,'Ruimtestaat'!L:L,Vloeronderhoud!E24,'Ruimtestaat'!A:A,Vloeronderhoud!A24)</f>
        <v>491.0999999999998</v>
      </c>
      <c r="G24" s="420">
        <v>1</v>
      </c>
      <c r="H24" s="445">
        <f>VLOOKUP(OverzichtVloer20[[#This Row],[Code Taak]],InvulVloer19[],3,3)*F24*G24</f>
        <v>0</v>
      </c>
      <c r="I24" s="446">
        <f>OverzichtVloer20[[#This Row],[Kosten/jaar excl. BTW]]*1.21</f>
        <v>0</v>
      </c>
      <c r="J24" s="294"/>
      <c r="M24" s="109"/>
    </row>
    <row r="25" spans="1:13" ht="14.25" customHeight="1">
      <c r="A25" s="431">
        <v>1</v>
      </c>
      <c r="B25" s="433" t="str">
        <f>VLOOKUP(OverzichtVloer20[[#This Row],[Code Locatie]],Locaties[],2,0)</f>
        <v>Jansstraat en Janskerk</v>
      </c>
      <c r="C25" s="431">
        <v>7</v>
      </c>
      <c r="D25" s="442" t="str">
        <f>IF(Vloeronderhoud!$C25&gt;0,VLOOKUP(Vloeronderhoud!$C25,$A$8:$B$18,2,FALSE),"")</f>
        <v>Olieen houten vloeren</v>
      </c>
      <c r="E25" s="443" t="s">
        <v>1313</v>
      </c>
      <c r="F25" s="444">
        <f>SUMIFS('Ruimtestaat'!$N:$N,'Ruimtestaat'!L:L,Vloeronderhoud!E25,'Ruimtestaat'!A:A,Vloeronderhoud!A25)</f>
        <v>151.80000000000004</v>
      </c>
      <c r="G25" s="420">
        <v>1</v>
      </c>
      <c r="H25" s="445">
        <f>VLOOKUP(OverzichtVloer20[[#This Row],[Code Taak]],InvulVloer19[],3,3)*F25*G25</f>
        <v>0</v>
      </c>
      <c r="I25" s="446">
        <f>OverzichtVloer20[[#This Row],[Kosten/jaar excl. BTW]]*1.21</f>
        <v>0</v>
      </c>
      <c r="J25" s="294"/>
      <c r="M25" s="109"/>
    </row>
    <row r="26" spans="1:13" ht="14.25" customHeight="1">
      <c r="A26" s="431">
        <v>1</v>
      </c>
      <c r="B26" s="433" t="str">
        <f>VLOOKUP(OverzichtVloer20[[#This Row],[Code Locatie]],Locaties[],2,0)</f>
        <v>Jansstraat en Janskerk</v>
      </c>
      <c r="C26" s="431">
        <v>9</v>
      </c>
      <c r="D26" s="442" t="str">
        <f>IF(Vloeronderhoud!$C26&gt;0,VLOOKUP(Vloeronderhoud!$C26,$A$8:$B$18,2,FALSE),"")</f>
        <v>Machinaal schrobben en droogzuigen</v>
      </c>
      <c r="E26" s="443" t="s">
        <v>101</v>
      </c>
      <c r="F26" s="444">
        <f>SUMIFS('Ruimtestaat'!$N:$N,'Ruimtestaat'!L:L,Vloeronderhoud!E26,'Ruimtestaat'!A:A,Vloeronderhoud!A26)</f>
        <v>537.96000000000015</v>
      </c>
      <c r="G26" s="420">
        <v>1</v>
      </c>
      <c r="H26" s="445">
        <f>VLOOKUP(OverzichtVloer20[[#This Row],[Code Taak]],InvulVloer19[],3,3)*F26*G26</f>
        <v>0</v>
      </c>
      <c r="I26" s="446">
        <f>OverzichtVloer20[[#This Row],[Kosten/jaar excl. BTW]]*1.21</f>
        <v>0</v>
      </c>
      <c r="J26" s="294"/>
      <c r="M26" s="109"/>
    </row>
    <row r="27" spans="1:13" ht="14.25" customHeight="1">
      <c r="A27" s="431">
        <v>2</v>
      </c>
      <c r="B27" s="433" t="str">
        <f>VLOOKUP(OverzichtVloer20[[#This Row],[Code Locatie]],Locaties[],2,0)</f>
        <v>Kleine Houtweg</v>
      </c>
      <c r="C27" s="431">
        <v>1</v>
      </c>
      <c r="D27" s="442" t="str">
        <f>IF(Vloeronderhoud!$C27&gt;0,VLOOKUP(Vloeronderhoud!$C27,$A$8:$B$18,2,FALSE),"")</f>
        <v>Sprayen/opblokken</v>
      </c>
      <c r="E27" s="443" t="s">
        <v>100</v>
      </c>
      <c r="F27" s="444">
        <f>SUMIFS('Ruimtestaat'!$N:$N,'Ruimtestaat'!L:L,Vloeronderhoud!E27,'Ruimtestaat'!A:A,Vloeronderhoud!A27)</f>
        <v>19.5</v>
      </c>
      <c r="G27" s="420">
        <v>1</v>
      </c>
      <c r="H27" s="445">
        <f>VLOOKUP(OverzichtVloer20[[#This Row],[Code Taak]],InvulVloer19[],3,3)*F27*G27</f>
        <v>0</v>
      </c>
      <c r="I27" s="446">
        <f>OverzichtVloer20[[#This Row],[Kosten/jaar excl. BTW]]*1.21</f>
        <v>0</v>
      </c>
      <c r="J27" s="294"/>
      <c r="M27" s="109"/>
    </row>
    <row r="28" spans="1:13" ht="14.25" customHeight="1">
      <c r="A28" s="431">
        <v>2</v>
      </c>
      <c r="B28" s="433" t="str">
        <f>VLOOKUP(OverzichtVloer20[[#This Row],[Code Locatie]],Locaties[],2,0)</f>
        <v>Kleine Houtweg</v>
      </c>
      <c r="C28" s="431">
        <v>2</v>
      </c>
      <c r="D28" s="442" t="str">
        <f>IF(Vloeronderhoud!$C28&gt;0,VLOOKUP(Vloeronderhoud!$C28,$A$8:$B$18,2,FALSE),"")</f>
        <v>Topstrippen en conserveren</v>
      </c>
      <c r="E28" s="443" t="s">
        <v>100</v>
      </c>
      <c r="F28" s="444">
        <f>SUMIFS('Ruimtestaat'!$N:$N,'Ruimtestaat'!L:L,Vloeronderhoud!E28,'Ruimtestaat'!A:A,Vloeronderhoud!A28)</f>
        <v>19.5</v>
      </c>
      <c r="G28" s="420">
        <v>1</v>
      </c>
      <c r="H28" s="445">
        <f>VLOOKUP(OverzichtVloer20[[#This Row],[Code Taak]],InvulVloer19[],3,3)*F28*G28</f>
        <v>0</v>
      </c>
      <c r="I28" s="446">
        <f>OverzichtVloer20[[#This Row],[Kosten/jaar excl. BTW]]*1.21</f>
        <v>0</v>
      </c>
      <c r="J28" s="294"/>
      <c r="M28" s="109"/>
    </row>
    <row r="29" spans="1:13" ht="14.25" customHeight="1">
      <c r="A29" s="431">
        <v>2</v>
      </c>
      <c r="B29" s="433" t="str">
        <f>VLOOKUP(OverzichtVloer20[[#This Row],[Code Locatie]],Locaties[],2,0)</f>
        <v>Kleine Houtweg</v>
      </c>
      <c r="C29" s="431">
        <v>3</v>
      </c>
      <c r="D29" s="442" t="str">
        <f>IF(Vloeronderhoud!$C29&gt;0,VLOOKUP(Vloeronderhoud!$C29,$A$8:$B$18,2,FALSE),"")</f>
        <v>Diepstrippen, sealen en conserveren</v>
      </c>
      <c r="E29" s="443" t="s">
        <v>100</v>
      </c>
      <c r="F29" s="444">
        <f>SUMIFS('Ruimtestaat'!$N:$N,'Ruimtestaat'!L:L,Vloeronderhoud!E29,'Ruimtestaat'!A:A,Vloeronderhoud!A29)</f>
        <v>19.5</v>
      </c>
      <c r="G29" s="420">
        <v>0.25</v>
      </c>
      <c r="H29" s="445">
        <f>VLOOKUP(OverzichtVloer20[[#This Row],[Code Taak]],InvulVloer19[],3,3)*F29*G29</f>
        <v>0</v>
      </c>
      <c r="I29" s="446">
        <f>OverzichtVloer20[[#This Row],[Kosten/jaar excl. BTW]]*1.21</f>
        <v>0</v>
      </c>
      <c r="J29" s="294"/>
      <c r="M29" s="109"/>
    </row>
    <row r="30" spans="1:13" ht="14.25" customHeight="1">
      <c r="A30" s="431">
        <v>2</v>
      </c>
      <c r="B30" s="433" t="str">
        <f>VLOOKUP(OverzichtVloer20[[#This Row],[Code Locatie]],Locaties[],2,0)</f>
        <v>Kleine Houtweg</v>
      </c>
      <c r="C30" s="431">
        <v>4</v>
      </c>
      <c r="D30" s="442" t="str">
        <f>IF(Vloeronderhoud!$C30&gt;0,VLOOKUP(Vloeronderhoud!$C30,$A$8:$B$18,2,FALSE),"")</f>
        <v>Tapijtreinigen, sproei-extractiemethode</v>
      </c>
      <c r="E30" s="443" t="s">
        <v>99</v>
      </c>
      <c r="F30" s="444">
        <f>SUMIFS('Ruimtestaat'!$N:$N,'Ruimtestaat'!L:L,Vloeronderhoud!E30,'Ruimtestaat'!A:A,Vloeronderhoud!A30)</f>
        <v>71</v>
      </c>
      <c r="G30" s="420">
        <v>1</v>
      </c>
      <c r="H30" s="445">
        <f>VLOOKUP(OverzichtVloer20[[#This Row],[Code Taak]],InvulVloer19[],3,3)*F30*G30</f>
        <v>0</v>
      </c>
      <c r="I30" s="446">
        <f>OverzichtVloer20[[#This Row],[Kosten/jaar excl. BTW]]*1.21</f>
        <v>0</v>
      </c>
      <c r="J30" s="294"/>
      <c r="M30" s="109"/>
    </row>
    <row r="31" spans="1:13" ht="14.25" customHeight="1">
      <c r="A31" s="431">
        <v>2</v>
      </c>
      <c r="B31" s="433" t="str">
        <f>VLOOKUP(OverzichtVloer20[[#This Row],[Code Locatie]],Locaties[],2,0)</f>
        <v>Kleine Houtweg</v>
      </c>
      <c r="C31" s="431">
        <v>9</v>
      </c>
      <c r="D31" s="442" t="str">
        <f>IF(Vloeronderhoud!$C31&gt;0,VLOOKUP(Vloeronderhoud!$C31,$A$8:$B$18,2,FALSE),"")</f>
        <v>Machinaal schrobben en droogzuigen</v>
      </c>
      <c r="E31" s="443" t="s">
        <v>101</v>
      </c>
      <c r="F31" s="444">
        <f>SUMIFS('Ruimtestaat'!$N:$N,'Ruimtestaat'!L:L,Vloeronderhoud!E31,'Ruimtestaat'!A:A,Vloeronderhoud!A31)</f>
        <v>728.5999999999998</v>
      </c>
      <c r="G31" s="420">
        <v>1</v>
      </c>
      <c r="H31" s="445">
        <f>VLOOKUP(OverzichtVloer20[[#This Row],[Code Taak]],InvulVloer19[],3,3)*F31*G31</f>
        <v>0</v>
      </c>
      <c r="I31" s="446">
        <f>OverzichtVloer20[[#This Row],[Kosten/jaar excl. BTW]]*1.21</f>
        <v>0</v>
      </c>
      <c r="J31" s="294"/>
      <c r="M31" s="109"/>
    </row>
    <row r="32" spans="1:13" ht="14.25" customHeight="1">
      <c r="A32" s="431">
        <v>2</v>
      </c>
      <c r="B32" s="433" t="str">
        <f>VLOOKUP(OverzichtVloer20[[#This Row],[Code Locatie]],Locaties[],2,0)</f>
        <v>Kleine Houtweg</v>
      </c>
      <c r="C32" s="431">
        <v>9</v>
      </c>
      <c r="D32" s="442" t="str">
        <f>IF(Vloeronderhoud!$C32&gt;0,VLOOKUP(Vloeronderhoud!$C32,$A$8:$B$18,2,FALSE),"")</f>
        <v>Machinaal schrobben en droogzuigen</v>
      </c>
      <c r="E32" s="443" t="s">
        <v>102</v>
      </c>
      <c r="F32" s="444">
        <f>SUMIFS('Ruimtestaat'!$N:$N,'Ruimtestaat'!L:L,Vloeronderhoud!E32,'Ruimtestaat'!A:A,Vloeronderhoud!A32)</f>
        <v>6.8</v>
      </c>
      <c r="G32" s="420">
        <v>1</v>
      </c>
      <c r="H32" s="445">
        <f>VLOOKUP(OverzichtVloer20[[#This Row],[Code Taak]],InvulVloer19[],3,3)*F32*G32</f>
        <v>0</v>
      </c>
      <c r="I32" s="446">
        <f>OverzichtVloer20[[#This Row],[Kosten/jaar excl. BTW]]*1.21</f>
        <v>0</v>
      </c>
      <c r="J32" s="294"/>
      <c r="M32" s="109"/>
    </row>
    <row r="33" spans="1:10" ht="15" customHeight="1">
      <c r="A33" s="447"/>
      <c r="B33" s="448" t="s">
        <v>32</v>
      </c>
      <c r="C33" s="447"/>
      <c r="D33" s="449"/>
      <c r="E33" s="447"/>
      <c r="F33" s="450"/>
      <c r="G33" s="447"/>
      <c r="H33" s="451">
        <f>SUBTOTAL(109,OverzichtVloer20[Kosten/jaar excl. BTW])</f>
        <v>0</v>
      </c>
      <c r="I33" s="451">
        <f>SUBTOTAL(109,OverzichtVloer20[Kosten/jaar incl BTW])</f>
        <v>0</v>
      </c>
      <c r="J33" s="294"/>
    </row>
    <row r="34" spans="1:10" ht="15" customHeight="1">
      <c r="A34" s="136"/>
      <c r="C34" s="102"/>
      <c r="D34" s="102"/>
      <c r="E34" s="102"/>
      <c r="F34" s="125"/>
      <c r="G34" s="137"/>
      <c r="H34" s="104"/>
    </row>
  </sheetData>
  <sheetProtection algorithmName="SHA-512" hashValue="raz6dp2eugtPo+10y1iPycJ94iIYSAzk550sxaiBv0EqSWkw/TvvEQdub+Ua0i/mkJ/KZhmpYmYOMEkn/DMbCg==" saltValue="sKa8EBIWMdreeO8DXuvxZA==" spinCount="100000" sheet="1" objects="1" scenarios="1" autoFilter="0"/>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87"/>
  <sheetViews>
    <sheetView showGridLines="0" tabSelected="1" view="pageBreakPreview" zoomScaleNormal="100" zoomScaleSheetLayoutView="100" workbookViewId="0">
      <selection activeCell="D16" sqref="D16"/>
    </sheetView>
  </sheetViews>
  <sheetFormatPr defaultColWidth="9.109375" defaultRowHeight="15" customHeight="1"/>
  <cols>
    <col min="1" max="1" width="11.5546875" style="32" customWidth="1"/>
    <col min="2" max="2" width="47.44140625" style="28" bestFit="1" customWidth="1"/>
    <col min="3" max="3" width="12.5546875" style="28" customWidth="1"/>
    <col min="4" max="4" width="52.109375" style="32" bestFit="1" customWidth="1"/>
    <col min="5" max="5" width="19" style="28" customWidth="1"/>
    <col min="6" max="6" width="17.6640625" style="28" bestFit="1" customWidth="1"/>
    <col min="7" max="7" width="18.88671875" style="28" customWidth="1"/>
    <col min="8" max="8" width="17.5546875" style="28" customWidth="1"/>
    <col min="9" max="9" width="17.6640625" style="28" bestFit="1" customWidth="1"/>
    <col min="10" max="16384" width="9.109375" style="28"/>
  </cols>
  <sheetData>
    <row r="1" spans="1:9" s="26" customFormat="1" ht="26.25" customHeight="1">
      <c r="A1" s="453" t="s">
        <v>39</v>
      </c>
      <c r="B1" s="453"/>
      <c r="C1" s="453"/>
      <c r="D1" s="453"/>
      <c r="E1" s="453"/>
      <c r="F1" s="453"/>
      <c r="G1" s="453"/>
      <c r="H1" s="453"/>
      <c r="I1" s="291"/>
    </row>
    <row r="2" spans="1:9" s="26" customFormat="1" ht="15" customHeight="1">
      <c r="A2" s="454" t="s">
        <v>200</v>
      </c>
      <c r="B2" s="455"/>
      <c r="C2" s="455"/>
      <c r="D2" s="455"/>
      <c r="E2" s="455"/>
      <c r="F2" s="455"/>
      <c r="G2" s="455"/>
      <c r="H2" s="456"/>
      <c r="I2" s="291"/>
    </row>
    <row r="3" spans="1:9" ht="15" customHeight="1">
      <c r="A3" s="336"/>
      <c r="B3" s="336"/>
      <c r="C3" s="294"/>
      <c r="D3" s="417"/>
      <c r="E3" s="418"/>
      <c r="F3" s="294"/>
      <c r="G3" s="294"/>
      <c r="H3" s="294"/>
      <c r="I3" s="294"/>
    </row>
    <row r="4" spans="1:9" ht="15" customHeight="1">
      <c r="A4" s="294" t="s">
        <v>168</v>
      </c>
      <c r="B4" s="336"/>
      <c r="C4" s="294"/>
      <c r="D4" s="417"/>
      <c r="E4" s="417"/>
      <c r="F4" s="294"/>
      <c r="G4" s="294"/>
      <c r="H4" s="294"/>
      <c r="I4" s="294"/>
    </row>
    <row r="5" spans="1:9" ht="15" customHeight="1">
      <c r="A5" s="294" t="s">
        <v>222</v>
      </c>
      <c r="B5" s="336"/>
      <c r="C5" s="294"/>
      <c r="D5" s="294"/>
      <c r="E5" s="294"/>
      <c r="F5" s="294"/>
      <c r="G5" s="294"/>
      <c r="H5" s="294"/>
      <c r="I5" s="294"/>
    </row>
    <row r="6" spans="1:9" ht="15" customHeight="1">
      <c r="A6" s="294" t="s">
        <v>185</v>
      </c>
      <c r="B6" s="423"/>
      <c r="C6" s="423"/>
      <c r="D6" s="426"/>
      <c r="E6" s="426"/>
      <c r="F6" s="424"/>
      <c r="G6" s="424"/>
      <c r="H6" s="294"/>
      <c r="I6" s="294"/>
    </row>
    <row r="7" spans="1:9" ht="15" customHeight="1">
      <c r="A7" s="294"/>
      <c r="B7" s="423"/>
      <c r="C7" s="423"/>
      <c r="D7" s="426"/>
      <c r="E7" s="427" t="s">
        <v>244</v>
      </c>
      <c r="F7" s="427"/>
      <c r="G7" s="427"/>
      <c r="H7" s="427"/>
      <c r="I7" s="427"/>
    </row>
    <row r="8" spans="1:9" s="29" customFormat="1" ht="26.25" customHeight="1">
      <c r="A8" s="428" t="s">
        <v>199</v>
      </c>
      <c r="B8" s="429" t="s">
        <v>136</v>
      </c>
      <c r="C8" s="430" t="s">
        <v>167</v>
      </c>
      <c r="D8" s="428" t="s">
        <v>141</v>
      </c>
      <c r="E8" s="428" t="s">
        <v>1304</v>
      </c>
      <c r="F8" s="428" t="s">
        <v>1582</v>
      </c>
      <c r="G8" s="428" t="s">
        <v>1617</v>
      </c>
      <c r="H8" s="428" t="s">
        <v>1616</v>
      </c>
      <c r="I8" s="428" t="s">
        <v>1681</v>
      </c>
    </row>
    <row r="9" spans="1:9" ht="15" customHeight="1">
      <c r="A9" s="431">
        <v>1</v>
      </c>
      <c r="B9" s="432" t="s">
        <v>214</v>
      </c>
      <c r="C9" s="452">
        <v>0</v>
      </c>
      <c r="D9" s="433" t="s">
        <v>139</v>
      </c>
      <c r="E9" s="434" t="e">
        <f>(InvulGlas[[#This Row],[Prijs excl. BTW]]*Tariefsopbouw!$I$37)+InvulGlas[[#This Row],[Prijs excl. BTW]]</f>
        <v>#DIV/0!</v>
      </c>
      <c r="F9" s="434" t="e">
        <f>E9*Tariefsopbouw!$K$37+Glasbewassing!E9</f>
        <v>#DIV/0!</v>
      </c>
      <c r="G9" s="434" t="e">
        <f>F9*Tariefsopbouw!$M$37+Glasbewassing!F9</f>
        <v>#DIV/0!</v>
      </c>
      <c r="H9" s="434" t="e">
        <f>G9*Tariefsopbouw!$O$37+Glasbewassing!G9</f>
        <v>#DIV/0!</v>
      </c>
      <c r="I9" s="434" t="e">
        <f>H9*Tariefsopbouw!$Q$37+Glasbewassing!H9</f>
        <v>#DIV/0!</v>
      </c>
    </row>
    <row r="10" spans="1:9" ht="15" customHeight="1">
      <c r="A10" s="431">
        <v>2</v>
      </c>
      <c r="B10" s="432" t="s">
        <v>138</v>
      </c>
      <c r="C10" s="452">
        <v>0</v>
      </c>
      <c r="D10" s="433" t="s">
        <v>139</v>
      </c>
      <c r="E10" s="434" t="e">
        <f>(InvulGlas[[#This Row],[Prijs excl. BTW]]*Tariefsopbouw!$I$37)+InvulGlas[[#This Row],[Prijs excl. BTW]]</f>
        <v>#DIV/0!</v>
      </c>
      <c r="F10" s="434" t="e">
        <f>E10*Tariefsopbouw!$K$37+Glasbewassing!E10</f>
        <v>#DIV/0!</v>
      </c>
      <c r="G10" s="434" t="e">
        <f>F10*Tariefsopbouw!$M$37+Glasbewassing!F10</f>
        <v>#DIV/0!</v>
      </c>
      <c r="H10" s="434" t="e">
        <f>G10*Tariefsopbouw!$O$37+Glasbewassing!G10</f>
        <v>#DIV/0!</v>
      </c>
      <c r="I10" s="434" t="e">
        <f>H10*Tariefsopbouw!$Q$37+Glasbewassing!H10</f>
        <v>#DIV/0!</v>
      </c>
    </row>
    <row r="11" spans="1:9" ht="15" customHeight="1">
      <c r="A11" s="431">
        <v>3</v>
      </c>
      <c r="B11" s="432" t="s">
        <v>140</v>
      </c>
      <c r="C11" s="452">
        <v>0</v>
      </c>
      <c r="D11" s="433" t="s">
        <v>139</v>
      </c>
      <c r="E11" s="434" t="e">
        <f>(InvulGlas[[#This Row],[Prijs excl. BTW]]*Tariefsopbouw!$I$37)+InvulGlas[[#This Row],[Prijs excl. BTW]]</f>
        <v>#DIV/0!</v>
      </c>
      <c r="F11" s="434" t="e">
        <f>E11*Tariefsopbouw!$K$37+Glasbewassing!E11</f>
        <v>#DIV/0!</v>
      </c>
      <c r="G11" s="434" t="e">
        <f>F11*Tariefsopbouw!$M$37+Glasbewassing!F11</f>
        <v>#DIV/0!</v>
      </c>
      <c r="H11" s="434" t="e">
        <f>G11*Tariefsopbouw!$O$37+Glasbewassing!G11</f>
        <v>#DIV/0!</v>
      </c>
      <c r="I11" s="434" t="e">
        <f>H11*Tariefsopbouw!$Q$37+Glasbewassing!H11</f>
        <v>#DIV/0!</v>
      </c>
    </row>
    <row r="12" spans="1:9" ht="15" customHeight="1">
      <c r="A12" s="431">
        <v>4</v>
      </c>
      <c r="B12" s="432" t="s">
        <v>1266</v>
      </c>
      <c r="C12" s="452">
        <v>0</v>
      </c>
      <c r="D12" s="433" t="s">
        <v>139</v>
      </c>
      <c r="E12" s="434" t="e">
        <f>(InvulGlas[[#This Row],[Prijs excl. BTW]]*Tariefsopbouw!$I$37)+InvulGlas[[#This Row],[Prijs excl. BTW]]</f>
        <v>#DIV/0!</v>
      </c>
      <c r="F12" s="434" t="e">
        <f>E12*Tariefsopbouw!$K$37+Glasbewassing!E12</f>
        <v>#DIV/0!</v>
      </c>
      <c r="G12" s="434" t="e">
        <f>F12*Tariefsopbouw!$M$37+Glasbewassing!F12</f>
        <v>#DIV/0!</v>
      </c>
      <c r="H12" s="434" t="e">
        <f>G12*Tariefsopbouw!$O$37+Glasbewassing!G12</f>
        <v>#DIV/0!</v>
      </c>
      <c r="I12" s="434" t="e">
        <f>H12*Tariefsopbouw!$Q$37+Glasbewassing!H12</f>
        <v>#DIV/0!</v>
      </c>
    </row>
    <row r="13" spans="1:9" ht="15" customHeight="1">
      <c r="A13" s="431">
        <v>5</v>
      </c>
      <c r="B13" s="432" t="s">
        <v>213</v>
      </c>
      <c r="C13" s="452">
        <v>0</v>
      </c>
      <c r="D13" s="433" t="s">
        <v>139</v>
      </c>
      <c r="E13" s="434" t="e">
        <f>(InvulGlas[[#This Row],[Prijs excl. BTW]]*Tariefsopbouw!$I$37)+InvulGlas[[#This Row],[Prijs excl. BTW]]</f>
        <v>#DIV/0!</v>
      </c>
      <c r="F13" s="434" t="e">
        <f>E13*Tariefsopbouw!$K$37+Glasbewassing!E13</f>
        <v>#DIV/0!</v>
      </c>
      <c r="G13" s="434" t="e">
        <f>F13*Tariefsopbouw!$M$37+Glasbewassing!F13</f>
        <v>#DIV/0!</v>
      </c>
      <c r="H13" s="434" t="e">
        <f>G13*Tariefsopbouw!$O$37+Glasbewassing!G13</f>
        <v>#DIV/0!</v>
      </c>
      <c r="I13" s="434" t="e">
        <f>H13*Tariefsopbouw!$Q$37+Glasbewassing!H13</f>
        <v>#DIV/0!</v>
      </c>
    </row>
    <row r="14" spans="1:9" ht="15" customHeight="1">
      <c r="A14" s="431">
        <v>6</v>
      </c>
      <c r="B14" s="432" t="s">
        <v>1265</v>
      </c>
      <c r="C14" s="452">
        <v>0</v>
      </c>
      <c r="D14" s="433" t="s">
        <v>139</v>
      </c>
      <c r="E14" s="434" t="e">
        <f>(InvulGlas[[#This Row],[Prijs excl. BTW]]*Tariefsopbouw!$I$37)+InvulGlas[[#This Row],[Prijs excl. BTW]]</f>
        <v>#DIV/0!</v>
      </c>
      <c r="F14" s="434" t="e">
        <f>E14*Tariefsopbouw!$K$37+Glasbewassing!E14</f>
        <v>#DIV/0!</v>
      </c>
      <c r="G14" s="434" t="e">
        <f>F14*Tariefsopbouw!$M$37+Glasbewassing!F14</f>
        <v>#DIV/0!</v>
      </c>
      <c r="H14" s="434" t="e">
        <f>G14*Tariefsopbouw!$O$37+Glasbewassing!G14</f>
        <v>#DIV/0!</v>
      </c>
      <c r="I14" s="434" t="e">
        <f>H14*Tariefsopbouw!$Q$37+Glasbewassing!H14</f>
        <v>#DIV/0!</v>
      </c>
    </row>
    <row r="15" spans="1:9" ht="15" customHeight="1">
      <c r="A15" s="431">
        <v>7</v>
      </c>
      <c r="B15" s="432" t="s">
        <v>1267</v>
      </c>
      <c r="C15" s="452">
        <v>0</v>
      </c>
      <c r="D15" s="433" t="s">
        <v>139</v>
      </c>
      <c r="E15" s="434" t="e">
        <f>(InvulGlas[[#This Row],[Prijs excl. BTW]]*Tariefsopbouw!$I$37)+InvulGlas[[#This Row],[Prijs excl. BTW]]</f>
        <v>#DIV/0!</v>
      </c>
      <c r="F15" s="434" t="e">
        <f>E15*Tariefsopbouw!$K$37+Glasbewassing!E15</f>
        <v>#DIV/0!</v>
      </c>
      <c r="G15" s="434" t="e">
        <f>F15*Tariefsopbouw!$M$37+Glasbewassing!F15</f>
        <v>#DIV/0!</v>
      </c>
      <c r="H15" s="434" t="e">
        <f>G15*Tariefsopbouw!$O$37+Glasbewassing!G15</f>
        <v>#DIV/0!</v>
      </c>
      <c r="I15" s="434" t="e">
        <f>H15*Tariefsopbouw!$Q$37+Glasbewassing!H15</f>
        <v>#DIV/0!</v>
      </c>
    </row>
    <row r="16" spans="1:9" ht="15" customHeight="1">
      <c r="A16" s="431" t="s">
        <v>147</v>
      </c>
      <c r="B16" s="432" t="s">
        <v>143</v>
      </c>
      <c r="C16" s="452">
        <v>0</v>
      </c>
      <c r="D16" s="433" t="s">
        <v>1587</v>
      </c>
      <c r="E16" s="434" t="e">
        <f>(InvulGlas[[#This Row],[Prijs excl. BTW]]*Tariefsopbouw!$I$37)+InvulGlas[[#This Row],[Prijs excl. BTW]]</f>
        <v>#DIV/0!</v>
      </c>
      <c r="F16" s="434" t="e">
        <f>E16*Tariefsopbouw!$K$37+Glasbewassing!E16</f>
        <v>#DIV/0!</v>
      </c>
      <c r="G16" s="434" t="e">
        <f>F16*Tariefsopbouw!$M$37+Glasbewassing!F16</f>
        <v>#DIV/0!</v>
      </c>
      <c r="H16" s="434" t="e">
        <f>G16*Tariefsopbouw!$O$37+Glasbewassing!G16</f>
        <v>#DIV/0!</v>
      </c>
      <c r="I16" s="434" t="e">
        <f>H16*Tariefsopbouw!$Q$37+Glasbewassing!H16</f>
        <v>#DIV/0!</v>
      </c>
    </row>
    <row r="17" spans="1:9" ht="15" customHeight="1">
      <c r="A17" s="431" t="s">
        <v>148</v>
      </c>
      <c r="B17" s="432" t="s">
        <v>144</v>
      </c>
      <c r="C17" s="452">
        <v>0</v>
      </c>
      <c r="D17" s="433" t="s">
        <v>1587</v>
      </c>
      <c r="E17" s="434" t="e">
        <f>(InvulGlas[[#This Row],[Prijs excl. BTW]]*Tariefsopbouw!$I$37)+InvulGlas[[#This Row],[Prijs excl. BTW]]</f>
        <v>#DIV/0!</v>
      </c>
      <c r="F17" s="434" t="e">
        <f>E17*Tariefsopbouw!$K$37+Glasbewassing!E17</f>
        <v>#DIV/0!</v>
      </c>
      <c r="G17" s="434" t="e">
        <f>F17*Tariefsopbouw!$M$37+Glasbewassing!F17</f>
        <v>#DIV/0!</v>
      </c>
      <c r="H17" s="434" t="e">
        <f>G17*Tariefsopbouw!$O$37+Glasbewassing!G17</f>
        <v>#DIV/0!</v>
      </c>
      <c r="I17" s="434" t="e">
        <f>H17*Tariefsopbouw!$Q$37+Glasbewassing!H17</f>
        <v>#DIV/0!</v>
      </c>
    </row>
    <row r="18" spans="1:9" ht="15" customHeight="1">
      <c r="A18" s="431" t="s">
        <v>149</v>
      </c>
      <c r="B18" s="432" t="s">
        <v>145</v>
      </c>
      <c r="C18" s="452">
        <v>0</v>
      </c>
      <c r="D18" s="433" t="s">
        <v>1587</v>
      </c>
      <c r="E18" s="434" t="e">
        <f>(InvulGlas[[#This Row],[Prijs excl. BTW]]*Tariefsopbouw!$I$37)+InvulGlas[[#This Row],[Prijs excl. BTW]]</f>
        <v>#DIV/0!</v>
      </c>
      <c r="F18" s="434" t="e">
        <f>E18*Tariefsopbouw!$K$37+Glasbewassing!E18</f>
        <v>#DIV/0!</v>
      </c>
      <c r="G18" s="434" t="e">
        <f>F18*Tariefsopbouw!$M$37+Glasbewassing!F18</f>
        <v>#DIV/0!</v>
      </c>
      <c r="H18" s="434" t="e">
        <f>G18*Tariefsopbouw!$O$37+Glasbewassing!G18</f>
        <v>#DIV/0!</v>
      </c>
      <c r="I18" s="434" t="e">
        <f>H18*Tariefsopbouw!$Q$37+Glasbewassing!H18</f>
        <v>#DIV/0!</v>
      </c>
    </row>
    <row r="19" spans="1:9" ht="15" customHeight="1">
      <c r="A19" s="431" t="s">
        <v>228</v>
      </c>
      <c r="B19" s="432" t="s">
        <v>229</v>
      </c>
      <c r="C19" s="452">
        <v>0</v>
      </c>
      <c r="D19" s="433" t="s">
        <v>1587</v>
      </c>
      <c r="E19" s="434" t="e">
        <f>(InvulGlas[[#This Row],[Prijs excl. BTW]]*Tariefsopbouw!$I$37)+InvulGlas[[#This Row],[Prijs excl. BTW]]</f>
        <v>#DIV/0!</v>
      </c>
      <c r="F19" s="434" t="e">
        <f>E19*Tariefsopbouw!$K$37+Glasbewassing!E19</f>
        <v>#DIV/0!</v>
      </c>
      <c r="G19" s="434" t="e">
        <f>F19*Tariefsopbouw!$M$37+Glasbewassing!F19</f>
        <v>#DIV/0!</v>
      </c>
      <c r="H19" s="434" t="e">
        <f>G19*Tariefsopbouw!$O$37+Glasbewassing!G19</f>
        <v>#DIV/0!</v>
      </c>
      <c r="I19" s="434" t="e">
        <f>H19*Tariefsopbouw!$Q$37+Glasbewassing!H19</f>
        <v>#DIV/0!</v>
      </c>
    </row>
    <row r="20" spans="1:9" ht="15" customHeight="1">
      <c r="A20" s="336"/>
      <c r="B20" s="294"/>
      <c r="C20" s="420"/>
      <c r="D20" s="420"/>
      <c r="E20" s="294"/>
      <c r="F20" s="294"/>
      <c r="G20" s="294"/>
      <c r="H20" s="294"/>
      <c r="I20" s="294"/>
    </row>
    <row r="21" spans="1:9" s="139" customFormat="1" ht="26.25" customHeight="1">
      <c r="A21" s="428" t="s">
        <v>197</v>
      </c>
      <c r="B21" s="429" t="s">
        <v>135</v>
      </c>
      <c r="C21" s="430" t="s">
        <v>199</v>
      </c>
      <c r="D21" s="428" t="s">
        <v>136</v>
      </c>
      <c r="E21" s="428" t="s">
        <v>146</v>
      </c>
      <c r="F21" s="428" t="s">
        <v>117</v>
      </c>
      <c r="G21" s="428" t="s">
        <v>137</v>
      </c>
      <c r="H21" s="428" t="s">
        <v>1259</v>
      </c>
      <c r="I21" s="428" t="s">
        <v>1583</v>
      </c>
    </row>
    <row r="22" spans="1:9" ht="15" customHeight="1">
      <c r="A22" s="431">
        <v>1</v>
      </c>
      <c r="B22" s="414" t="str">
        <f>VLOOKUP(OverzichtGlas[[#This Row],[Code Locatie]],Totalisatie!$A$7:$B$8,2,FALSE)</f>
        <v>Jansstraat en Janskerk</v>
      </c>
      <c r="C22" s="431">
        <v>1</v>
      </c>
      <c r="D22" s="457" t="str">
        <f>IF(Glasbewassing!$C22&gt;0,VLOOKUP(Glasbewassing!$C22,$A$8:$B$19,2,FALSE),"Hier vult u de inzet van eventuele hoogwerkers in")</f>
        <v>Gevelglas binnenzijde</v>
      </c>
      <c r="E22" s="336">
        <v>264.5</v>
      </c>
      <c r="F22" s="431">
        <v>2</v>
      </c>
      <c r="G22" s="445">
        <f>IF(C22&gt;0,VLOOKUP(OverzichtGlas[[#This Row],[Code taak]],InvulGlas[],3,0)*E22*F22,0)</f>
        <v>0</v>
      </c>
      <c r="H22" s="445">
        <f>OverzichtGlas[[#This Row],[Kosten/jaar excl. BTW]]*1.21</f>
        <v>0</v>
      </c>
      <c r="I22" s="431"/>
    </row>
    <row r="23" spans="1:9" ht="15" customHeight="1">
      <c r="A23" s="431">
        <v>1</v>
      </c>
      <c r="B23" s="414" t="str">
        <f>VLOOKUP(OverzichtGlas[[#This Row],[Code Locatie]],Totalisatie!$A$7:$B$8,2,FALSE)</f>
        <v>Jansstraat en Janskerk</v>
      </c>
      <c r="C23" s="431">
        <v>2</v>
      </c>
      <c r="D23" s="457" t="str">
        <f>IF(Glasbewassing!$C23&gt;0,VLOOKUP(Glasbewassing!$C23,$A$8:$B$19,2,FALSE),"Hier vult u de inzet van eventuele hoogwerkers in")</f>
        <v>Gevelglas buitenzijde</v>
      </c>
      <c r="E23" s="336">
        <v>264.5</v>
      </c>
      <c r="F23" s="431">
        <v>2</v>
      </c>
      <c r="G23" s="445">
        <f>IF(C23&gt;0,VLOOKUP(OverzichtGlas[[#This Row],[Code taak]],InvulGlas[],3,0)*E23*F23,0)</f>
        <v>0</v>
      </c>
      <c r="H23" s="445">
        <f>OverzichtGlas[[#This Row],[Kosten/jaar excl. BTW]]*1.21</f>
        <v>0</v>
      </c>
      <c r="I23" s="431"/>
    </row>
    <row r="24" spans="1:9" ht="15" customHeight="1">
      <c r="A24" s="431">
        <v>1</v>
      </c>
      <c r="B24" s="414" t="str">
        <f>VLOOKUP(OverzichtGlas[[#This Row],[Code Locatie]],Totalisatie!$A$7:$B$8,2,FALSE)</f>
        <v>Jansstraat en Janskerk</v>
      </c>
      <c r="C24" s="431">
        <v>3</v>
      </c>
      <c r="D24" s="457" t="str">
        <f>IF(Glasbewassing!$C24&gt;0,VLOOKUP(Glasbewassing!$C24,$A$8:$B$19,2,FALSE),"Hier vult u de inzet van eventuele hoogwerkers in")</f>
        <v>Separatieglas (enkel gemeten, dubbel te wassen)</v>
      </c>
      <c r="E24" s="336">
        <v>197.7</v>
      </c>
      <c r="F24" s="431">
        <v>2</v>
      </c>
      <c r="G24" s="445">
        <f>IF(C24&gt;0,VLOOKUP(OverzichtGlas[[#This Row],[Code taak]],InvulGlas[],3,0)*E24*F24,0)</f>
        <v>0</v>
      </c>
      <c r="H24" s="445">
        <f>OverzichtGlas[[#This Row],[Kosten/jaar excl. BTW]]*1.21</f>
        <v>0</v>
      </c>
      <c r="I24" s="431"/>
    </row>
    <row r="25" spans="1:9" ht="15" customHeight="1">
      <c r="A25" s="431">
        <v>1</v>
      </c>
      <c r="B25" s="414" t="str">
        <f>VLOOKUP(OverzichtGlas[[#This Row],[Code Locatie]],Totalisatie!$A$7:$B$8,2,FALSE)</f>
        <v>Jansstraat en Janskerk</v>
      </c>
      <c r="C25" s="463"/>
      <c r="D25" s="426" t="str">
        <f>IF(Glasbewassing!$C25&gt;0,VLOOKUP(Glasbewassing!$C25,$A$8:$B$19,2,FALSE),"Hier vult u de inzet van eventuele hoogwerkers in")</f>
        <v>Hier vult u de inzet van eventuele hoogwerkers in</v>
      </c>
      <c r="E25" s="464"/>
      <c r="F25" s="431">
        <v>2</v>
      </c>
      <c r="G25" s="445">
        <f>IF(C25&gt;0,VLOOKUP(OverzichtGlas[[#This Row],[Code taak]],InvulGlas[],3,0)*E25*F25,0)</f>
        <v>0</v>
      </c>
      <c r="H25" s="445">
        <f>OverzichtGlas[[#This Row],[Kosten/jaar excl. BTW]]*1.21</f>
        <v>0</v>
      </c>
      <c r="I25" s="431"/>
    </row>
    <row r="26" spans="1:9" ht="15" customHeight="1">
      <c r="A26" s="431">
        <v>1</v>
      </c>
      <c r="B26" s="414" t="str">
        <f>VLOOKUP(OverzichtGlas[[#This Row],[Code Locatie]],Totalisatie!$A$7:$B$8,2,FALSE)</f>
        <v>Jansstraat en Janskerk</v>
      </c>
      <c r="C26" s="463"/>
      <c r="D26" s="426" t="str">
        <f>IF(Glasbewassing!$C26&gt;0,VLOOKUP(Glasbewassing!$C26,$A$8:$B$19,2,FALSE),"Hier vult u de inzet van eventuele hoogwerkers in")</f>
        <v>Hier vult u de inzet van eventuele hoogwerkers in</v>
      </c>
      <c r="E26" s="464"/>
      <c r="F26" s="431">
        <v>2</v>
      </c>
      <c r="G26" s="445">
        <f>IF(C26&gt;0,VLOOKUP(OverzichtGlas[[#This Row],[Code taak]],InvulGlas[],3,0)*E26*F26,0)</f>
        <v>0</v>
      </c>
      <c r="H26" s="445">
        <f>OverzichtGlas[[#This Row],[Kosten/jaar excl. BTW]]*1.21</f>
        <v>0</v>
      </c>
      <c r="I26" s="431"/>
    </row>
    <row r="27" spans="1:9" ht="15" customHeight="1">
      <c r="A27" s="431">
        <v>2</v>
      </c>
      <c r="B27" s="433" t="str">
        <f>VLOOKUP(OverzichtGlas[[#This Row],[Code Locatie]],Totalisatie!$A$7:$B$8,2,FALSE)</f>
        <v>Kleine Houtweg</v>
      </c>
      <c r="C27" s="431">
        <v>1</v>
      </c>
      <c r="D27" s="457" t="str">
        <f>IF(Glasbewassing!$C27&gt;0,VLOOKUP(Glasbewassing!$C27,$A$8:$B$19,2,FALSE),"Hier vult u de inzet van eventuele hoogwerkers in")</f>
        <v>Gevelglas binnenzijde</v>
      </c>
      <c r="E27" s="458">
        <v>194.4</v>
      </c>
      <c r="F27" s="431">
        <v>2</v>
      </c>
      <c r="G27" s="445">
        <f>IF(C27&gt;0,VLOOKUP(OverzichtGlas[[#This Row],[Code taak]],InvulGlas[],3,0)*E27*F27,0)</f>
        <v>0</v>
      </c>
      <c r="H27" s="445">
        <f>OverzichtGlas[[#This Row],[Kosten/jaar excl. BTW]]*1.21</f>
        <v>0</v>
      </c>
      <c r="I27" s="431"/>
    </row>
    <row r="28" spans="1:9" ht="15" customHeight="1">
      <c r="A28" s="431">
        <v>2</v>
      </c>
      <c r="B28" s="433" t="str">
        <f>VLOOKUP(OverzichtGlas[[#This Row],[Code Locatie]],Totalisatie!$A$7:$B$8,2,FALSE)</f>
        <v>Kleine Houtweg</v>
      </c>
      <c r="C28" s="431">
        <v>2</v>
      </c>
      <c r="D28" s="457" t="str">
        <f>IF(Glasbewassing!$C28&gt;0,VLOOKUP(Glasbewassing!$C28,$A$8:$B$19,2,FALSE),"Hier vult u de inzet van eventuele hoogwerkers in")</f>
        <v>Gevelglas buitenzijde</v>
      </c>
      <c r="E28" s="458">
        <v>194.4</v>
      </c>
      <c r="F28" s="431">
        <v>2</v>
      </c>
      <c r="G28" s="445">
        <f>IF(C28&gt;0,VLOOKUP(OverzichtGlas[[#This Row],[Code taak]],InvulGlas[],3,0)*E28*F28,0)</f>
        <v>0</v>
      </c>
      <c r="H28" s="445">
        <f>OverzichtGlas[[#This Row],[Kosten/jaar excl. BTW]]*1.21</f>
        <v>0</v>
      </c>
      <c r="I28" s="431"/>
    </row>
    <row r="29" spans="1:9" ht="15" customHeight="1">
      <c r="A29" s="431">
        <v>2</v>
      </c>
      <c r="B29" s="433" t="str">
        <f>VLOOKUP(OverzichtGlas[[#This Row],[Code Locatie]],Totalisatie!$A$7:$B$8,2,FALSE)</f>
        <v>Kleine Houtweg</v>
      </c>
      <c r="C29" s="431">
        <v>3</v>
      </c>
      <c r="D29" s="457" t="str">
        <f>IF(Glasbewassing!$C29&gt;0,VLOOKUP(Glasbewassing!$C29,$A$8:$B$19,2,FALSE),"Hier vult u de inzet van eventuele hoogwerkers in")</f>
        <v>Separatieglas (enkel gemeten, dubbel te wassen)</v>
      </c>
      <c r="E29" s="458">
        <v>87.2</v>
      </c>
      <c r="F29" s="431">
        <v>2</v>
      </c>
      <c r="G29" s="445">
        <f>IF(C29&gt;0,VLOOKUP(OverzichtGlas[[#This Row],[Code taak]],InvulGlas[],3,0)*E29*F29,0)</f>
        <v>0</v>
      </c>
      <c r="H29" s="445">
        <f>OverzichtGlas[[#This Row],[Kosten/jaar excl. BTW]]*1.21</f>
        <v>0</v>
      </c>
      <c r="I29" s="431"/>
    </row>
    <row r="30" spans="1:9" ht="15" customHeight="1">
      <c r="A30" s="431">
        <v>2</v>
      </c>
      <c r="B30" s="433" t="str">
        <f>VLOOKUP(OverzichtGlas[[#This Row],[Code Locatie]],Totalisatie!$A$7:$B$8,2,FALSE)</f>
        <v>Kleine Houtweg</v>
      </c>
      <c r="C30" s="463"/>
      <c r="D30" s="457" t="str">
        <f>IF(Glasbewassing!$C30&gt;0,VLOOKUP(Glasbewassing!$C30,$A$8:$B$19,2,FALSE),"Hier vult u de inzet van eventuele hoogwerkers in")</f>
        <v>Hier vult u de inzet van eventuele hoogwerkers in</v>
      </c>
      <c r="E30" s="464"/>
      <c r="F30" s="431">
        <v>2</v>
      </c>
      <c r="G30" s="445">
        <f>IF(C30&gt;0,VLOOKUP(OverzichtGlas[[#This Row],[Code taak]],InvulGlas[],3,0)*E30*F30,0)</f>
        <v>0</v>
      </c>
      <c r="H30" s="445">
        <f>OverzichtGlas[[#This Row],[Kosten/jaar excl. BTW]]*1.21</f>
        <v>0</v>
      </c>
      <c r="I30" s="431"/>
    </row>
    <row r="31" spans="1:9" ht="15" customHeight="1">
      <c r="A31" s="431">
        <v>2</v>
      </c>
      <c r="B31" s="433" t="str">
        <f>VLOOKUP(OverzichtGlas[[#This Row],[Code Locatie]],Totalisatie!$A$7:$B$8,2,FALSE)</f>
        <v>Kleine Houtweg</v>
      </c>
      <c r="C31" s="463"/>
      <c r="D31" s="457" t="str">
        <f>IF(Glasbewassing!$C31&gt;0,VLOOKUP(Glasbewassing!$C31,$A$8:$B$19,2,FALSE),"Hier vult u de inzet van eventuele hoogwerkers in")</f>
        <v>Hier vult u de inzet van eventuele hoogwerkers in</v>
      </c>
      <c r="E31" s="464"/>
      <c r="F31" s="431">
        <v>2</v>
      </c>
      <c r="G31" s="445">
        <f>IF(C31&gt;0,VLOOKUP(OverzichtGlas[[#This Row],[Code taak]],InvulGlas[],3,0)*E31*F31,0)</f>
        <v>0</v>
      </c>
      <c r="H31" s="445">
        <f>OverzichtGlas[[#This Row],[Kosten/jaar excl. BTW]]*1.21</f>
        <v>0</v>
      </c>
      <c r="I31" s="431"/>
    </row>
    <row r="32" spans="1:9" ht="15" customHeight="1">
      <c r="A32" s="459" t="s">
        <v>32</v>
      </c>
      <c r="B32" s="460"/>
      <c r="C32" s="459"/>
      <c r="D32" s="461"/>
      <c r="E32" s="459"/>
      <c r="F32" s="459"/>
      <c r="G32" s="462">
        <f>SUBTOTAL(109,OverzichtGlas[Kosten/jaar excl. BTW])</f>
        <v>0</v>
      </c>
      <c r="H32" s="462">
        <f>SUBTOTAL(109,OverzichtGlas[Kosten/jaar incl. BTW])</f>
        <v>0</v>
      </c>
      <c r="I32" s="459"/>
    </row>
    <row r="33" spans="3:4" ht="15" customHeight="1">
      <c r="C33" s="32"/>
      <c r="D33" s="28"/>
    </row>
    <row r="34" spans="3:4" ht="15" customHeight="1">
      <c r="C34" s="32"/>
      <c r="D34" s="28"/>
    </row>
    <row r="35" spans="3:4" ht="15" customHeight="1">
      <c r="C35" s="32"/>
      <c r="D35" s="28"/>
    </row>
    <row r="36" spans="3:4" ht="15" customHeight="1">
      <c r="C36" s="32"/>
      <c r="D36" s="28"/>
    </row>
    <row r="37" spans="3:4" ht="15" customHeight="1">
      <c r="C37" s="32"/>
      <c r="D37" s="28"/>
    </row>
    <row r="38" spans="3:4" ht="15" customHeight="1">
      <c r="C38" s="32"/>
      <c r="D38" s="28"/>
    </row>
    <row r="39" spans="3:4" ht="15" customHeight="1">
      <c r="C39" s="32"/>
      <c r="D39" s="28"/>
    </row>
    <row r="40" spans="3:4" ht="15" customHeight="1">
      <c r="C40" s="32"/>
      <c r="D40" s="28"/>
    </row>
    <row r="41" spans="3:4" ht="15" customHeight="1">
      <c r="C41" s="32"/>
      <c r="D41" s="28"/>
    </row>
    <row r="42" spans="3:4" ht="15" customHeight="1">
      <c r="C42" s="32"/>
      <c r="D42" s="28"/>
    </row>
    <row r="43" spans="3:4" ht="15" customHeight="1">
      <c r="C43" s="32"/>
      <c r="D43" s="28"/>
    </row>
    <row r="44" spans="3:4" ht="15" customHeight="1">
      <c r="C44" s="32"/>
      <c r="D44" s="28"/>
    </row>
    <row r="45" spans="3:4" ht="15" customHeight="1">
      <c r="C45" s="32"/>
      <c r="D45" s="28"/>
    </row>
    <row r="46" spans="3:4" ht="15" customHeight="1">
      <c r="C46" s="32"/>
      <c r="D46" s="28"/>
    </row>
    <row r="47" spans="3:4" ht="15" customHeight="1">
      <c r="C47" s="32"/>
      <c r="D47" s="28"/>
    </row>
    <row r="48" spans="3:4" ht="15" customHeight="1">
      <c r="C48" s="32"/>
      <c r="D48" s="28"/>
    </row>
    <row r="49" spans="3:4" ht="15" customHeight="1">
      <c r="C49" s="32"/>
      <c r="D49" s="28"/>
    </row>
    <row r="50" spans="3:4" ht="15" customHeight="1">
      <c r="C50" s="32"/>
      <c r="D50" s="28"/>
    </row>
    <row r="51" spans="3:4" ht="15" customHeight="1">
      <c r="C51" s="32"/>
      <c r="D51" s="28"/>
    </row>
    <row r="52" spans="3:4" ht="15" customHeight="1">
      <c r="C52" s="32"/>
      <c r="D52" s="28"/>
    </row>
    <row r="53" spans="3:4" ht="15" customHeight="1">
      <c r="C53" s="32"/>
      <c r="D53" s="28"/>
    </row>
    <row r="54" spans="3:4" ht="15" customHeight="1">
      <c r="C54" s="32"/>
      <c r="D54" s="28"/>
    </row>
    <row r="55" spans="3:4" ht="15" customHeight="1">
      <c r="C55" s="32"/>
      <c r="D55" s="28"/>
    </row>
    <row r="56" spans="3:4" ht="15" customHeight="1">
      <c r="C56" s="32"/>
      <c r="D56" s="28"/>
    </row>
    <row r="57" spans="3:4" ht="15" customHeight="1">
      <c r="C57" s="32"/>
      <c r="D57" s="28"/>
    </row>
    <row r="58" spans="3:4" ht="15" customHeight="1">
      <c r="C58" s="32"/>
      <c r="D58" s="28"/>
    </row>
    <row r="59" spans="3:4" ht="15" customHeight="1">
      <c r="C59" s="32"/>
      <c r="D59" s="28"/>
    </row>
    <row r="60" spans="3:4" ht="15" customHeight="1">
      <c r="C60" s="32"/>
      <c r="D60" s="28"/>
    </row>
    <row r="61" spans="3:4" ht="15" customHeight="1">
      <c r="C61" s="32"/>
      <c r="D61" s="28"/>
    </row>
    <row r="62" spans="3:4" ht="15" customHeight="1">
      <c r="C62" s="32"/>
      <c r="D62" s="28"/>
    </row>
    <row r="63" spans="3:4" ht="15" customHeight="1">
      <c r="C63" s="32"/>
      <c r="D63" s="28"/>
    </row>
    <row r="64" spans="3:4" ht="15" customHeight="1">
      <c r="C64" s="32"/>
      <c r="D64" s="28"/>
    </row>
    <row r="65" spans="3:4" ht="15" customHeight="1">
      <c r="C65" s="32"/>
      <c r="D65" s="28"/>
    </row>
    <row r="66" spans="3:4" ht="15" customHeight="1">
      <c r="C66" s="32"/>
      <c r="D66" s="28"/>
    </row>
    <row r="67" spans="3:4" ht="15" customHeight="1">
      <c r="C67" s="32"/>
      <c r="D67" s="28"/>
    </row>
    <row r="68" spans="3:4" ht="15" customHeight="1">
      <c r="C68" s="32"/>
      <c r="D68" s="28"/>
    </row>
    <row r="69" spans="3:4" ht="15" customHeight="1">
      <c r="C69" s="32"/>
      <c r="D69" s="28"/>
    </row>
    <row r="70" spans="3:4" ht="15" customHeight="1">
      <c r="C70" s="32"/>
      <c r="D70" s="28"/>
    </row>
    <row r="71" spans="3:4" ht="15" customHeight="1">
      <c r="C71" s="32"/>
      <c r="D71" s="28"/>
    </row>
    <row r="72" spans="3:4" ht="15" customHeight="1">
      <c r="C72" s="32"/>
      <c r="D72" s="28"/>
    </row>
    <row r="73" spans="3:4" ht="15" customHeight="1">
      <c r="C73" s="32"/>
      <c r="D73" s="28"/>
    </row>
    <row r="74" spans="3:4" ht="15" customHeight="1">
      <c r="C74" s="32"/>
      <c r="D74" s="28"/>
    </row>
    <row r="75" spans="3:4" ht="15" customHeight="1">
      <c r="C75" s="32"/>
      <c r="D75" s="28"/>
    </row>
    <row r="76" spans="3:4" ht="15" customHeight="1">
      <c r="C76" s="32"/>
      <c r="D76" s="28"/>
    </row>
    <row r="77" spans="3:4" ht="15" customHeight="1">
      <c r="C77" s="32"/>
      <c r="D77" s="28"/>
    </row>
    <row r="78" spans="3:4" ht="15" customHeight="1">
      <c r="C78" s="32"/>
      <c r="D78" s="28"/>
    </row>
    <row r="79" spans="3:4" ht="15" customHeight="1">
      <c r="C79" s="32"/>
      <c r="D79" s="28"/>
    </row>
    <row r="80" spans="3:4" ht="15" customHeight="1">
      <c r="C80" s="32"/>
      <c r="D80" s="28"/>
    </row>
    <row r="81" spans="3:4" ht="15" customHeight="1">
      <c r="C81" s="32"/>
      <c r="D81" s="28"/>
    </row>
    <row r="82" spans="3:4" ht="15" customHeight="1">
      <c r="C82" s="32"/>
      <c r="D82" s="28"/>
    </row>
    <row r="83" spans="3:4" ht="15" customHeight="1">
      <c r="C83" s="32"/>
      <c r="D83" s="28"/>
    </row>
    <row r="84" spans="3:4" ht="15" customHeight="1">
      <c r="C84" s="32"/>
      <c r="D84" s="28"/>
    </row>
    <row r="85" spans="3:4" ht="15" customHeight="1">
      <c r="C85" s="32"/>
      <c r="D85" s="28"/>
    </row>
    <row r="86" spans="3:4" ht="15" customHeight="1">
      <c r="C86" s="32"/>
      <c r="D86" s="28"/>
    </row>
    <row r="87" spans="3:4" ht="15" customHeight="1">
      <c r="C87" s="32"/>
      <c r="D87" s="28"/>
    </row>
  </sheetData>
  <sheetProtection algorithmName="SHA-512" hashValue="ukaINkj6fG3o8BIJCYvOuH2sGzAhwjAcS35Py9USz+1ngfOdn0G7TFKBUauJOQaYvx9mgZrO4g+WtaKjjpJ7zg==" saltValue="kxmhNbdp5G/uMlGk2ZpgyQ==" spinCount="100000" sheet="1" objects="1" scenarios="1" autoFilter="0"/>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41"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3.xml><?xml version="1.0" encoding="utf-8"?>
<ds:datastoreItem xmlns:ds="http://schemas.openxmlformats.org/officeDocument/2006/customXml" ds:itemID="{9EF82A26-9299-4A98-AA84-5846BA477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29</vt:i4>
      </vt:variant>
    </vt:vector>
  </HeadingPairs>
  <TitlesOfParts>
    <vt:vector size="42"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Extra werkzaamheden</vt:lpstr>
      <vt:lpstr>Sanitaire voorzieningen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'Legenda Handelingen'!Afdrukbereik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Nikki Wonnink | Inkada</cp:lastModifiedBy>
  <cp:lastPrinted>2021-12-20T08:38:13Z</cp:lastPrinted>
  <dcterms:created xsi:type="dcterms:W3CDTF">1999-03-23T11:24:21Z</dcterms:created>
  <dcterms:modified xsi:type="dcterms:W3CDTF">2026-04-03T08:37:54Z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