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SED Organisatie/Aanbesteding 2025/3. Calculatiemodel/Laatste check versies en info/"/>
    </mc:Choice>
  </mc:AlternateContent>
  <xr:revisionPtr revIDLastSave="277" documentId="13_ncr:1_{C74ACE17-4645-4AC1-8ABE-C48D9F7B0C42}" xr6:coauthVersionLast="47" xr6:coauthVersionMax="47" xr10:uidLastSave="{25C706DA-E391-4236-9814-EFD46CD13237}"/>
  <bookViews>
    <workbookView xWindow="-108" yWindow="-108" windowWidth="23256" windowHeight="12456" tabRatio="946" firstSheet="4" activeTab="9"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 name="11-Machinekosten" sheetId="40" r:id="rId11"/>
  </sheets>
  <externalReferences>
    <externalReference r:id="rId12"/>
    <externalReference r:id="rId13"/>
    <externalReference r:id="rId14"/>
    <externalReference r:id="rId15"/>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 hidden="1">'[3]#REF'!#REF!</definedName>
    <definedName name="_Fill" hidden="1">'[3]#REF'!#REF!</definedName>
    <definedName name="_filll" hidden="1">'[4]#REF'!#REF!</definedName>
    <definedName name="_xlnm._FilterDatabase" localSheetId="9" hidden="1">'10-Glasbewassing'!$A$12:$X$56</definedName>
    <definedName name="_xlnm._FilterDatabase" localSheetId="1" hidden="1">'2-Kosten per locatie'!$A$14:$J$31</definedName>
    <definedName name="_xlnm._FilterDatabase" localSheetId="3" hidden="1">'4-Basis ruimtestaat'!$B$9:$AE$367</definedName>
    <definedName name="_Hlk39130726" localSheetId="0">'1-Uitgangspunten'!$A$16</definedName>
    <definedName name="_Key1" localSheetId="9"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locatie'!$A$3:$AB$30</definedName>
    <definedName name="_xlnm.Print_Area" localSheetId="3">'4-Basis ruimtestaat'!$B$3:$AE$367</definedName>
    <definedName name="_xlnm.Print_Area" localSheetId="4">'5-Premies en opslagen'!$A$3:$E$55</definedName>
    <definedName name="_xlnm.Print_Area" localSheetId="5">'6-Opbouw uurtarief productie'!$A$1:$R$65</definedName>
    <definedName name="_xlnm.Print_Area" localSheetId="8">'9-Afroepprijs'!$A$3:$F$43</definedName>
    <definedName name="_xlnm.Print_Titles" localSheetId="9">'10-Glasbewassing'!$12:$12</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'[3]#REF'!#REF!</definedName>
    <definedName name="einde" localSheetId="1">'2-Kosten per locatie'!einde</definedName>
    <definedName name="einde">'2-Kosten per locatie'!einde</definedName>
    <definedName name="fghf" hidden="1">'[3]#REF'!#REF!</definedName>
    <definedName name="Gan_R" localSheetId="1">'2-Kosten per locatie'!Gan_R</definedName>
    <definedName name="Gan_R">'2-Kosten per locatie'!Gan_R</definedName>
    <definedName name="gs" hidden="1">'[3]#REF'!#REF!</definedName>
    <definedName name="han" localSheetId="9"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'[3]#REF'!#REF!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3" i="18" l="1"/>
  <c r="Q47" i="37" l="1"/>
  <c r="A47" i="37"/>
  <c r="E15" i="35" l="1"/>
  <c r="F15" i="35" s="1"/>
  <c r="H15" i="35" s="1"/>
  <c r="E16" i="35"/>
  <c r="F16" i="35" s="1"/>
  <c r="H16" i="35" s="1"/>
  <c r="E17" i="35"/>
  <c r="F17" i="35" s="1"/>
  <c r="H17" i="35" s="1"/>
  <c r="E18" i="35"/>
  <c r="F18" i="35" s="1"/>
  <c r="H18" i="35" s="1"/>
  <c r="E19" i="35"/>
  <c r="F19" i="35" s="1"/>
  <c r="H19" i="35" s="1"/>
  <c r="E20" i="35"/>
  <c r="F20" i="35" s="1"/>
  <c r="H20" i="35" s="1"/>
  <c r="E21" i="35"/>
  <c r="F21" i="35" s="1"/>
  <c r="H21" i="35" s="1"/>
  <c r="E22" i="35"/>
  <c r="F22" i="35" s="1"/>
  <c r="H22" i="35" s="1"/>
  <c r="E23" i="35"/>
  <c r="F23" i="35" s="1"/>
  <c r="H23" i="35" s="1"/>
  <c r="E24" i="35"/>
  <c r="F24" i="35" s="1"/>
  <c r="H24" i="35" s="1"/>
  <c r="E25" i="35"/>
  <c r="F25" i="35" s="1"/>
  <c r="H25" i="35" s="1"/>
  <c r="E26" i="35"/>
  <c r="F26" i="35" s="1"/>
  <c r="H26" i="35" s="1"/>
  <c r="E27" i="35"/>
  <c r="F27" i="35" s="1"/>
  <c r="H27" i="35" s="1"/>
  <c r="E28" i="35"/>
  <c r="F28" i="35" s="1"/>
  <c r="H28" i="35" s="1"/>
  <c r="E29" i="35"/>
  <c r="F29" i="35" s="1"/>
  <c r="H29" i="35" s="1"/>
  <c r="E30" i="35"/>
  <c r="F30" i="35" s="1"/>
  <c r="H30" i="35" s="1"/>
  <c r="E31" i="35"/>
  <c r="F31" i="35" s="1"/>
  <c r="H31" i="35" s="1"/>
  <c r="E32" i="35"/>
  <c r="F32" i="35" s="1"/>
  <c r="H32" i="35" s="1"/>
  <c r="E33" i="35"/>
  <c r="F33" i="35" s="1"/>
  <c r="H33" i="35" s="1"/>
  <c r="E34" i="35"/>
  <c r="F34" i="35" s="1"/>
  <c r="H34" i="35" s="1"/>
  <c r="E35" i="35"/>
  <c r="F35" i="35" s="1"/>
  <c r="H35" i="35" s="1"/>
  <c r="E36" i="35"/>
  <c r="F36" i="35" s="1"/>
  <c r="H36" i="35" s="1"/>
  <c r="E37" i="35"/>
  <c r="F37" i="35" s="1"/>
  <c r="H37" i="35" s="1"/>
  <c r="E38" i="35"/>
  <c r="F38" i="35" s="1"/>
  <c r="H38" i="35" s="1"/>
  <c r="E39" i="35"/>
  <c r="F39" i="35" s="1"/>
  <c r="H39" i="35" s="1"/>
  <c r="E40" i="35"/>
  <c r="F40" i="35" s="1"/>
  <c r="H40" i="35" s="1"/>
  <c r="E41" i="35"/>
  <c r="F41" i="35" s="1"/>
  <c r="H41" i="35" s="1"/>
  <c r="E42" i="35"/>
  <c r="F42" i="35" s="1"/>
  <c r="H42" i="35" s="1"/>
  <c r="E43" i="35"/>
  <c r="F43" i="35" s="1"/>
  <c r="H43" i="35" s="1"/>
  <c r="E44" i="35"/>
  <c r="F44" i="35" s="1"/>
  <c r="H44" i="35" s="1"/>
  <c r="E45" i="35"/>
  <c r="F45" i="35" s="1"/>
  <c r="H45" i="35" s="1"/>
  <c r="E46" i="35"/>
  <c r="F46" i="35" s="1"/>
  <c r="H46" i="35" s="1"/>
  <c r="E47" i="35"/>
  <c r="F47" i="35" s="1"/>
  <c r="H47" i="35" s="1"/>
  <c r="E48" i="35"/>
  <c r="F48" i="35" s="1"/>
  <c r="H48" i="35" s="1"/>
  <c r="E49" i="35"/>
  <c r="F49" i="35" s="1"/>
  <c r="H49" i="35" s="1"/>
  <c r="E50" i="35"/>
  <c r="F50" i="35" s="1"/>
  <c r="H50" i="35" s="1"/>
  <c r="E51" i="35"/>
  <c r="F51" i="35" s="1"/>
  <c r="H51" i="35" s="1"/>
  <c r="E52" i="35"/>
  <c r="F52" i="35" s="1"/>
  <c r="H52" i="35" s="1"/>
  <c r="E53" i="35"/>
  <c r="F53" i="35" s="1"/>
  <c r="H53" i="35" s="1"/>
  <c r="E54" i="35"/>
  <c r="F54" i="35" s="1"/>
  <c r="H54" i="35" s="1"/>
  <c r="R27" i="2" l="1"/>
  <c r="S27" i="2"/>
  <c r="T27" i="2"/>
  <c r="U27" i="2"/>
  <c r="V27" i="2"/>
  <c r="R28" i="2"/>
  <c r="S28" i="2"/>
  <c r="T28" i="2"/>
  <c r="U28" i="2"/>
  <c r="V28" i="2"/>
  <c r="R29" i="2"/>
  <c r="S29" i="2"/>
  <c r="T29" i="2"/>
  <c r="U29" i="2"/>
  <c r="V29" i="2"/>
  <c r="R30" i="2"/>
  <c r="S30" i="2"/>
  <c r="T30" i="2"/>
  <c r="U30" i="2"/>
  <c r="V30" i="2"/>
  <c r="R31" i="2"/>
  <c r="S31" i="2"/>
  <c r="T31" i="2"/>
  <c r="U31" i="2"/>
  <c r="V31" i="2"/>
  <c r="R32" i="2"/>
  <c r="S32" i="2"/>
  <c r="T32" i="2"/>
  <c r="U32" i="2"/>
  <c r="V32" i="2"/>
  <c r="R33" i="2"/>
  <c r="S33" i="2"/>
  <c r="T33" i="2"/>
  <c r="U33" i="2"/>
  <c r="V33" i="2"/>
  <c r="R34" i="2"/>
  <c r="S34" i="2"/>
  <c r="T34" i="2"/>
  <c r="U34" i="2"/>
  <c r="V34" i="2"/>
  <c r="R35" i="2"/>
  <c r="S35" i="2"/>
  <c r="T35" i="2"/>
  <c r="U35" i="2"/>
  <c r="V35" i="2"/>
  <c r="R36" i="2"/>
  <c r="S36" i="2"/>
  <c r="T36" i="2"/>
  <c r="U36" i="2"/>
  <c r="V36" i="2"/>
  <c r="R37" i="2"/>
  <c r="S37" i="2"/>
  <c r="T37" i="2"/>
  <c r="U37" i="2"/>
  <c r="V37" i="2"/>
  <c r="R38" i="2"/>
  <c r="S38" i="2"/>
  <c r="T38" i="2"/>
  <c r="U38" i="2"/>
  <c r="V38" i="2"/>
  <c r="R39" i="2"/>
  <c r="S39" i="2"/>
  <c r="T39" i="2"/>
  <c r="U39" i="2"/>
  <c r="V39" i="2"/>
  <c r="R40" i="2"/>
  <c r="S40" i="2"/>
  <c r="T40" i="2"/>
  <c r="U40" i="2"/>
  <c r="V40" i="2"/>
  <c r="R41" i="2"/>
  <c r="S41" i="2"/>
  <c r="T41" i="2"/>
  <c r="U41" i="2"/>
  <c r="V41" i="2"/>
  <c r="R42" i="2"/>
  <c r="S42" i="2"/>
  <c r="T42" i="2"/>
  <c r="U42" i="2"/>
  <c r="V42" i="2"/>
  <c r="R43" i="2"/>
  <c r="S43" i="2"/>
  <c r="T43" i="2"/>
  <c r="U43" i="2"/>
  <c r="V43" i="2"/>
  <c r="R44" i="2"/>
  <c r="S44" i="2"/>
  <c r="T44" i="2"/>
  <c r="U44" i="2"/>
  <c r="V44" i="2"/>
  <c r="R45" i="2"/>
  <c r="S45" i="2"/>
  <c r="T45" i="2"/>
  <c r="U45" i="2"/>
  <c r="V45" i="2"/>
  <c r="Q46" i="2"/>
  <c r="R46" i="2"/>
  <c r="S46" i="2"/>
  <c r="T46" i="2"/>
  <c r="U46" i="2"/>
  <c r="V46" i="2"/>
  <c r="R47" i="2"/>
  <c r="S47" i="2"/>
  <c r="T47" i="2"/>
  <c r="U47" i="2"/>
  <c r="V47" i="2"/>
  <c r="R48" i="2"/>
  <c r="S48" i="2"/>
  <c r="T48" i="2"/>
  <c r="U48" i="2"/>
  <c r="V48" i="2"/>
  <c r="Q49" i="2"/>
  <c r="R49" i="2"/>
  <c r="S49" i="2"/>
  <c r="T49" i="2"/>
  <c r="U49" i="2"/>
  <c r="V49" i="2"/>
  <c r="R50" i="2"/>
  <c r="S50" i="2"/>
  <c r="T50" i="2"/>
  <c r="U50" i="2"/>
  <c r="V50" i="2"/>
  <c r="R51" i="2"/>
  <c r="S51" i="2"/>
  <c r="T51" i="2"/>
  <c r="U51" i="2"/>
  <c r="V51" i="2"/>
  <c r="R52" i="2"/>
  <c r="S52" i="2"/>
  <c r="T52" i="2"/>
  <c r="U52" i="2"/>
  <c r="V52" i="2"/>
  <c r="R53" i="2"/>
  <c r="S53" i="2"/>
  <c r="T53" i="2"/>
  <c r="U53" i="2"/>
  <c r="V53" i="2"/>
  <c r="R54" i="2"/>
  <c r="S54" i="2"/>
  <c r="T54" i="2"/>
  <c r="U54" i="2"/>
  <c r="V54" i="2"/>
  <c r="R55" i="2"/>
  <c r="S55" i="2"/>
  <c r="T55" i="2"/>
  <c r="U55" i="2"/>
  <c r="V55" i="2"/>
  <c r="R56" i="2"/>
  <c r="S56" i="2"/>
  <c r="T56" i="2"/>
  <c r="U56" i="2"/>
  <c r="V56" i="2"/>
  <c r="R57" i="2"/>
  <c r="S57" i="2"/>
  <c r="T57" i="2"/>
  <c r="U57" i="2"/>
  <c r="V57" i="2"/>
  <c r="R58" i="2"/>
  <c r="S58" i="2"/>
  <c r="T58" i="2"/>
  <c r="U58" i="2"/>
  <c r="V58" i="2"/>
  <c r="R59" i="2"/>
  <c r="S59" i="2"/>
  <c r="T59" i="2"/>
  <c r="U59" i="2"/>
  <c r="V59" i="2"/>
  <c r="R60" i="2"/>
  <c r="T60" i="2"/>
  <c r="V60" i="2"/>
  <c r="R61" i="2"/>
  <c r="T61" i="2"/>
  <c r="V61" i="2"/>
  <c r="R62" i="2"/>
  <c r="T62" i="2"/>
  <c r="V62" i="2"/>
  <c r="R63" i="2"/>
  <c r="T63" i="2"/>
  <c r="V63" i="2"/>
  <c r="R64" i="2"/>
  <c r="T64" i="2"/>
  <c r="V64" i="2"/>
  <c r="Q65" i="2"/>
  <c r="R65" i="2"/>
  <c r="S65" i="2"/>
  <c r="T65" i="2"/>
  <c r="U65" i="2"/>
  <c r="V65" i="2"/>
  <c r="Q66" i="2"/>
  <c r="R66" i="2"/>
  <c r="S66" i="2"/>
  <c r="T66" i="2"/>
  <c r="U66" i="2"/>
  <c r="V66" i="2"/>
  <c r="R67" i="2"/>
  <c r="T67" i="2"/>
  <c r="V67" i="2"/>
  <c r="R68" i="2"/>
  <c r="T68" i="2"/>
  <c r="V68" i="2"/>
  <c r="Q69" i="2"/>
  <c r="R69" i="2"/>
  <c r="S69" i="2"/>
  <c r="T69" i="2"/>
  <c r="U69" i="2"/>
  <c r="V69" i="2"/>
  <c r="Q70" i="2"/>
  <c r="R70" i="2"/>
  <c r="S70" i="2"/>
  <c r="T70" i="2"/>
  <c r="U70" i="2"/>
  <c r="V70" i="2"/>
  <c r="R71" i="2"/>
  <c r="T71" i="2"/>
  <c r="V71" i="2"/>
  <c r="R72" i="2"/>
  <c r="T72" i="2"/>
  <c r="V72" i="2"/>
  <c r="R73" i="2"/>
  <c r="T73" i="2"/>
  <c r="V73" i="2"/>
  <c r="R74" i="2"/>
  <c r="T74" i="2"/>
  <c r="V74" i="2"/>
  <c r="Q75" i="2"/>
  <c r="R75" i="2"/>
  <c r="S75" i="2"/>
  <c r="T75" i="2"/>
  <c r="U75" i="2"/>
  <c r="V75" i="2"/>
  <c r="R76" i="2"/>
  <c r="T76" i="2"/>
  <c r="V76" i="2"/>
  <c r="R77" i="2"/>
  <c r="T77" i="2"/>
  <c r="V77" i="2"/>
  <c r="R78" i="2"/>
  <c r="T78" i="2"/>
  <c r="V78" i="2"/>
  <c r="R79" i="2"/>
  <c r="T79" i="2"/>
  <c r="V79" i="2"/>
  <c r="R80" i="2"/>
  <c r="S80" i="2"/>
  <c r="T80" i="2"/>
  <c r="U80" i="2"/>
  <c r="V80" i="2"/>
  <c r="R81" i="2"/>
  <c r="S81" i="2"/>
  <c r="T81" i="2"/>
  <c r="U81" i="2"/>
  <c r="V81" i="2"/>
  <c r="R82" i="2"/>
  <c r="S82" i="2"/>
  <c r="T82" i="2"/>
  <c r="U82" i="2"/>
  <c r="V82" i="2"/>
  <c r="R83" i="2"/>
  <c r="S83" i="2"/>
  <c r="T83" i="2"/>
  <c r="U83" i="2"/>
  <c r="V83" i="2"/>
  <c r="R84" i="2"/>
  <c r="S84" i="2"/>
  <c r="T84" i="2"/>
  <c r="U84" i="2"/>
  <c r="V84" i="2"/>
  <c r="R85" i="2"/>
  <c r="S85" i="2"/>
  <c r="T85" i="2"/>
  <c r="U85" i="2"/>
  <c r="V85" i="2"/>
  <c r="R86" i="2"/>
  <c r="S86" i="2"/>
  <c r="T86" i="2"/>
  <c r="U86" i="2"/>
  <c r="V86" i="2"/>
  <c r="Q87" i="2"/>
  <c r="R87" i="2"/>
  <c r="S87" i="2"/>
  <c r="T87" i="2"/>
  <c r="U87" i="2"/>
  <c r="V87" i="2"/>
  <c r="R88" i="2"/>
  <c r="T88" i="2"/>
  <c r="U88" i="2"/>
  <c r="V88" i="2"/>
  <c r="R89" i="2"/>
  <c r="T89" i="2"/>
  <c r="U89" i="2"/>
  <c r="V89" i="2"/>
  <c r="R90" i="2"/>
  <c r="T90" i="2"/>
  <c r="U90" i="2"/>
  <c r="V90" i="2"/>
  <c r="R91" i="2"/>
  <c r="T91" i="2"/>
  <c r="U91" i="2"/>
  <c r="V91" i="2"/>
  <c r="Q92" i="2"/>
  <c r="R92" i="2"/>
  <c r="S92" i="2"/>
  <c r="T92" i="2"/>
  <c r="U92" i="2"/>
  <c r="V92" i="2"/>
  <c r="R93" i="2"/>
  <c r="S93" i="2"/>
  <c r="T93" i="2"/>
  <c r="U93" i="2"/>
  <c r="V93" i="2"/>
  <c r="R94" i="2"/>
  <c r="T94" i="2"/>
  <c r="U94" i="2"/>
  <c r="V94" i="2"/>
  <c r="R95" i="2"/>
  <c r="T95" i="2"/>
  <c r="U95" i="2"/>
  <c r="V95" i="2"/>
  <c r="R96" i="2"/>
  <c r="T96" i="2"/>
  <c r="U96" i="2"/>
  <c r="V96" i="2"/>
  <c r="R97" i="2"/>
  <c r="T97" i="2"/>
  <c r="U97" i="2"/>
  <c r="V97" i="2"/>
  <c r="R98" i="2"/>
  <c r="T98" i="2"/>
  <c r="U98" i="2"/>
  <c r="V98" i="2"/>
  <c r="R99" i="2"/>
  <c r="S99" i="2"/>
  <c r="T99" i="2"/>
  <c r="U99" i="2"/>
  <c r="V99" i="2"/>
  <c r="R100" i="2"/>
  <c r="T100" i="2"/>
  <c r="V100" i="2"/>
  <c r="R101" i="2"/>
  <c r="T101" i="2"/>
  <c r="V101" i="2"/>
  <c r="R102" i="2"/>
  <c r="T102" i="2"/>
  <c r="V102" i="2"/>
  <c r="R103" i="2"/>
  <c r="T103" i="2"/>
  <c r="V103" i="2"/>
  <c r="R104" i="2"/>
  <c r="T104" i="2"/>
  <c r="V104" i="2"/>
  <c r="R105" i="2"/>
  <c r="T105" i="2"/>
  <c r="V105" i="2"/>
  <c r="R106" i="2"/>
  <c r="S106" i="2"/>
  <c r="T106" i="2"/>
  <c r="U106" i="2"/>
  <c r="V106" i="2"/>
  <c r="R107" i="2"/>
  <c r="S107" i="2"/>
  <c r="T107" i="2"/>
  <c r="U107" i="2"/>
  <c r="V107" i="2"/>
  <c r="R108" i="2"/>
  <c r="T108" i="2"/>
  <c r="V108" i="2"/>
  <c r="R109" i="2"/>
  <c r="T109" i="2"/>
  <c r="V109" i="2"/>
  <c r="R110" i="2"/>
  <c r="T110" i="2"/>
  <c r="V110" i="2"/>
  <c r="R111" i="2"/>
  <c r="T111" i="2"/>
  <c r="V111" i="2"/>
  <c r="R112" i="2"/>
  <c r="T112" i="2"/>
  <c r="V112" i="2"/>
  <c r="R113" i="2"/>
  <c r="T113" i="2"/>
  <c r="V113" i="2"/>
  <c r="R114" i="2"/>
  <c r="T114" i="2"/>
  <c r="V114" i="2"/>
  <c r="R115" i="2"/>
  <c r="T115" i="2"/>
  <c r="V115" i="2"/>
  <c r="R116" i="2"/>
  <c r="T116" i="2"/>
  <c r="V116" i="2"/>
  <c r="R117" i="2"/>
  <c r="T117" i="2"/>
  <c r="V117" i="2"/>
  <c r="R118" i="2"/>
  <c r="T118" i="2"/>
  <c r="V118" i="2"/>
  <c r="R119" i="2"/>
  <c r="T119" i="2"/>
  <c r="V119" i="2"/>
  <c r="R120" i="2"/>
  <c r="T120" i="2"/>
  <c r="V120" i="2"/>
  <c r="R121" i="2"/>
  <c r="T121" i="2"/>
  <c r="V121" i="2"/>
  <c r="R122" i="2"/>
  <c r="T122" i="2"/>
  <c r="V122" i="2"/>
  <c r="R123" i="2"/>
  <c r="T123" i="2"/>
  <c r="V123" i="2"/>
  <c r="Q124" i="2"/>
  <c r="R124" i="2"/>
  <c r="S124" i="2"/>
  <c r="T124" i="2"/>
  <c r="U124" i="2"/>
  <c r="V124" i="2"/>
  <c r="Q125" i="2"/>
  <c r="R125" i="2"/>
  <c r="S125" i="2"/>
  <c r="T125" i="2"/>
  <c r="U125" i="2"/>
  <c r="V125" i="2"/>
  <c r="Q126" i="2"/>
  <c r="R126" i="2"/>
  <c r="S126" i="2"/>
  <c r="T126" i="2"/>
  <c r="U126" i="2"/>
  <c r="V126" i="2"/>
  <c r="Q127" i="2"/>
  <c r="R127" i="2"/>
  <c r="S127" i="2"/>
  <c r="T127" i="2"/>
  <c r="U127" i="2"/>
  <c r="V127" i="2"/>
  <c r="Q128" i="2"/>
  <c r="R128" i="2"/>
  <c r="S128" i="2"/>
  <c r="T128" i="2"/>
  <c r="U128" i="2"/>
  <c r="V128" i="2"/>
  <c r="Q129" i="2"/>
  <c r="R129" i="2"/>
  <c r="S129" i="2"/>
  <c r="T129" i="2"/>
  <c r="U129" i="2"/>
  <c r="V129" i="2"/>
  <c r="Q130" i="2"/>
  <c r="R130" i="2"/>
  <c r="S130" i="2"/>
  <c r="T130" i="2"/>
  <c r="U130" i="2"/>
  <c r="V130" i="2"/>
  <c r="Q131" i="2"/>
  <c r="R131" i="2"/>
  <c r="S131" i="2"/>
  <c r="T131" i="2"/>
  <c r="U131" i="2"/>
  <c r="V131" i="2"/>
  <c r="Q132" i="2"/>
  <c r="R132" i="2"/>
  <c r="S132" i="2"/>
  <c r="T132" i="2"/>
  <c r="U132" i="2"/>
  <c r="V132" i="2"/>
  <c r="Q133" i="2"/>
  <c r="R133" i="2"/>
  <c r="S133" i="2"/>
  <c r="T133" i="2"/>
  <c r="U133" i="2"/>
  <c r="V133" i="2"/>
  <c r="Q134" i="2"/>
  <c r="R134" i="2"/>
  <c r="S134" i="2"/>
  <c r="T134" i="2"/>
  <c r="U134" i="2"/>
  <c r="V134" i="2"/>
  <c r="Q135" i="2"/>
  <c r="R135" i="2"/>
  <c r="S135" i="2"/>
  <c r="T135" i="2"/>
  <c r="U135" i="2"/>
  <c r="V135" i="2"/>
  <c r="Q136" i="2"/>
  <c r="R136" i="2"/>
  <c r="S136" i="2"/>
  <c r="T136" i="2"/>
  <c r="U136" i="2"/>
  <c r="V136" i="2"/>
  <c r="R137" i="2"/>
  <c r="T137" i="2"/>
  <c r="U137" i="2"/>
  <c r="V137" i="2"/>
  <c r="R138" i="2"/>
  <c r="T138" i="2"/>
  <c r="U138" i="2"/>
  <c r="V138" i="2"/>
  <c r="R139" i="2"/>
  <c r="T139" i="2"/>
  <c r="U139" i="2"/>
  <c r="V139" i="2"/>
  <c r="R140" i="2"/>
  <c r="T140" i="2"/>
  <c r="U140" i="2"/>
  <c r="V140" i="2"/>
  <c r="R141" i="2"/>
  <c r="T141" i="2"/>
  <c r="U141" i="2"/>
  <c r="V141" i="2"/>
  <c r="R142" i="2"/>
  <c r="T142" i="2"/>
  <c r="V142" i="2"/>
  <c r="Q143" i="2"/>
  <c r="R143" i="2"/>
  <c r="S143" i="2"/>
  <c r="T143" i="2"/>
  <c r="U143" i="2"/>
  <c r="V143" i="2"/>
  <c r="Q144" i="2"/>
  <c r="R144" i="2"/>
  <c r="S144" i="2"/>
  <c r="T144" i="2"/>
  <c r="U144" i="2"/>
  <c r="V144" i="2"/>
  <c r="R145" i="2"/>
  <c r="T145" i="2"/>
  <c r="U145" i="2"/>
  <c r="V145" i="2"/>
  <c r="R146" i="2"/>
  <c r="T146" i="2"/>
  <c r="U146" i="2"/>
  <c r="V146" i="2"/>
  <c r="R147" i="2"/>
  <c r="T147" i="2"/>
  <c r="U147" i="2"/>
  <c r="V147" i="2"/>
  <c r="R148" i="2"/>
  <c r="T148" i="2"/>
  <c r="U148" i="2"/>
  <c r="V148" i="2"/>
  <c r="R149" i="2"/>
  <c r="S149" i="2"/>
  <c r="T149" i="2"/>
  <c r="U149" i="2"/>
  <c r="V149" i="2"/>
  <c r="R150" i="2"/>
  <c r="T150" i="2"/>
  <c r="U150" i="2"/>
  <c r="V150" i="2"/>
  <c r="Q151" i="2"/>
  <c r="R151" i="2"/>
  <c r="S151" i="2"/>
  <c r="T151" i="2"/>
  <c r="U151" i="2"/>
  <c r="V151" i="2"/>
  <c r="R152" i="2"/>
  <c r="T152" i="2"/>
  <c r="U152" i="2"/>
  <c r="V152" i="2"/>
  <c r="R153" i="2"/>
  <c r="T153" i="2"/>
  <c r="U153" i="2"/>
  <c r="V153" i="2"/>
  <c r="R154" i="2"/>
  <c r="S154" i="2"/>
  <c r="T154" i="2"/>
  <c r="U154" i="2"/>
  <c r="V154" i="2"/>
  <c r="R155" i="2"/>
  <c r="S155" i="2"/>
  <c r="T155" i="2"/>
  <c r="U155" i="2"/>
  <c r="V155" i="2"/>
  <c r="R156" i="2"/>
  <c r="S156" i="2"/>
  <c r="T156" i="2"/>
  <c r="U156" i="2"/>
  <c r="V156" i="2"/>
  <c r="R157" i="2"/>
  <c r="S157" i="2"/>
  <c r="T157" i="2"/>
  <c r="U157" i="2"/>
  <c r="V157" i="2"/>
  <c r="R158" i="2"/>
  <c r="S158" i="2"/>
  <c r="T158" i="2"/>
  <c r="U158" i="2"/>
  <c r="V158" i="2"/>
  <c r="R159" i="2"/>
  <c r="S159" i="2"/>
  <c r="T159" i="2"/>
  <c r="U159" i="2"/>
  <c r="V159" i="2"/>
  <c r="R160" i="2"/>
  <c r="S160" i="2"/>
  <c r="T160" i="2"/>
  <c r="U160" i="2"/>
  <c r="V160" i="2"/>
  <c r="R161" i="2"/>
  <c r="S161" i="2"/>
  <c r="T161" i="2"/>
  <c r="U161" i="2"/>
  <c r="V161" i="2"/>
  <c r="R162" i="2"/>
  <c r="S162" i="2"/>
  <c r="T162" i="2"/>
  <c r="U162" i="2"/>
  <c r="V162" i="2"/>
  <c r="R163" i="2"/>
  <c r="S163" i="2"/>
  <c r="T163" i="2"/>
  <c r="U163" i="2"/>
  <c r="V163" i="2"/>
  <c r="R164" i="2"/>
  <c r="S164" i="2"/>
  <c r="T164" i="2"/>
  <c r="U164" i="2"/>
  <c r="V164" i="2"/>
  <c r="R165" i="2"/>
  <c r="S165" i="2"/>
  <c r="T165" i="2"/>
  <c r="U165" i="2"/>
  <c r="V165" i="2"/>
  <c r="R166" i="2"/>
  <c r="S166" i="2"/>
  <c r="T166" i="2"/>
  <c r="U166" i="2"/>
  <c r="V166" i="2"/>
  <c r="R167" i="2"/>
  <c r="S167" i="2"/>
  <c r="T167" i="2"/>
  <c r="U167" i="2"/>
  <c r="V167" i="2"/>
  <c r="R168" i="2"/>
  <c r="S168" i="2"/>
  <c r="T168" i="2"/>
  <c r="U168" i="2"/>
  <c r="V168" i="2"/>
  <c r="R169" i="2"/>
  <c r="S169" i="2"/>
  <c r="T169" i="2"/>
  <c r="U169" i="2"/>
  <c r="V169" i="2"/>
  <c r="R170" i="2"/>
  <c r="S170" i="2"/>
  <c r="T170" i="2"/>
  <c r="U170" i="2"/>
  <c r="V170" i="2"/>
  <c r="R171" i="2"/>
  <c r="S171" i="2"/>
  <c r="T171" i="2"/>
  <c r="U171" i="2"/>
  <c r="V171" i="2"/>
  <c r="R172" i="2"/>
  <c r="S172" i="2"/>
  <c r="T172" i="2"/>
  <c r="U172" i="2"/>
  <c r="V172" i="2"/>
  <c r="R173" i="2"/>
  <c r="S173" i="2"/>
  <c r="T173" i="2"/>
  <c r="U173" i="2"/>
  <c r="V173" i="2"/>
  <c r="R174" i="2"/>
  <c r="S174" i="2"/>
  <c r="T174" i="2"/>
  <c r="U174" i="2"/>
  <c r="V174" i="2"/>
  <c r="R175" i="2"/>
  <c r="S175" i="2"/>
  <c r="T175" i="2"/>
  <c r="U175" i="2"/>
  <c r="V175" i="2"/>
  <c r="Q176" i="2"/>
  <c r="R176" i="2"/>
  <c r="S176" i="2"/>
  <c r="T176" i="2"/>
  <c r="U176" i="2"/>
  <c r="V176" i="2"/>
  <c r="Q177" i="2"/>
  <c r="R177" i="2"/>
  <c r="S177" i="2"/>
  <c r="T177" i="2"/>
  <c r="U177" i="2"/>
  <c r="V177" i="2"/>
  <c r="Q178" i="2"/>
  <c r="R178" i="2"/>
  <c r="S178" i="2"/>
  <c r="T178" i="2"/>
  <c r="U178" i="2"/>
  <c r="V178" i="2"/>
  <c r="Q179" i="2"/>
  <c r="R179" i="2"/>
  <c r="S179" i="2"/>
  <c r="T179" i="2"/>
  <c r="U179" i="2"/>
  <c r="V179" i="2"/>
  <c r="Q180" i="2"/>
  <c r="R180" i="2"/>
  <c r="S180" i="2"/>
  <c r="T180" i="2"/>
  <c r="U180" i="2"/>
  <c r="V180" i="2"/>
  <c r="Q181" i="2"/>
  <c r="R181" i="2"/>
  <c r="S181" i="2"/>
  <c r="T181" i="2"/>
  <c r="U181" i="2"/>
  <c r="V181" i="2"/>
  <c r="Q182" i="2"/>
  <c r="R182" i="2"/>
  <c r="S182" i="2"/>
  <c r="T182" i="2"/>
  <c r="U182" i="2"/>
  <c r="V182" i="2"/>
  <c r="Q183" i="2"/>
  <c r="R183" i="2"/>
  <c r="S183" i="2"/>
  <c r="T183" i="2"/>
  <c r="U183" i="2"/>
  <c r="V183" i="2"/>
  <c r="Q184" i="2"/>
  <c r="R184" i="2"/>
  <c r="S184" i="2"/>
  <c r="T184" i="2"/>
  <c r="U184" i="2"/>
  <c r="V184" i="2"/>
  <c r="Q185" i="2"/>
  <c r="R185" i="2"/>
  <c r="S185" i="2"/>
  <c r="T185" i="2"/>
  <c r="U185" i="2"/>
  <c r="V185" i="2"/>
  <c r="Q186" i="2"/>
  <c r="R186" i="2"/>
  <c r="S186" i="2"/>
  <c r="T186" i="2"/>
  <c r="U186" i="2"/>
  <c r="V186" i="2"/>
  <c r="Q187" i="2"/>
  <c r="R187" i="2"/>
  <c r="S187" i="2"/>
  <c r="T187" i="2"/>
  <c r="U187" i="2"/>
  <c r="V187" i="2"/>
  <c r="Q188" i="2"/>
  <c r="R188" i="2"/>
  <c r="S188" i="2"/>
  <c r="T188" i="2"/>
  <c r="U188" i="2"/>
  <c r="V188" i="2"/>
  <c r="Q189" i="2"/>
  <c r="R189" i="2"/>
  <c r="S189" i="2"/>
  <c r="T189" i="2"/>
  <c r="U189" i="2"/>
  <c r="V189" i="2"/>
  <c r="Q190" i="2"/>
  <c r="R190" i="2"/>
  <c r="S190" i="2"/>
  <c r="T190" i="2"/>
  <c r="U190" i="2"/>
  <c r="V190" i="2"/>
  <c r="Q191" i="2"/>
  <c r="R191" i="2"/>
  <c r="S191" i="2"/>
  <c r="T191" i="2"/>
  <c r="U191" i="2"/>
  <c r="V191" i="2"/>
  <c r="R192" i="2"/>
  <c r="S192" i="2"/>
  <c r="T192" i="2"/>
  <c r="U192" i="2"/>
  <c r="V192" i="2"/>
  <c r="R193" i="2"/>
  <c r="S193" i="2"/>
  <c r="T193" i="2"/>
  <c r="U193" i="2"/>
  <c r="V193" i="2"/>
  <c r="R194" i="2"/>
  <c r="S194" i="2"/>
  <c r="T194" i="2"/>
  <c r="U194" i="2"/>
  <c r="V194" i="2"/>
  <c r="R195" i="2"/>
  <c r="S195" i="2"/>
  <c r="T195" i="2"/>
  <c r="U195" i="2"/>
  <c r="V195" i="2"/>
  <c r="R196" i="2"/>
  <c r="S196" i="2"/>
  <c r="T196" i="2"/>
  <c r="U196" i="2"/>
  <c r="V196" i="2"/>
  <c r="R197" i="2"/>
  <c r="S197" i="2"/>
  <c r="T197" i="2"/>
  <c r="U197" i="2"/>
  <c r="V197" i="2"/>
  <c r="R198" i="2"/>
  <c r="S198" i="2"/>
  <c r="T198" i="2"/>
  <c r="U198" i="2"/>
  <c r="V198" i="2"/>
  <c r="R199" i="2"/>
  <c r="S199" i="2"/>
  <c r="T199" i="2"/>
  <c r="U199" i="2"/>
  <c r="V199" i="2"/>
  <c r="R200" i="2"/>
  <c r="S200" i="2"/>
  <c r="T200" i="2"/>
  <c r="U200" i="2"/>
  <c r="V200" i="2"/>
  <c r="R201" i="2"/>
  <c r="S201" i="2"/>
  <c r="T201" i="2"/>
  <c r="U201" i="2"/>
  <c r="V201" i="2"/>
  <c r="R202" i="2"/>
  <c r="S202" i="2"/>
  <c r="T202" i="2"/>
  <c r="U202" i="2"/>
  <c r="V202" i="2"/>
  <c r="R203" i="2"/>
  <c r="S203" i="2"/>
  <c r="T203" i="2"/>
  <c r="U203" i="2"/>
  <c r="V203" i="2"/>
  <c r="Q207" i="2"/>
  <c r="R207" i="2"/>
  <c r="S207" i="2"/>
  <c r="T207" i="2"/>
  <c r="U207" i="2"/>
  <c r="V207" i="2"/>
  <c r="Q208" i="2"/>
  <c r="R208" i="2"/>
  <c r="S208" i="2"/>
  <c r="T208" i="2"/>
  <c r="U208" i="2"/>
  <c r="V208" i="2"/>
  <c r="R212" i="2"/>
  <c r="T212" i="2"/>
  <c r="V212" i="2"/>
  <c r="R216" i="2"/>
  <c r="S216" i="2"/>
  <c r="T216" i="2"/>
  <c r="U216" i="2"/>
  <c r="V216" i="2"/>
  <c r="T217" i="2"/>
  <c r="U217" i="2"/>
  <c r="V217" i="2"/>
  <c r="R218" i="2"/>
  <c r="S218" i="2"/>
  <c r="T218" i="2"/>
  <c r="U218" i="2"/>
  <c r="V218" i="2"/>
  <c r="R219" i="2"/>
  <c r="S219" i="2"/>
  <c r="T219" i="2"/>
  <c r="U219" i="2"/>
  <c r="V219" i="2"/>
  <c r="R220" i="2"/>
  <c r="S220" i="2"/>
  <c r="T220" i="2"/>
  <c r="U220" i="2"/>
  <c r="V220" i="2"/>
  <c r="R221" i="2"/>
  <c r="S221" i="2"/>
  <c r="T221" i="2"/>
  <c r="U221" i="2"/>
  <c r="V221" i="2"/>
  <c r="R222" i="2"/>
  <c r="T222" i="2"/>
  <c r="V222" i="2"/>
  <c r="R223" i="2"/>
  <c r="T223" i="2"/>
  <c r="V223" i="2"/>
  <c r="R224" i="2"/>
  <c r="T224" i="2"/>
  <c r="V224" i="2"/>
  <c r="U225" i="2"/>
  <c r="V225" i="2"/>
  <c r="R226" i="2"/>
  <c r="T226" i="2"/>
  <c r="V226" i="2"/>
  <c r="R229" i="2"/>
  <c r="S229" i="2"/>
  <c r="T229" i="2"/>
  <c r="U229" i="2"/>
  <c r="V229" i="2"/>
  <c r="R230" i="2"/>
  <c r="T230" i="2"/>
  <c r="V230" i="2"/>
  <c r="R231" i="2"/>
  <c r="T231" i="2"/>
  <c r="V231" i="2"/>
  <c r="Q239" i="2"/>
  <c r="R239" i="2"/>
  <c r="S239" i="2"/>
  <c r="T239" i="2"/>
  <c r="U239" i="2"/>
  <c r="V239" i="2"/>
  <c r="Q240" i="2"/>
  <c r="R240" i="2"/>
  <c r="S240" i="2"/>
  <c r="T240" i="2"/>
  <c r="U240" i="2"/>
  <c r="V240" i="2"/>
  <c r="Q241" i="2"/>
  <c r="R241" i="2"/>
  <c r="S241" i="2"/>
  <c r="T241" i="2"/>
  <c r="U241" i="2"/>
  <c r="V241" i="2"/>
  <c r="Q242" i="2"/>
  <c r="R242" i="2"/>
  <c r="S242" i="2"/>
  <c r="T242" i="2"/>
  <c r="U242" i="2"/>
  <c r="V242" i="2"/>
  <c r="Q243" i="2"/>
  <c r="R243" i="2"/>
  <c r="S243" i="2"/>
  <c r="T243" i="2"/>
  <c r="U243" i="2"/>
  <c r="V243" i="2"/>
  <c r="R244" i="2"/>
  <c r="T244" i="2"/>
  <c r="V244" i="2"/>
  <c r="R245" i="2"/>
  <c r="T245" i="2"/>
  <c r="V245" i="2"/>
  <c r="Q246" i="2"/>
  <c r="R246" i="2"/>
  <c r="S246" i="2"/>
  <c r="T246" i="2"/>
  <c r="U246" i="2"/>
  <c r="V246" i="2"/>
  <c r="T247" i="2"/>
  <c r="V247" i="2"/>
  <c r="T248" i="2"/>
  <c r="V248" i="2"/>
  <c r="R249" i="2"/>
  <c r="T249" i="2"/>
  <c r="V249" i="2"/>
  <c r="R250" i="2"/>
  <c r="T250" i="2"/>
  <c r="V250" i="2"/>
  <c r="R251" i="2"/>
  <c r="T251" i="2"/>
  <c r="V251" i="2"/>
  <c r="R252" i="2"/>
  <c r="T252" i="2"/>
  <c r="V252" i="2"/>
  <c r="T253" i="2"/>
  <c r="V253" i="2"/>
  <c r="T254" i="2"/>
  <c r="V254" i="2"/>
  <c r="R255" i="2"/>
  <c r="T255" i="2"/>
  <c r="V255" i="2"/>
  <c r="R256" i="2"/>
  <c r="T256" i="2"/>
  <c r="V256" i="2"/>
  <c r="T257" i="2"/>
  <c r="V257" i="2"/>
  <c r="R258" i="2"/>
  <c r="T258" i="2"/>
  <c r="V258" i="2"/>
  <c r="T259" i="2"/>
  <c r="V259" i="2"/>
  <c r="R260" i="2"/>
  <c r="S260" i="2"/>
  <c r="T260" i="2"/>
  <c r="V260" i="2"/>
  <c r="R261" i="2"/>
  <c r="T261" i="2"/>
  <c r="V261" i="2"/>
  <c r="T262" i="2"/>
  <c r="V262" i="2"/>
  <c r="T263" i="2"/>
  <c r="V263" i="2"/>
  <c r="R264" i="2"/>
  <c r="T264" i="2"/>
  <c r="V264" i="2"/>
  <c r="T265" i="2"/>
  <c r="V265" i="2"/>
  <c r="R266" i="2"/>
  <c r="S266" i="2"/>
  <c r="T266" i="2"/>
  <c r="U266" i="2"/>
  <c r="V266" i="2"/>
  <c r="R267" i="2"/>
  <c r="S267" i="2"/>
  <c r="T267" i="2"/>
  <c r="U267" i="2"/>
  <c r="V267" i="2"/>
  <c r="R268" i="2"/>
  <c r="S268" i="2"/>
  <c r="T268" i="2"/>
  <c r="U268" i="2"/>
  <c r="V268" i="2"/>
  <c r="Q269" i="2"/>
  <c r="R269" i="2"/>
  <c r="S269" i="2"/>
  <c r="T269" i="2"/>
  <c r="U269" i="2"/>
  <c r="V269" i="2"/>
  <c r="R270" i="2"/>
  <c r="T270" i="2"/>
  <c r="U270" i="2"/>
  <c r="V270" i="2"/>
  <c r="R271" i="2"/>
  <c r="S271" i="2"/>
  <c r="T271" i="2"/>
  <c r="U271" i="2"/>
  <c r="V271" i="2"/>
  <c r="R272" i="2"/>
  <c r="T272" i="2"/>
  <c r="U272" i="2"/>
  <c r="V272" i="2"/>
  <c r="R273" i="2"/>
  <c r="T273" i="2"/>
  <c r="U273" i="2"/>
  <c r="V273" i="2"/>
  <c r="R274" i="2"/>
  <c r="T274" i="2"/>
  <c r="U274" i="2"/>
  <c r="V274" i="2"/>
  <c r="R275" i="2"/>
  <c r="T275" i="2"/>
  <c r="U275" i="2"/>
  <c r="V275" i="2"/>
  <c r="R276" i="2"/>
  <c r="T276" i="2"/>
  <c r="U276" i="2"/>
  <c r="V276" i="2"/>
  <c r="R277" i="2"/>
  <c r="T277" i="2"/>
  <c r="U277" i="2"/>
  <c r="V277" i="2"/>
  <c r="R278" i="2"/>
  <c r="T278" i="2"/>
  <c r="U278" i="2"/>
  <c r="V278" i="2"/>
  <c r="R279" i="2"/>
  <c r="S279" i="2"/>
  <c r="T279" i="2"/>
  <c r="U279" i="2"/>
  <c r="V279" i="2"/>
  <c r="R280" i="2"/>
  <c r="T280" i="2"/>
  <c r="U280" i="2"/>
  <c r="V280" i="2"/>
  <c r="R281" i="2"/>
  <c r="T281" i="2"/>
  <c r="U281" i="2"/>
  <c r="V281" i="2"/>
  <c r="R282" i="2"/>
  <c r="T282" i="2"/>
  <c r="U282" i="2"/>
  <c r="V282" i="2"/>
  <c r="R283" i="2"/>
  <c r="T283" i="2"/>
  <c r="U283" i="2"/>
  <c r="V283" i="2"/>
  <c r="Q284" i="2"/>
  <c r="R284" i="2"/>
  <c r="S284" i="2"/>
  <c r="T284" i="2"/>
  <c r="U284" i="2"/>
  <c r="V284" i="2"/>
  <c r="R285" i="2"/>
  <c r="S285" i="2"/>
  <c r="T285" i="2"/>
  <c r="U285" i="2"/>
  <c r="V285" i="2"/>
  <c r="R286" i="2"/>
  <c r="S286" i="2"/>
  <c r="T286" i="2"/>
  <c r="U286" i="2"/>
  <c r="V286" i="2"/>
  <c r="R287" i="2"/>
  <c r="S287" i="2"/>
  <c r="T287" i="2"/>
  <c r="U287" i="2"/>
  <c r="V287" i="2"/>
  <c r="R288" i="2"/>
  <c r="S288" i="2"/>
  <c r="T288" i="2"/>
  <c r="U288" i="2"/>
  <c r="V288" i="2"/>
  <c r="R289" i="2"/>
  <c r="S289" i="2"/>
  <c r="T289" i="2"/>
  <c r="U289" i="2"/>
  <c r="V289" i="2"/>
  <c r="R290" i="2"/>
  <c r="S290" i="2"/>
  <c r="T290" i="2"/>
  <c r="U290" i="2"/>
  <c r="V290" i="2"/>
  <c r="R291" i="2"/>
  <c r="S291" i="2"/>
  <c r="T291" i="2"/>
  <c r="U291" i="2"/>
  <c r="V291" i="2"/>
  <c r="R292" i="2"/>
  <c r="S292" i="2"/>
  <c r="T292" i="2"/>
  <c r="U292" i="2"/>
  <c r="V292" i="2"/>
  <c r="R293" i="2"/>
  <c r="S293" i="2"/>
  <c r="T293" i="2"/>
  <c r="U293" i="2"/>
  <c r="V293" i="2"/>
  <c r="R294" i="2"/>
  <c r="S294" i="2"/>
  <c r="T294" i="2"/>
  <c r="U294" i="2"/>
  <c r="V294" i="2"/>
  <c r="R295" i="2"/>
  <c r="S295" i="2"/>
  <c r="T295" i="2"/>
  <c r="U295" i="2"/>
  <c r="V295" i="2"/>
  <c r="R296" i="2"/>
  <c r="S296" i="2"/>
  <c r="T296" i="2"/>
  <c r="U296" i="2"/>
  <c r="V296" i="2"/>
  <c r="R297" i="2"/>
  <c r="S297" i="2"/>
  <c r="T297" i="2"/>
  <c r="U297" i="2"/>
  <c r="V297" i="2"/>
  <c r="R298" i="2"/>
  <c r="S298" i="2"/>
  <c r="T298" i="2"/>
  <c r="U298" i="2"/>
  <c r="V298" i="2"/>
  <c r="R299" i="2"/>
  <c r="S299" i="2"/>
  <c r="T299" i="2"/>
  <c r="U299" i="2"/>
  <c r="V299" i="2"/>
  <c r="R300" i="2"/>
  <c r="S300" i="2"/>
  <c r="T300" i="2"/>
  <c r="U300" i="2"/>
  <c r="V300" i="2"/>
  <c r="R301" i="2"/>
  <c r="S301" i="2"/>
  <c r="T301" i="2"/>
  <c r="U301" i="2"/>
  <c r="V301" i="2"/>
  <c r="R302" i="2"/>
  <c r="S302" i="2"/>
  <c r="T302" i="2"/>
  <c r="U302" i="2"/>
  <c r="V302" i="2"/>
  <c r="R303" i="2"/>
  <c r="S303" i="2"/>
  <c r="T303" i="2"/>
  <c r="U303" i="2"/>
  <c r="V303" i="2"/>
  <c r="R304" i="2"/>
  <c r="S304" i="2"/>
  <c r="T304" i="2"/>
  <c r="U304" i="2"/>
  <c r="V304" i="2"/>
  <c r="R305" i="2"/>
  <c r="S305" i="2"/>
  <c r="T305" i="2"/>
  <c r="U305" i="2"/>
  <c r="V305" i="2"/>
  <c r="R306" i="2"/>
  <c r="S306" i="2"/>
  <c r="T306" i="2"/>
  <c r="U306" i="2"/>
  <c r="V306" i="2"/>
  <c r="R307" i="2"/>
  <c r="S307" i="2"/>
  <c r="T307" i="2"/>
  <c r="U307" i="2"/>
  <c r="V307" i="2"/>
  <c r="R308" i="2"/>
  <c r="S308" i="2"/>
  <c r="T308" i="2"/>
  <c r="U308" i="2"/>
  <c r="V308" i="2"/>
  <c r="R309" i="2"/>
  <c r="S309" i="2"/>
  <c r="T309" i="2"/>
  <c r="U309" i="2"/>
  <c r="V309" i="2"/>
  <c r="R310" i="2"/>
  <c r="S310" i="2"/>
  <c r="T310" i="2"/>
  <c r="U310" i="2"/>
  <c r="V310" i="2"/>
  <c r="R311" i="2"/>
  <c r="S311" i="2"/>
  <c r="T311" i="2"/>
  <c r="U311" i="2"/>
  <c r="V311" i="2"/>
  <c r="R312" i="2"/>
  <c r="S312" i="2"/>
  <c r="T312" i="2"/>
  <c r="U312" i="2"/>
  <c r="V312" i="2"/>
  <c r="R313" i="2"/>
  <c r="S313" i="2"/>
  <c r="T313" i="2"/>
  <c r="U313" i="2"/>
  <c r="V313" i="2"/>
  <c r="R314" i="2"/>
  <c r="S314" i="2"/>
  <c r="T314" i="2"/>
  <c r="U314" i="2"/>
  <c r="V314" i="2"/>
  <c r="R315" i="2"/>
  <c r="S315" i="2"/>
  <c r="T315" i="2"/>
  <c r="U315" i="2"/>
  <c r="V315" i="2"/>
  <c r="R316" i="2"/>
  <c r="S316" i="2"/>
  <c r="T316" i="2"/>
  <c r="U316" i="2"/>
  <c r="V316" i="2"/>
  <c r="R317" i="2"/>
  <c r="S317" i="2"/>
  <c r="T317" i="2"/>
  <c r="U317" i="2"/>
  <c r="V317" i="2"/>
  <c r="R318" i="2"/>
  <c r="S318" i="2"/>
  <c r="T318" i="2"/>
  <c r="U318" i="2"/>
  <c r="V318" i="2"/>
  <c r="R319" i="2"/>
  <c r="S319" i="2"/>
  <c r="T319" i="2"/>
  <c r="U319" i="2"/>
  <c r="V319" i="2"/>
  <c r="R320" i="2"/>
  <c r="S320" i="2"/>
  <c r="T320" i="2"/>
  <c r="U320" i="2"/>
  <c r="V320" i="2"/>
  <c r="Q321" i="2"/>
  <c r="R321" i="2"/>
  <c r="S321" i="2"/>
  <c r="T321" i="2"/>
  <c r="U321" i="2"/>
  <c r="V321" i="2"/>
  <c r="Q322" i="2"/>
  <c r="R322" i="2"/>
  <c r="S322" i="2"/>
  <c r="T322" i="2"/>
  <c r="U322" i="2"/>
  <c r="V322" i="2"/>
  <c r="Q323" i="2"/>
  <c r="R323" i="2"/>
  <c r="S323" i="2"/>
  <c r="T323" i="2"/>
  <c r="U323" i="2"/>
  <c r="V323" i="2"/>
  <c r="Q324" i="2"/>
  <c r="R324" i="2"/>
  <c r="S324" i="2"/>
  <c r="T324" i="2"/>
  <c r="U324" i="2"/>
  <c r="V324" i="2"/>
  <c r="Q325" i="2"/>
  <c r="R325" i="2"/>
  <c r="S325" i="2"/>
  <c r="T325" i="2"/>
  <c r="U325" i="2"/>
  <c r="V325" i="2"/>
  <c r="Q326" i="2"/>
  <c r="R326" i="2"/>
  <c r="S326" i="2"/>
  <c r="T326" i="2"/>
  <c r="U326" i="2"/>
  <c r="V326" i="2"/>
  <c r="Q327" i="2"/>
  <c r="R327" i="2"/>
  <c r="S327" i="2"/>
  <c r="T327" i="2"/>
  <c r="U327" i="2"/>
  <c r="V327" i="2"/>
  <c r="Q328" i="2"/>
  <c r="R328" i="2"/>
  <c r="S328" i="2"/>
  <c r="T328" i="2"/>
  <c r="U328" i="2"/>
  <c r="V328" i="2"/>
  <c r="Q329" i="2"/>
  <c r="R329" i="2"/>
  <c r="S329" i="2"/>
  <c r="T329" i="2"/>
  <c r="U329" i="2"/>
  <c r="V329" i="2"/>
  <c r="Q330" i="2"/>
  <c r="R330" i="2"/>
  <c r="S330" i="2"/>
  <c r="T330" i="2"/>
  <c r="U330" i="2"/>
  <c r="V330" i="2"/>
  <c r="Q331" i="2"/>
  <c r="R331" i="2"/>
  <c r="S331" i="2"/>
  <c r="T331" i="2"/>
  <c r="U331" i="2"/>
  <c r="V331" i="2"/>
  <c r="Q332" i="2"/>
  <c r="R332" i="2"/>
  <c r="S332" i="2"/>
  <c r="T332" i="2"/>
  <c r="U332" i="2"/>
  <c r="V332" i="2"/>
  <c r="Q333" i="2"/>
  <c r="R333" i="2"/>
  <c r="S333" i="2"/>
  <c r="T333" i="2"/>
  <c r="U333" i="2"/>
  <c r="V333" i="2"/>
  <c r="Q334" i="2"/>
  <c r="R334" i="2"/>
  <c r="S334" i="2"/>
  <c r="T334" i="2"/>
  <c r="U334" i="2"/>
  <c r="V334" i="2"/>
  <c r="Q335" i="2"/>
  <c r="R335" i="2"/>
  <c r="S335" i="2"/>
  <c r="T335" i="2"/>
  <c r="U335" i="2"/>
  <c r="V335" i="2"/>
  <c r="Q336" i="2"/>
  <c r="R336" i="2"/>
  <c r="S336" i="2"/>
  <c r="T336" i="2"/>
  <c r="U336" i="2"/>
  <c r="V336" i="2"/>
  <c r="Q337" i="2"/>
  <c r="R337" i="2"/>
  <c r="S337" i="2"/>
  <c r="T337" i="2"/>
  <c r="U337" i="2"/>
  <c r="V337" i="2"/>
  <c r="Q338" i="2"/>
  <c r="R338" i="2"/>
  <c r="S338" i="2"/>
  <c r="T338" i="2"/>
  <c r="U338" i="2"/>
  <c r="V338" i="2"/>
  <c r="Q339" i="2"/>
  <c r="R339" i="2"/>
  <c r="S339" i="2"/>
  <c r="T339" i="2"/>
  <c r="U339" i="2"/>
  <c r="V339" i="2"/>
  <c r="Q340" i="2"/>
  <c r="R340" i="2"/>
  <c r="S340" i="2"/>
  <c r="T340" i="2"/>
  <c r="U340" i="2"/>
  <c r="V340" i="2"/>
  <c r="Q341" i="2"/>
  <c r="R341" i="2"/>
  <c r="S341" i="2"/>
  <c r="T341" i="2"/>
  <c r="U341" i="2"/>
  <c r="V341" i="2"/>
  <c r="Q342" i="2"/>
  <c r="R342" i="2"/>
  <c r="S342" i="2"/>
  <c r="T342" i="2"/>
  <c r="U342" i="2"/>
  <c r="V342" i="2"/>
  <c r="Q343" i="2"/>
  <c r="R343" i="2"/>
  <c r="S343" i="2"/>
  <c r="T343" i="2"/>
  <c r="U343" i="2"/>
  <c r="V343" i="2"/>
  <c r="Q344" i="2"/>
  <c r="R344" i="2"/>
  <c r="S344" i="2"/>
  <c r="T344" i="2"/>
  <c r="U344" i="2"/>
  <c r="V344" i="2"/>
  <c r="Q345" i="2"/>
  <c r="R345" i="2"/>
  <c r="S345" i="2"/>
  <c r="T345" i="2"/>
  <c r="U345" i="2"/>
  <c r="V345" i="2"/>
  <c r="Q346" i="2"/>
  <c r="R346" i="2"/>
  <c r="S346" i="2"/>
  <c r="T346" i="2"/>
  <c r="U346" i="2"/>
  <c r="V346" i="2"/>
  <c r="Q347" i="2"/>
  <c r="R347" i="2"/>
  <c r="S347" i="2"/>
  <c r="T347" i="2"/>
  <c r="U347" i="2"/>
  <c r="V347" i="2"/>
  <c r="R348" i="2"/>
  <c r="S348" i="2"/>
  <c r="T348" i="2"/>
  <c r="U348" i="2"/>
  <c r="V348" i="2"/>
  <c r="R349" i="2"/>
  <c r="S349" i="2"/>
  <c r="T349" i="2"/>
  <c r="U349" i="2"/>
  <c r="V349" i="2"/>
  <c r="R350" i="2"/>
  <c r="S350" i="2"/>
  <c r="T350" i="2"/>
  <c r="U350" i="2"/>
  <c r="V350" i="2"/>
  <c r="R351" i="2"/>
  <c r="S351" i="2"/>
  <c r="T351" i="2"/>
  <c r="U351" i="2"/>
  <c r="V351" i="2"/>
  <c r="R352" i="2"/>
  <c r="S352" i="2"/>
  <c r="T352" i="2"/>
  <c r="U352" i="2"/>
  <c r="V352" i="2"/>
  <c r="R353" i="2"/>
  <c r="S353" i="2"/>
  <c r="T353" i="2"/>
  <c r="U353" i="2"/>
  <c r="V353" i="2"/>
  <c r="R354" i="2"/>
  <c r="S354" i="2"/>
  <c r="T354" i="2"/>
  <c r="U354" i="2"/>
  <c r="V354" i="2"/>
  <c r="R355" i="2"/>
  <c r="S355" i="2"/>
  <c r="T355" i="2"/>
  <c r="U355" i="2"/>
  <c r="V355" i="2"/>
  <c r="R356" i="2"/>
  <c r="S356" i="2"/>
  <c r="T356" i="2"/>
  <c r="U356" i="2"/>
  <c r="V356" i="2"/>
  <c r="R357" i="2"/>
  <c r="S357" i="2"/>
  <c r="T357" i="2"/>
  <c r="U357" i="2"/>
  <c r="V357" i="2"/>
  <c r="R358" i="2"/>
  <c r="S358" i="2"/>
  <c r="T358" i="2"/>
  <c r="U358" i="2"/>
  <c r="V358" i="2"/>
  <c r="R359" i="2"/>
  <c r="S359" i="2"/>
  <c r="T359" i="2"/>
  <c r="U359" i="2"/>
  <c r="V359" i="2"/>
  <c r="R360" i="2"/>
  <c r="S360" i="2"/>
  <c r="T360" i="2"/>
  <c r="U360" i="2"/>
  <c r="V360" i="2"/>
  <c r="R361" i="2"/>
  <c r="S361" i="2"/>
  <c r="T361" i="2"/>
  <c r="U361" i="2"/>
  <c r="V361" i="2"/>
  <c r="R362" i="2"/>
  <c r="S362" i="2"/>
  <c r="T362" i="2"/>
  <c r="U362" i="2"/>
  <c r="V362" i="2"/>
  <c r="R363" i="2"/>
  <c r="S363" i="2"/>
  <c r="T363" i="2"/>
  <c r="U363" i="2"/>
  <c r="V363" i="2"/>
  <c r="R364" i="2"/>
  <c r="S364" i="2"/>
  <c r="T364" i="2"/>
  <c r="U364" i="2"/>
  <c r="V364" i="2"/>
  <c r="R365" i="2"/>
  <c r="S365" i="2"/>
  <c r="T365" i="2"/>
  <c r="U365" i="2"/>
  <c r="V365" i="2"/>
  <c r="R366" i="2"/>
  <c r="S366" i="2"/>
  <c r="T366" i="2"/>
  <c r="U366" i="2"/>
  <c r="V366" i="2"/>
  <c r="R367" i="2"/>
  <c r="S367" i="2"/>
  <c r="T367" i="2"/>
  <c r="U367" i="2"/>
  <c r="V367" i="2"/>
  <c r="N40" i="18" l="1"/>
  <c r="N39" i="18"/>
  <c r="L39" i="18"/>
  <c r="L38" i="18"/>
  <c r="J38" i="18"/>
  <c r="J37" i="18"/>
  <c r="N36" i="18"/>
  <c r="N35" i="18"/>
  <c r="L35" i="18"/>
  <c r="L34" i="18"/>
  <c r="K34" i="18"/>
  <c r="J34" i="18"/>
  <c r="I34" i="18"/>
  <c r="M34" i="18"/>
  <c r="N34" i="18"/>
  <c r="I35" i="18"/>
  <c r="J35" i="18"/>
  <c r="K35" i="18"/>
  <c r="M35" i="18"/>
  <c r="I36" i="18"/>
  <c r="J36" i="18"/>
  <c r="K36" i="18"/>
  <c r="L36" i="18"/>
  <c r="M36" i="18"/>
  <c r="I37" i="18"/>
  <c r="K37" i="18"/>
  <c r="L37" i="18"/>
  <c r="M37" i="18"/>
  <c r="N37" i="18"/>
  <c r="I38" i="18"/>
  <c r="K38" i="18"/>
  <c r="M38" i="18"/>
  <c r="N38" i="18"/>
  <c r="I39" i="18"/>
  <c r="J39" i="18"/>
  <c r="K39" i="18"/>
  <c r="M39" i="18"/>
  <c r="I40" i="18"/>
  <c r="J40" i="18"/>
  <c r="K40" i="18"/>
  <c r="L40" i="18"/>
  <c r="M40" i="18"/>
  <c r="J27" i="2" l="1"/>
  <c r="AE27" i="2" s="1"/>
  <c r="J28" i="2"/>
  <c r="AE28" i="2" s="1"/>
  <c r="J29" i="2"/>
  <c r="AE29" i="2" s="1"/>
  <c r="J30" i="2"/>
  <c r="AE30" i="2" s="1"/>
  <c r="J31" i="2"/>
  <c r="AE31" i="2" s="1"/>
  <c r="J32" i="2"/>
  <c r="AE32" i="2" s="1"/>
  <c r="J33" i="2"/>
  <c r="AE33" i="2" s="1"/>
  <c r="J34" i="2"/>
  <c r="AE34" i="2" s="1"/>
  <c r="J35" i="2"/>
  <c r="AE35" i="2" s="1"/>
  <c r="J36" i="2"/>
  <c r="AE36" i="2" s="1"/>
  <c r="J37" i="2"/>
  <c r="AE37" i="2" s="1"/>
  <c r="J38" i="2"/>
  <c r="AE38" i="2" s="1"/>
  <c r="J39" i="2"/>
  <c r="AE39" i="2" s="1"/>
  <c r="J40" i="2"/>
  <c r="AE40" i="2" s="1"/>
  <c r="J41" i="2"/>
  <c r="AE41" i="2" s="1"/>
  <c r="J42" i="2"/>
  <c r="AE42" i="2" s="1"/>
  <c r="J43" i="2"/>
  <c r="AE43" i="2" s="1"/>
  <c r="J44" i="2"/>
  <c r="AE44" i="2" s="1"/>
  <c r="J45" i="2"/>
  <c r="AE45" i="2" s="1"/>
  <c r="J46" i="2"/>
  <c r="AE46" i="2" s="1"/>
  <c r="J47" i="2"/>
  <c r="AE47" i="2" s="1"/>
  <c r="J48" i="2"/>
  <c r="AE48" i="2" s="1"/>
  <c r="J49" i="2"/>
  <c r="AE49" i="2" s="1"/>
  <c r="J50" i="2"/>
  <c r="AE50" i="2" s="1"/>
  <c r="J51" i="2"/>
  <c r="AE51" i="2" s="1"/>
  <c r="J52" i="2"/>
  <c r="AE52" i="2" s="1"/>
  <c r="J53" i="2"/>
  <c r="AE53" i="2" s="1"/>
  <c r="J54" i="2"/>
  <c r="AE54" i="2" s="1"/>
  <c r="J55" i="2"/>
  <c r="AE55" i="2" s="1"/>
  <c r="J56" i="2"/>
  <c r="AE56" i="2" s="1"/>
  <c r="J57" i="2"/>
  <c r="AE57" i="2" s="1"/>
  <c r="J58" i="2"/>
  <c r="AE58" i="2" s="1"/>
  <c r="J59" i="2"/>
  <c r="AE59" i="2" s="1"/>
  <c r="J60" i="2"/>
  <c r="AE60" i="2" s="1"/>
  <c r="J61" i="2"/>
  <c r="AE61" i="2" s="1"/>
  <c r="J62" i="2"/>
  <c r="AE62" i="2" s="1"/>
  <c r="J63" i="2"/>
  <c r="AE63" i="2" s="1"/>
  <c r="J64" i="2"/>
  <c r="AE64" i="2" s="1"/>
  <c r="J65" i="2"/>
  <c r="AE65" i="2" s="1"/>
  <c r="J66" i="2"/>
  <c r="AE66" i="2" s="1"/>
  <c r="J67" i="2"/>
  <c r="AE67" i="2" s="1"/>
  <c r="J68" i="2"/>
  <c r="AE68" i="2" s="1"/>
  <c r="J69" i="2"/>
  <c r="AE69" i="2" s="1"/>
  <c r="J70" i="2"/>
  <c r="AE70" i="2" s="1"/>
  <c r="J71" i="2"/>
  <c r="AE71" i="2" s="1"/>
  <c r="J72" i="2"/>
  <c r="AE72" i="2" s="1"/>
  <c r="J73" i="2"/>
  <c r="AE73" i="2" s="1"/>
  <c r="J74" i="2"/>
  <c r="AE74" i="2" s="1"/>
  <c r="J75" i="2"/>
  <c r="AE75" i="2" s="1"/>
  <c r="J76" i="2"/>
  <c r="AE76" i="2" s="1"/>
  <c r="J77" i="2"/>
  <c r="AE77" i="2" s="1"/>
  <c r="J78" i="2"/>
  <c r="AE78" i="2" s="1"/>
  <c r="J79" i="2"/>
  <c r="AE79" i="2" s="1"/>
  <c r="J80" i="2"/>
  <c r="AE80" i="2" s="1"/>
  <c r="J81" i="2"/>
  <c r="AE81" i="2" s="1"/>
  <c r="J82" i="2"/>
  <c r="AE82" i="2" s="1"/>
  <c r="J83" i="2"/>
  <c r="AE83" i="2" s="1"/>
  <c r="J84" i="2"/>
  <c r="AE84" i="2" s="1"/>
  <c r="J85" i="2"/>
  <c r="AE85" i="2" s="1"/>
  <c r="J86" i="2"/>
  <c r="AE86" i="2" s="1"/>
  <c r="J87" i="2"/>
  <c r="AE87" i="2" s="1"/>
  <c r="J88" i="2"/>
  <c r="AE88" i="2" s="1"/>
  <c r="J89" i="2"/>
  <c r="AE89" i="2" s="1"/>
  <c r="J90" i="2"/>
  <c r="AE90" i="2" s="1"/>
  <c r="J91" i="2"/>
  <c r="AE91" i="2" s="1"/>
  <c r="J92" i="2"/>
  <c r="AE92" i="2" s="1"/>
  <c r="J93" i="2"/>
  <c r="AE93" i="2" s="1"/>
  <c r="J94" i="2"/>
  <c r="AE94" i="2" s="1"/>
  <c r="J95" i="2"/>
  <c r="AE95" i="2" s="1"/>
  <c r="J96" i="2"/>
  <c r="AE96" i="2" s="1"/>
  <c r="J97" i="2"/>
  <c r="AE97" i="2" s="1"/>
  <c r="J98" i="2"/>
  <c r="AE98" i="2" s="1"/>
  <c r="J99" i="2"/>
  <c r="AE99" i="2" s="1"/>
  <c r="J100" i="2"/>
  <c r="AE100" i="2" s="1"/>
  <c r="J101" i="2"/>
  <c r="AE101" i="2" s="1"/>
  <c r="J102" i="2"/>
  <c r="AE102" i="2" s="1"/>
  <c r="J103" i="2"/>
  <c r="AE103" i="2" s="1"/>
  <c r="J104" i="2"/>
  <c r="AE104" i="2" s="1"/>
  <c r="J105" i="2"/>
  <c r="AE105" i="2" s="1"/>
  <c r="J106" i="2"/>
  <c r="AE106" i="2" s="1"/>
  <c r="J107" i="2"/>
  <c r="AE107" i="2" s="1"/>
  <c r="J108" i="2"/>
  <c r="AE108" i="2" s="1"/>
  <c r="J109" i="2"/>
  <c r="AE109" i="2" s="1"/>
  <c r="J110" i="2"/>
  <c r="AE110" i="2" s="1"/>
  <c r="J111" i="2"/>
  <c r="AE111" i="2" s="1"/>
  <c r="J112" i="2"/>
  <c r="AE112" i="2" s="1"/>
  <c r="J113" i="2"/>
  <c r="AE113" i="2" s="1"/>
  <c r="J114" i="2"/>
  <c r="AE114" i="2" s="1"/>
  <c r="J115" i="2"/>
  <c r="AE115" i="2" s="1"/>
  <c r="J116" i="2"/>
  <c r="AE116" i="2" s="1"/>
  <c r="J117" i="2"/>
  <c r="AE117" i="2" s="1"/>
  <c r="J118" i="2"/>
  <c r="AE118" i="2" s="1"/>
  <c r="J119" i="2"/>
  <c r="AE119" i="2" s="1"/>
  <c r="J120" i="2"/>
  <c r="AE120" i="2" s="1"/>
  <c r="J121" i="2"/>
  <c r="AE121" i="2" s="1"/>
  <c r="J122" i="2"/>
  <c r="AE122" i="2" s="1"/>
  <c r="J123" i="2"/>
  <c r="AE123" i="2" s="1"/>
  <c r="J124" i="2"/>
  <c r="AE124" i="2" s="1"/>
  <c r="J125" i="2"/>
  <c r="AE125" i="2" s="1"/>
  <c r="J126" i="2"/>
  <c r="AE126" i="2" s="1"/>
  <c r="J127" i="2"/>
  <c r="AE127" i="2" s="1"/>
  <c r="J128" i="2"/>
  <c r="AE128" i="2" s="1"/>
  <c r="J129" i="2"/>
  <c r="AE129" i="2" s="1"/>
  <c r="J130" i="2"/>
  <c r="AE130" i="2" s="1"/>
  <c r="J131" i="2"/>
  <c r="AE131" i="2" s="1"/>
  <c r="J132" i="2"/>
  <c r="AE132" i="2" s="1"/>
  <c r="J133" i="2"/>
  <c r="AE133" i="2" s="1"/>
  <c r="J134" i="2"/>
  <c r="AE134" i="2" s="1"/>
  <c r="J135" i="2"/>
  <c r="AE135" i="2" s="1"/>
  <c r="J136" i="2"/>
  <c r="AE136" i="2" s="1"/>
  <c r="AE137" i="2"/>
  <c r="AE138" i="2"/>
  <c r="AE139" i="2"/>
  <c r="AE140" i="2"/>
  <c r="AE141" i="2"/>
  <c r="AE142" i="2"/>
  <c r="J143" i="2"/>
  <c r="AE143" i="2" s="1"/>
  <c r="J144" i="2"/>
  <c r="AE144" i="2" s="1"/>
  <c r="AE145" i="2"/>
  <c r="AE146" i="2"/>
  <c r="AE147" i="2"/>
  <c r="AE149" i="2"/>
  <c r="AE150" i="2"/>
  <c r="J151" i="2"/>
  <c r="AE151" i="2" s="1"/>
  <c r="AE152" i="2"/>
  <c r="AE153" i="2"/>
  <c r="AE154" i="2"/>
  <c r="AE155" i="2"/>
  <c r="J157" i="2"/>
  <c r="AE157" i="2" s="1"/>
  <c r="J158" i="2"/>
  <c r="AE158" i="2" s="1"/>
  <c r="J159" i="2"/>
  <c r="AE159" i="2" s="1"/>
  <c r="J160" i="2"/>
  <c r="AE160" i="2" s="1"/>
  <c r="J161" i="2"/>
  <c r="AE161" i="2" s="1"/>
  <c r="J162" i="2"/>
  <c r="AE162" i="2" s="1"/>
  <c r="J163" i="2"/>
  <c r="AE163" i="2" s="1"/>
  <c r="J164" i="2"/>
  <c r="AE164" i="2" s="1"/>
  <c r="J165" i="2"/>
  <c r="AE165" i="2" s="1"/>
  <c r="J166" i="2"/>
  <c r="AE166" i="2" s="1"/>
  <c r="J167" i="2"/>
  <c r="AE167" i="2" s="1"/>
  <c r="J168" i="2"/>
  <c r="AE168" i="2" s="1"/>
  <c r="J169" i="2"/>
  <c r="AE169" i="2" s="1"/>
  <c r="J170" i="2"/>
  <c r="AE170" i="2" s="1"/>
  <c r="J171" i="2"/>
  <c r="AE171" i="2" s="1"/>
  <c r="J172" i="2"/>
  <c r="AE172" i="2" s="1"/>
  <c r="J173" i="2"/>
  <c r="AE173" i="2" s="1"/>
  <c r="J174" i="2"/>
  <c r="AE174" i="2" s="1"/>
  <c r="J175" i="2"/>
  <c r="AE175" i="2" s="1"/>
  <c r="J176" i="2"/>
  <c r="AE176" i="2" s="1"/>
  <c r="J177" i="2"/>
  <c r="AE177" i="2" s="1"/>
  <c r="J178" i="2"/>
  <c r="AE178" i="2" s="1"/>
  <c r="J179" i="2"/>
  <c r="AE179" i="2" s="1"/>
  <c r="J180" i="2"/>
  <c r="AE180" i="2" s="1"/>
  <c r="J181" i="2"/>
  <c r="AE181" i="2" s="1"/>
  <c r="J182" i="2"/>
  <c r="AE182" i="2" s="1"/>
  <c r="J183" i="2"/>
  <c r="AE183" i="2" s="1"/>
  <c r="J184" i="2"/>
  <c r="AE184" i="2" s="1"/>
  <c r="J185" i="2"/>
  <c r="AE185" i="2" s="1"/>
  <c r="J186" i="2"/>
  <c r="AE186" i="2" s="1"/>
  <c r="J187" i="2"/>
  <c r="AE187" i="2" s="1"/>
  <c r="J188" i="2"/>
  <c r="AE188" i="2" s="1"/>
  <c r="J189" i="2"/>
  <c r="AE189" i="2" s="1"/>
  <c r="J190" i="2"/>
  <c r="AE190" i="2" s="1"/>
  <c r="J191" i="2"/>
  <c r="AE191" i="2" s="1"/>
  <c r="J192" i="2"/>
  <c r="AE192" i="2" s="1"/>
  <c r="J193" i="2"/>
  <c r="AE193" i="2" s="1"/>
  <c r="J194" i="2"/>
  <c r="AE194" i="2" s="1"/>
  <c r="J195" i="2"/>
  <c r="AE195" i="2" s="1"/>
  <c r="J196" i="2"/>
  <c r="AE196" i="2" s="1"/>
  <c r="J197" i="2"/>
  <c r="AE197" i="2" s="1"/>
  <c r="J198" i="2"/>
  <c r="AE198" i="2" s="1"/>
  <c r="J199" i="2"/>
  <c r="AE199" i="2" s="1"/>
  <c r="AE200" i="2"/>
  <c r="J201" i="2"/>
  <c r="AE201" i="2" s="1"/>
  <c r="J202" i="2"/>
  <c r="AE202" i="2" s="1"/>
  <c r="J203" i="2"/>
  <c r="AE203" i="2" s="1"/>
  <c r="J204" i="2"/>
  <c r="AE204" i="2" s="1"/>
  <c r="J205" i="2"/>
  <c r="AE205" i="2" s="1"/>
  <c r="J206" i="2"/>
  <c r="AE206" i="2" s="1"/>
  <c r="J207" i="2"/>
  <c r="AE207" i="2" s="1"/>
  <c r="J208" i="2"/>
  <c r="AE208" i="2" s="1"/>
  <c r="J209" i="2"/>
  <c r="AE209" i="2" s="1"/>
  <c r="J210" i="2"/>
  <c r="AE210" i="2" s="1"/>
  <c r="J211" i="2"/>
  <c r="AE211" i="2" s="1"/>
  <c r="J212" i="2"/>
  <c r="AE212" i="2" s="1"/>
  <c r="J213" i="2"/>
  <c r="AE213" i="2" s="1"/>
  <c r="J214" i="2"/>
  <c r="AE214" i="2" s="1"/>
  <c r="J215" i="2"/>
  <c r="AE215" i="2" s="1"/>
  <c r="J216" i="2"/>
  <c r="AE216" i="2" s="1"/>
  <c r="J217" i="2"/>
  <c r="AE217" i="2" s="1"/>
  <c r="J218" i="2"/>
  <c r="AE218" i="2" s="1"/>
  <c r="J219" i="2"/>
  <c r="AE219" i="2" s="1"/>
  <c r="J220" i="2"/>
  <c r="AE220" i="2" s="1"/>
  <c r="J221" i="2"/>
  <c r="AE221" i="2" s="1"/>
  <c r="J222" i="2"/>
  <c r="AE222" i="2" s="1"/>
  <c r="J223" i="2"/>
  <c r="AE223" i="2" s="1"/>
  <c r="J224" i="2"/>
  <c r="AE224" i="2" s="1"/>
  <c r="J225" i="2"/>
  <c r="AE225" i="2" s="1"/>
  <c r="J226" i="2"/>
  <c r="AE226" i="2" s="1"/>
  <c r="J227" i="2"/>
  <c r="AE227" i="2" s="1"/>
  <c r="J228" i="2"/>
  <c r="AE228" i="2" s="1"/>
  <c r="J229" i="2"/>
  <c r="AE229" i="2" s="1"/>
  <c r="J230" i="2"/>
  <c r="AE230" i="2" s="1"/>
  <c r="J231" i="2"/>
  <c r="AE231" i="2" s="1"/>
  <c r="J232" i="2"/>
  <c r="AE232" i="2" s="1"/>
  <c r="J233" i="2"/>
  <c r="AE233" i="2" s="1"/>
  <c r="J234" i="2"/>
  <c r="AE234" i="2" s="1"/>
  <c r="J235" i="2"/>
  <c r="AE235" i="2" s="1"/>
  <c r="J236" i="2"/>
  <c r="AE236" i="2" s="1"/>
  <c r="J237" i="2"/>
  <c r="AE237" i="2" s="1"/>
  <c r="J238" i="2"/>
  <c r="AE238" i="2" s="1"/>
  <c r="J239" i="2"/>
  <c r="AE239" i="2" s="1"/>
  <c r="J240" i="2"/>
  <c r="AE240" i="2" s="1"/>
  <c r="J241" i="2"/>
  <c r="AE241" i="2" s="1"/>
  <c r="J242" i="2"/>
  <c r="AE242" i="2" s="1"/>
  <c r="J243" i="2"/>
  <c r="AE243" i="2" s="1"/>
  <c r="J244" i="2"/>
  <c r="AE244" i="2" s="1"/>
  <c r="J245" i="2"/>
  <c r="AE245" i="2" s="1"/>
  <c r="J246" i="2"/>
  <c r="AE246" i="2" s="1"/>
  <c r="J247" i="2"/>
  <c r="AE247" i="2" s="1"/>
  <c r="J248" i="2"/>
  <c r="AE248" i="2" s="1"/>
  <c r="J249" i="2"/>
  <c r="AE249" i="2" s="1"/>
  <c r="J250" i="2"/>
  <c r="AE250" i="2" s="1"/>
  <c r="J251" i="2"/>
  <c r="AE251" i="2" s="1"/>
  <c r="J252" i="2"/>
  <c r="AE252" i="2" s="1"/>
  <c r="J253" i="2"/>
  <c r="AE253" i="2" s="1"/>
  <c r="J254" i="2"/>
  <c r="AE254" i="2" s="1"/>
  <c r="J255" i="2"/>
  <c r="AE255" i="2" s="1"/>
  <c r="J256" i="2"/>
  <c r="AE256" i="2" s="1"/>
  <c r="J257" i="2"/>
  <c r="AE257" i="2" s="1"/>
  <c r="J258" i="2"/>
  <c r="AE258" i="2" s="1"/>
  <c r="J259" i="2"/>
  <c r="AE259" i="2" s="1"/>
  <c r="J260" i="2"/>
  <c r="AE260" i="2" s="1"/>
  <c r="J261" i="2"/>
  <c r="AE261" i="2" s="1"/>
  <c r="J262" i="2"/>
  <c r="AE262" i="2" s="1"/>
  <c r="J263" i="2"/>
  <c r="AE263" i="2" s="1"/>
  <c r="J264" i="2"/>
  <c r="AE264" i="2" s="1"/>
  <c r="J265" i="2"/>
  <c r="AE265" i="2" s="1"/>
  <c r="J266" i="2"/>
  <c r="AE266" i="2" s="1"/>
  <c r="J267" i="2"/>
  <c r="AE267" i="2" s="1"/>
  <c r="J268" i="2"/>
  <c r="AE268" i="2" s="1"/>
  <c r="J269" i="2"/>
  <c r="AE269" i="2" s="1"/>
  <c r="J270" i="2"/>
  <c r="AE270" i="2" s="1"/>
  <c r="J271" i="2"/>
  <c r="AE271" i="2" s="1"/>
  <c r="J272" i="2"/>
  <c r="AE272" i="2" s="1"/>
  <c r="J273" i="2"/>
  <c r="AE273" i="2" s="1"/>
  <c r="J274" i="2"/>
  <c r="AE274" i="2" s="1"/>
  <c r="J275" i="2"/>
  <c r="AE275" i="2" s="1"/>
  <c r="J276" i="2"/>
  <c r="AE276" i="2" s="1"/>
  <c r="J277" i="2"/>
  <c r="AE277" i="2" s="1"/>
  <c r="J278" i="2"/>
  <c r="AE278" i="2" s="1"/>
  <c r="J279" i="2"/>
  <c r="AE279" i="2" s="1"/>
  <c r="J280" i="2"/>
  <c r="AE280" i="2" s="1"/>
  <c r="J281" i="2"/>
  <c r="AE281" i="2" s="1"/>
  <c r="J282" i="2"/>
  <c r="AE282" i="2" s="1"/>
  <c r="J283" i="2"/>
  <c r="AE283" i="2" s="1"/>
  <c r="J284" i="2"/>
  <c r="AE284" i="2" s="1"/>
  <c r="J285" i="2"/>
  <c r="AE285" i="2" s="1"/>
  <c r="J286" i="2"/>
  <c r="AE286" i="2" s="1"/>
  <c r="J287" i="2"/>
  <c r="AE287" i="2" s="1"/>
  <c r="J288" i="2"/>
  <c r="AE288" i="2" s="1"/>
  <c r="J289" i="2"/>
  <c r="AE289" i="2" s="1"/>
  <c r="J290" i="2"/>
  <c r="AE290" i="2" s="1"/>
  <c r="J291" i="2"/>
  <c r="AE291" i="2" s="1"/>
  <c r="J292" i="2"/>
  <c r="AE292" i="2" s="1"/>
  <c r="J293" i="2"/>
  <c r="AE293" i="2" s="1"/>
  <c r="J294" i="2"/>
  <c r="AE294" i="2" s="1"/>
  <c r="J295" i="2"/>
  <c r="AE295" i="2" s="1"/>
  <c r="J296" i="2"/>
  <c r="AE296" i="2" s="1"/>
  <c r="J297" i="2"/>
  <c r="AE297" i="2" s="1"/>
  <c r="J298" i="2"/>
  <c r="AE298" i="2" s="1"/>
  <c r="J299" i="2"/>
  <c r="AE299" i="2" s="1"/>
  <c r="J300" i="2"/>
  <c r="AE300" i="2" s="1"/>
  <c r="J301" i="2"/>
  <c r="AE301" i="2" s="1"/>
  <c r="J302" i="2"/>
  <c r="AE302" i="2" s="1"/>
  <c r="J303" i="2"/>
  <c r="AE303" i="2" s="1"/>
  <c r="J304" i="2"/>
  <c r="AE304" i="2" s="1"/>
  <c r="J305" i="2"/>
  <c r="AE305" i="2" s="1"/>
  <c r="J306" i="2"/>
  <c r="AE306" i="2" s="1"/>
  <c r="J307" i="2"/>
  <c r="AE307" i="2" s="1"/>
  <c r="J308" i="2"/>
  <c r="AE308" i="2" s="1"/>
  <c r="J309" i="2"/>
  <c r="AE309" i="2" s="1"/>
  <c r="J310" i="2"/>
  <c r="AE310" i="2" s="1"/>
  <c r="J311" i="2"/>
  <c r="AE311" i="2" s="1"/>
  <c r="J312" i="2"/>
  <c r="AE312" i="2" s="1"/>
  <c r="J313" i="2"/>
  <c r="AE313" i="2" s="1"/>
  <c r="J314" i="2"/>
  <c r="AE314" i="2" s="1"/>
  <c r="J315" i="2"/>
  <c r="AE315" i="2" s="1"/>
  <c r="J316" i="2"/>
  <c r="AE316" i="2" s="1"/>
  <c r="J317" i="2"/>
  <c r="AE317" i="2" s="1"/>
  <c r="J318" i="2"/>
  <c r="AE318" i="2" s="1"/>
  <c r="J319" i="2"/>
  <c r="AE319" i="2" s="1"/>
  <c r="J320" i="2"/>
  <c r="AE320" i="2" s="1"/>
  <c r="J321" i="2"/>
  <c r="AE321" i="2" s="1"/>
  <c r="J322" i="2"/>
  <c r="AE322" i="2" s="1"/>
  <c r="J323" i="2"/>
  <c r="AE323" i="2" s="1"/>
  <c r="J324" i="2"/>
  <c r="AE324" i="2" s="1"/>
  <c r="J325" i="2"/>
  <c r="AE325" i="2" s="1"/>
  <c r="J326" i="2"/>
  <c r="AE326" i="2" s="1"/>
  <c r="J327" i="2"/>
  <c r="AE327" i="2" s="1"/>
  <c r="J328" i="2"/>
  <c r="AE328" i="2" s="1"/>
  <c r="J329" i="2"/>
  <c r="AE329" i="2" s="1"/>
  <c r="J330" i="2"/>
  <c r="AE330" i="2" s="1"/>
  <c r="J331" i="2"/>
  <c r="AE331" i="2" s="1"/>
  <c r="J332" i="2"/>
  <c r="AE332" i="2" s="1"/>
  <c r="J333" i="2"/>
  <c r="AE333" i="2" s="1"/>
  <c r="J334" i="2"/>
  <c r="AE334" i="2" s="1"/>
  <c r="J335" i="2"/>
  <c r="AE335" i="2" s="1"/>
  <c r="J336" i="2"/>
  <c r="AE336" i="2" s="1"/>
  <c r="J337" i="2"/>
  <c r="AE337" i="2" s="1"/>
  <c r="J338" i="2"/>
  <c r="AE338" i="2" s="1"/>
  <c r="J339" i="2"/>
  <c r="AE339" i="2" s="1"/>
  <c r="J340" i="2"/>
  <c r="AE340" i="2" s="1"/>
  <c r="J341" i="2"/>
  <c r="AE341" i="2" s="1"/>
  <c r="J342" i="2"/>
  <c r="AE342" i="2" s="1"/>
  <c r="J343" i="2"/>
  <c r="AE343" i="2" s="1"/>
  <c r="J344" i="2"/>
  <c r="AE344" i="2" s="1"/>
  <c r="J345" i="2"/>
  <c r="AE345" i="2" s="1"/>
  <c r="J346" i="2"/>
  <c r="AE346" i="2" s="1"/>
  <c r="J347" i="2"/>
  <c r="AE347" i="2" s="1"/>
  <c r="J348" i="2"/>
  <c r="AE348" i="2" s="1"/>
  <c r="J349" i="2"/>
  <c r="AE349" i="2" s="1"/>
  <c r="J350" i="2"/>
  <c r="AE350" i="2" s="1"/>
  <c r="J351" i="2"/>
  <c r="AE351" i="2" s="1"/>
  <c r="J352" i="2"/>
  <c r="AE352" i="2" s="1"/>
  <c r="J353" i="2"/>
  <c r="AE353" i="2" s="1"/>
  <c r="J354" i="2"/>
  <c r="AE354" i="2" s="1"/>
  <c r="J355" i="2"/>
  <c r="AE355" i="2" s="1"/>
  <c r="J356" i="2"/>
  <c r="AE356" i="2" s="1"/>
  <c r="J357" i="2"/>
  <c r="AE357" i="2" s="1"/>
  <c r="J358" i="2"/>
  <c r="AE358" i="2" s="1"/>
  <c r="J359" i="2"/>
  <c r="AE359" i="2" s="1"/>
  <c r="J360" i="2"/>
  <c r="AE360" i="2" s="1"/>
  <c r="J361" i="2"/>
  <c r="AE361" i="2" s="1"/>
  <c r="J362" i="2"/>
  <c r="AE362" i="2" s="1"/>
  <c r="J363" i="2"/>
  <c r="AE363" i="2" s="1"/>
  <c r="J364" i="2"/>
  <c r="AE364" i="2" s="1"/>
  <c r="J365" i="2"/>
  <c r="AE365" i="2" s="1"/>
  <c r="J366" i="2"/>
  <c r="AE366" i="2" s="1"/>
  <c r="J367" i="2"/>
  <c r="AE367" i="2" s="1"/>
  <c r="W21" i="2"/>
  <c r="X27" i="2"/>
  <c r="Y27" i="2"/>
  <c r="Z27" i="2"/>
  <c r="X28" i="2"/>
  <c r="Y28" i="2"/>
  <c r="Z28" i="2"/>
  <c r="X29" i="2"/>
  <c r="Y29" i="2"/>
  <c r="Z29" i="2"/>
  <c r="X30" i="2"/>
  <c r="Y30" i="2"/>
  <c r="Z30" i="2"/>
  <c r="X31" i="2"/>
  <c r="Y31" i="2"/>
  <c r="Z31" i="2"/>
  <c r="X32" i="2"/>
  <c r="Y32" i="2"/>
  <c r="Z32" i="2"/>
  <c r="X33" i="2"/>
  <c r="Y33" i="2"/>
  <c r="Z33" i="2"/>
  <c r="X34" i="2"/>
  <c r="Y34" i="2"/>
  <c r="Z34" i="2"/>
  <c r="X35" i="2"/>
  <c r="Y35" i="2"/>
  <c r="Z35" i="2"/>
  <c r="X36" i="2"/>
  <c r="Y36" i="2"/>
  <c r="Z36" i="2"/>
  <c r="X37" i="2"/>
  <c r="Y37" i="2"/>
  <c r="Z37" i="2"/>
  <c r="X38" i="2"/>
  <c r="Y38" i="2"/>
  <c r="Z38" i="2"/>
  <c r="X39" i="2"/>
  <c r="Y39" i="2"/>
  <c r="Z39" i="2"/>
  <c r="X40" i="2"/>
  <c r="Y40" i="2"/>
  <c r="Z40" i="2"/>
  <c r="X41" i="2"/>
  <c r="Y41" i="2"/>
  <c r="Z41" i="2"/>
  <c r="X42" i="2"/>
  <c r="Y42" i="2"/>
  <c r="Z42" i="2"/>
  <c r="X43" i="2"/>
  <c r="Y43" i="2"/>
  <c r="Z43" i="2"/>
  <c r="X44" i="2"/>
  <c r="Y44" i="2"/>
  <c r="Z44" i="2"/>
  <c r="X45" i="2"/>
  <c r="Y45" i="2"/>
  <c r="Z45" i="2"/>
  <c r="W46" i="2"/>
  <c r="X46" i="2"/>
  <c r="Y46" i="2"/>
  <c r="Z46" i="2"/>
  <c r="X47" i="2"/>
  <c r="Y47" i="2"/>
  <c r="Z47" i="2"/>
  <c r="X48" i="2"/>
  <c r="Y48" i="2"/>
  <c r="Z48" i="2"/>
  <c r="W49" i="2"/>
  <c r="X49" i="2"/>
  <c r="Y49" i="2"/>
  <c r="Z49" i="2"/>
  <c r="X50" i="2"/>
  <c r="Y50" i="2"/>
  <c r="Z50" i="2"/>
  <c r="X51" i="2"/>
  <c r="Y51" i="2"/>
  <c r="Z51" i="2"/>
  <c r="X52" i="2"/>
  <c r="Y52" i="2"/>
  <c r="Z52" i="2"/>
  <c r="X53" i="2"/>
  <c r="Y53" i="2"/>
  <c r="Z53" i="2"/>
  <c r="X54" i="2"/>
  <c r="Y54" i="2"/>
  <c r="Z54" i="2"/>
  <c r="X55" i="2"/>
  <c r="Y55" i="2"/>
  <c r="Z55" i="2"/>
  <c r="X56" i="2"/>
  <c r="Y56" i="2"/>
  <c r="Z56" i="2"/>
  <c r="X57" i="2"/>
  <c r="Y57" i="2"/>
  <c r="Z57" i="2"/>
  <c r="X58" i="2"/>
  <c r="Y58" i="2"/>
  <c r="Z58" i="2"/>
  <c r="X59" i="2"/>
  <c r="Y59" i="2"/>
  <c r="Z59" i="2"/>
  <c r="X60" i="2"/>
  <c r="Z60" i="2"/>
  <c r="X61" i="2"/>
  <c r="Z61" i="2"/>
  <c r="X62" i="2"/>
  <c r="Z62" i="2"/>
  <c r="X63" i="2"/>
  <c r="Z63" i="2"/>
  <c r="X64" i="2"/>
  <c r="Z64" i="2"/>
  <c r="W65" i="2"/>
  <c r="X65" i="2"/>
  <c r="Y65" i="2"/>
  <c r="Z65" i="2"/>
  <c r="W66" i="2"/>
  <c r="X66" i="2"/>
  <c r="Y66" i="2"/>
  <c r="Z66" i="2"/>
  <c r="X67" i="2"/>
  <c r="Z67" i="2"/>
  <c r="X68" i="2"/>
  <c r="Z68" i="2"/>
  <c r="W69" i="2"/>
  <c r="X69" i="2"/>
  <c r="Y69" i="2"/>
  <c r="Z69" i="2"/>
  <c r="W70" i="2"/>
  <c r="X70" i="2"/>
  <c r="Y70" i="2"/>
  <c r="Z70" i="2"/>
  <c r="X71" i="2"/>
  <c r="Z71" i="2"/>
  <c r="X72" i="2"/>
  <c r="Z72" i="2"/>
  <c r="X73" i="2"/>
  <c r="Z73" i="2"/>
  <c r="X74" i="2"/>
  <c r="Z74" i="2"/>
  <c r="W75" i="2"/>
  <c r="X75" i="2"/>
  <c r="Y75" i="2"/>
  <c r="Z75" i="2"/>
  <c r="X76" i="2"/>
  <c r="Z76" i="2"/>
  <c r="X77" i="2"/>
  <c r="Z77" i="2"/>
  <c r="X78" i="2"/>
  <c r="Z78" i="2"/>
  <c r="X79" i="2"/>
  <c r="Z79" i="2"/>
  <c r="X80" i="2"/>
  <c r="Y80" i="2"/>
  <c r="Z80" i="2"/>
  <c r="X81" i="2"/>
  <c r="Y81" i="2"/>
  <c r="Z81" i="2"/>
  <c r="X82" i="2"/>
  <c r="Y82" i="2"/>
  <c r="Z82" i="2"/>
  <c r="X83" i="2"/>
  <c r="Y83" i="2"/>
  <c r="Z83" i="2"/>
  <c r="X84" i="2"/>
  <c r="Y84" i="2"/>
  <c r="Z84" i="2"/>
  <c r="X85" i="2"/>
  <c r="Y85" i="2"/>
  <c r="Z85" i="2"/>
  <c r="X86" i="2"/>
  <c r="Y86" i="2"/>
  <c r="Z86" i="2"/>
  <c r="W87" i="2"/>
  <c r="X87" i="2"/>
  <c r="Y87" i="2"/>
  <c r="Z87" i="2"/>
  <c r="X88" i="2"/>
  <c r="Z88" i="2"/>
  <c r="X89" i="2"/>
  <c r="Z89" i="2"/>
  <c r="X90" i="2"/>
  <c r="Z90" i="2"/>
  <c r="X91" i="2"/>
  <c r="Z91" i="2"/>
  <c r="W92" i="2"/>
  <c r="X92" i="2"/>
  <c r="Y92" i="2"/>
  <c r="Z92" i="2"/>
  <c r="X93" i="2"/>
  <c r="Y93" i="2"/>
  <c r="Z93" i="2"/>
  <c r="X94" i="2"/>
  <c r="Z94" i="2"/>
  <c r="X95" i="2"/>
  <c r="Z95" i="2"/>
  <c r="X96" i="2"/>
  <c r="Z96" i="2"/>
  <c r="X97" i="2"/>
  <c r="Z97" i="2"/>
  <c r="X98" i="2"/>
  <c r="Z98" i="2"/>
  <c r="X99" i="2"/>
  <c r="Y99" i="2"/>
  <c r="Z99" i="2"/>
  <c r="X100" i="2"/>
  <c r="Z100" i="2"/>
  <c r="X101" i="2"/>
  <c r="Z101" i="2"/>
  <c r="X102" i="2"/>
  <c r="Z102" i="2"/>
  <c r="X103" i="2"/>
  <c r="Z103" i="2"/>
  <c r="X104" i="2"/>
  <c r="Z104" i="2"/>
  <c r="X105" i="2"/>
  <c r="Z105" i="2"/>
  <c r="X106" i="2"/>
  <c r="Y106" i="2"/>
  <c r="Z106" i="2"/>
  <c r="X107" i="2"/>
  <c r="Y107" i="2"/>
  <c r="Z107" i="2"/>
  <c r="X108" i="2"/>
  <c r="Z108" i="2"/>
  <c r="X109" i="2"/>
  <c r="Z109" i="2"/>
  <c r="X110" i="2"/>
  <c r="Z110" i="2"/>
  <c r="X111" i="2"/>
  <c r="Z111" i="2"/>
  <c r="X112" i="2"/>
  <c r="Z112" i="2"/>
  <c r="X113" i="2"/>
  <c r="Z113" i="2"/>
  <c r="X114" i="2"/>
  <c r="Z114" i="2"/>
  <c r="X115" i="2"/>
  <c r="Z115" i="2"/>
  <c r="X116" i="2"/>
  <c r="Z116" i="2"/>
  <c r="X117" i="2"/>
  <c r="Z117" i="2"/>
  <c r="X118" i="2"/>
  <c r="Z118" i="2"/>
  <c r="X119" i="2"/>
  <c r="Z119" i="2"/>
  <c r="X120" i="2"/>
  <c r="Z120" i="2"/>
  <c r="X121" i="2"/>
  <c r="Z121" i="2"/>
  <c r="X122" i="2"/>
  <c r="Z122" i="2"/>
  <c r="X123" i="2"/>
  <c r="Z123" i="2"/>
  <c r="W124" i="2"/>
  <c r="X124" i="2"/>
  <c r="Y124" i="2"/>
  <c r="Z124" i="2"/>
  <c r="W125" i="2"/>
  <c r="X125" i="2"/>
  <c r="Y125" i="2"/>
  <c r="Z125" i="2"/>
  <c r="W126" i="2"/>
  <c r="X126" i="2"/>
  <c r="Y126" i="2"/>
  <c r="Z126" i="2"/>
  <c r="W127" i="2"/>
  <c r="X127" i="2"/>
  <c r="Y127" i="2"/>
  <c r="Z127" i="2"/>
  <c r="W128" i="2"/>
  <c r="X128" i="2"/>
  <c r="Y128" i="2"/>
  <c r="Z128" i="2"/>
  <c r="W129" i="2"/>
  <c r="X129" i="2"/>
  <c r="Y129" i="2"/>
  <c r="Z129" i="2"/>
  <c r="W130" i="2"/>
  <c r="X130" i="2"/>
  <c r="Y130" i="2"/>
  <c r="Z130" i="2"/>
  <c r="W131" i="2"/>
  <c r="X131" i="2"/>
  <c r="Y131" i="2"/>
  <c r="Z131" i="2"/>
  <c r="W132" i="2"/>
  <c r="X132" i="2"/>
  <c r="Y132" i="2"/>
  <c r="Z132" i="2"/>
  <c r="W133" i="2"/>
  <c r="X133" i="2"/>
  <c r="Y133" i="2"/>
  <c r="Z133" i="2"/>
  <c r="W134" i="2"/>
  <c r="X134" i="2"/>
  <c r="Y134" i="2"/>
  <c r="Z134" i="2"/>
  <c r="W135" i="2"/>
  <c r="X135" i="2"/>
  <c r="Y135" i="2"/>
  <c r="Z135" i="2"/>
  <c r="W136" i="2"/>
  <c r="X136" i="2"/>
  <c r="Y136" i="2"/>
  <c r="Z136" i="2"/>
  <c r="X137" i="2"/>
  <c r="Z137" i="2"/>
  <c r="X138" i="2"/>
  <c r="Z138" i="2"/>
  <c r="X139" i="2"/>
  <c r="Z139" i="2"/>
  <c r="X140" i="2"/>
  <c r="Z140" i="2"/>
  <c r="X141" i="2"/>
  <c r="Z141" i="2"/>
  <c r="X142" i="2"/>
  <c r="Z142" i="2"/>
  <c r="W143" i="2"/>
  <c r="X143" i="2"/>
  <c r="Y143" i="2"/>
  <c r="Z143" i="2"/>
  <c r="W144" i="2"/>
  <c r="X144" i="2"/>
  <c r="Y144" i="2"/>
  <c r="Z144" i="2"/>
  <c r="X145" i="2"/>
  <c r="Z145" i="2"/>
  <c r="X146" i="2"/>
  <c r="Z146" i="2"/>
  <c r="X147" i="2"/>
  <c r="Z147" i="2"/>
  <c r="X148" i="2"/>
  <c r="Z148" i="2"/>
  <c r="AE148" i="2"/>
  <c r="X149" i="2"/>
  <c r="Y149" i="2"/>
  <c r="Z149" i="2"/>
  <c r="X150" i="2"/>
  <c r="Z150" i="2"/>
  <c r="W151" i="2"/>
  <c r="X151" i="2"/>
  <c r="Y151" i="2"/>
  <c r="Z151" i="2"/>
  <c r="X152" i="2"/>
  <c r="Z152" i="2"/>
  <c r="X153" i="2"/>
  <c r="Z153" i="2"/>
  <c r="X154" i="2"/>
  <c r="Y154" i="2"/>
  <c r="Z154" i="2"/>
  <c r="X155" i="2"/>
  <c r="Y155" i="2"/>
  <c r="Z155" i="2"/>
  <c r="X156" i="2"/>
  <c r="Y156" i="2"/>
  <c r="Z156" i="2"/>
  <c r="AE156" i="2"/>
  <c r="X157" i="2"/>
  <c r="Y157" i="2"/>
  <c r="Z157" i="2"/>
  <c r="X158" i="2"/>
  <c r="Y158" i="2"/>
  <c r="Z158" i="2"/>
  <c r="X159" i="2"/>
  <c r="Y159" i="2"/>
  <c r="Z159" i="2"/>
  <c r="X160" i="2"/>
  <c r="Y160" i="2"/>
  <c r="Z160" i="2"/>
  <c r="X161" i="2"/>
  <c r="Y161" i="2"/>
  <c r="Z161" i="2"/>
  <c r="X162" i="2"/>
  <c r="Y162" i="2"/>
  <c r="Z162" i="2"/>
  <c r="X163" i="2"/>
  <c r="Y163" i="2"/>
  <c r="Z163" i="2"/>
  <c r="X164" i="2"/>
  <c r="Y164" i="2"/>
  <c r="Z164" i="2"/>
  <c r="X165" i="2"/>
  <c r="Y165" i="2"/>
  <c r="Z165" i="2"/>
  <c r="X166" i="2"/>
  <c r="Y166" i="2"/>
  <c r="Z166" i="2"/>
  <c r="X167" i="2"/>
  <c r="Y167" i="2"/>
  <c r="Z167" i="2"/>
  <c r="X168" i="2"/>
  <c r="Y168" i="2"/>
  <c r="Z168" i="2"/>
  <c r="X169" i="2"/>
  <c r="Y169" i="2"/>
  <c r="Z169" i="2"/>
  <c r="X170" i="2"/>
  <c r="Y170" i="2"/>
  <c r="Z170" i="2"/>
  <c r="X171" i="2"/>
  <c r="Y171" i="2"/>
  <c r="Z171" i="2"/>
  <c r="X172" i="2"/>
  <c r="Y172" i="2"/>
  <c r="Z172" i="2"/>
  <c r="X173" i="2"/>
  <c r="Y173" i="2"/>
  <c r="Z173" i="2"/>
  <c r="X174" i="2"/>
  <c r="Y174" i="2"/>
  <c r="Z174" i="2"/>
  <c r="X175" i="2"/>
  <c r="Y175" i="2"/>
  <c r="Z175" i="2"/>
  <c r="W176" i="2"/>
  <c r="X176" i="2"/>
  <c r="Y176" i="2"/>
  <c r="Z176" i="2"/>
  <c r="W177" i="2"/>
  <c r="X177" i="2"/>
  <c r="Y177" i="2"/>
  <c r="Z177" i="2"/>
  <c r="W178" i="2"/>
  <c r="X178" i="2"/>
  <c r="Y178" i="2"/>
  <c r="Z178" i="2"/>
  <c r="W179" i="2"/>
  <c r="X179" i="2"/>
  <c r="Y179" i="2"/>
  <c r="Z179" i="2"/>
  <c r="W180" i="2"/>
  <c r="X180" i="2"/>
  <c r="Y180" i="2"/>
  <c r="Z180" i="2"/>
  <c r="W181" i="2"/>
  <c r="X181" i="2"/>
  <c r="Y181" i="2"/>
  <c r="Z181" i="2"/>
  <c r="W182" i="2"/>
  <c r="X182" i="2"/>
  <c r="Y182" i="2"/>
  <c r="Z182" i="2"/>
  <c r="W183" i="2"/>
  <c r="X183" i="2"/>
  <c r="Y183" i="2"/>
  <c r="Z183" i="2"/>
  <c r="W184" i="2"/>
  <c r="X184" i="2"/>
  <c r="Y184" i="2"/>
  <c r="Z184" i="2"/>
  <c r="W185" i="2"/>
  <c r="X185" i="2"/>
  <c r="Y185" i="2"/>
  <c r="Z185" i="2"/>
  <c r="W186" i="2"/>
  <c r="X186" i="2"/>
  <c r="Y186" i="2"/>
  <c r="Z186" i="2"/>
  <c r="W187" i="2"/>
  <c r="X187" i="2"/>
  <c r="Y187" i="2"/>
  <c r="Z187" i="2"/>
  <c r="W188" i="2"/>
  <c r="X188" i="2"/>
  <c r="Y188" i="2"/>
  <c r="Z188" i="2"/>
  <c r="W189" i="2"/>
  <c r="X189" i="2"/>
  <c r="Y189" i="2"/>
  <c r="Z189" i="2"/>
  <c r="W190" i="2"/>
  <c r="X190" i="2"/>
  <c r="Y190" i="2"/>
  <c r="Z190" i="2"/>
  <c r="W191" i="2"/>
  <c r="X191" i="2"/>
  <c r="Y191" i="2"/>
  <c r="Z191" i="2"/>
  <c r="X192" i="2"/>
  <c r="Y192" i="2"/>
  <c r="Z192" i="2"/>
  <c r="X193" i="2"/>
  <c r="Y193" i="2"/>
  <c r="Z193" i="2"/>
  <c r="X194" i="2"/>
  <c r="Y194" i="2"/>
  <c r="Z194" i="2"/>
  <c r="X195" i="2"/>
  <c r="Y195" i="2"/>
  <c r="Z195" i="2"/>
  <c r="X196" i="2"/>
  <c r="Y196" i="2"/>
  <c r="Z196" i="2"/>
  <c r="X197" i="2"/>
  <c r="Y197" i="2"/>
  <c r="Z197" i="2"/>
  <c r="X198" i="2"/>
  <c r="Y198" i="2"/>
  <c r="Z198" i="2"/>
  <c r="X199" i="2"/>
  <c r="Y199" i="2"/>
  <c r="Z199" i="2"/>
  <c r="X200" i="2"/>
  <c r="Y200" i="2"/>
  <c r="Z200" i="2"/>
  <c r="X201" i="2"/>
  <c r="Y201" i="2"/>
  <c r="Z201" i="2"/>
  <c r="X202" i="2"/>
  <c r="Y202" i="2"/>
  <c r="Z202" i="2"/>
  <c r="X203" i="2"/>
  <c r="Y203" i="2"/>
  <c r="Z203" i="2"/>
  <c r="W207" i="2"/>
  <c r="X207" i="2"/>
  <c r="Y207" i="2"/>
  <c r="Z207" i="2"/>
  <c r="W208" i="2"/>
  <c r="X208" i="2"/>
  <c r="Y208" i="2"/>
  <c r="Z208" i="2"/>
  <c r="X212" i="2"/>
  <c r="Z212" i="2"/>
  <c r="X216" i="2"/>
  <c r="Y216" i="2"/>
  <c r="Z216" i="2"/>
  <c r="Z217" i="2"/>
  <c r="X218" i="2"/>
  <c r="Y218" i="2"/>
  <c r="Z218" i="2"/>
  <c r="X219" i="2"/>
  <c r="Y219" i="2"/>
  <c r="Z219" i="2"/>
  <c r="X220" i="2"/>
  <c r="Y220" i="2"/>
  <c r="Z220" i="2"/>
  <c r="X221" i="2"/>
  <c r="Y221" i="2"/>
  <c r="Z221" i="2"/>
  <c r="X222" i="2"/>
  <c r="Z222" i="2"/>
  <c r="X223" i="2"/>
  <c r="Z223" i="2"/>
  <c r="X224" i="2"/>
  <c r="Z224" i="2"/>
  <c r="X226" i="2"/>
  <c r="Z226" i="2"/>
  <c r="X229" i="2"/>
  <c r="Y229" i="2"/>
  <c r="Z229" i="2"/>
  <c r="X230" i="2"/>
  <c r="Z230" i="2"/>
  <c r="X231" i="2"/>
  <c r="Z231" i="2"/>
  <c r="W239" i="2"/>
  <c r="X239" i="2"/>
  <c r="Y239" i="2"/>
  <c r="Z239" i="2"/>
  <c r="W240" i="2"/>
  <c r="X240" i="2"/>
  <c r="Y240" i="2"/>
  <c r="Z240" i="2"/>
  <c r="W241" i="2"/>
  <c r="X241" i="2"/>
  <c r="Y241" i="2"/>
  <c r="Z241" i="2"/>
  <c r="W242" i="2"/>
  <c r="X242" i="2"/>
  <c r="Y242" i="2"/>
  <c r="Z242" i="2"/>
  <c r="W243" i="2"/>
  <c r="X243" i="2"/>
  <c r="Y243" i="2"/>
  <c r="Z243" i="2"/>
  <c r="X244" i="2"/>
  <c r="Z244" i="2"/>
  <c r="X245" i="2"/>
  <c r="Z245" i="2"/>
  <c r="W246" i="2"/>
  <c r="X246" i="2"/>
  <c r="Y246" i="2"/>
  <c r="Z246" i="2"/>
  <c r="Z247" i="2"/>
  <c r="Z248" i="2"/>
  <c r="X249" i="2"/>
  <c r="Z249" i="2"/>
  <c r="X250" i="2"/>
  <c r="Z250" i="2"/>
  <c r="X251" i="2"/>
  <c r="Z251" i="2"/>
  <c r="X252" i="2"/>
  <c r="Z252" i="2"/>
  <c r="Z253" i="2"/>
  <c r="Z254" i="2"/>
  <c r="X255" i="2"/>
  <c r="Z255" i="2"/>
  <c r="X256" i="2"/>
  <c r="Z256" i="2"/>
  <c r="Z257" i="2"/>
  <c r="X258" i="2"/>
  <c r="Z258" i="2"/>
  <c r="Z259" i="2"/>
  <c r="X260" i="2"/>
  <c r="Z260" i="2"/>
  <c r="X261" i="2"/>
  <c r="Z261" i="2"/>
  <c r="Z262" i="2"/>
  <c r="Z263" i="2"/>
  <c r="X264" i="2"/>
  <c r="Z264" i="2"/>
  <c r="Z265" i="2"/>
  <c r="X266" i="2"/>
  <c r="Y266" i="2"/>
  <c r="Z266" i="2"/>
  <c r="X267" i="2"/>
  <c r="Y267" i="2"/>
  <c r="Z267" i="2"/>
  <c r="X268" i="2"/>
  <c r="Y268" i="2"/>
  <c r="Z268" i="2"/>
  <c r="W269" i="2"/>
  <c r="X269" i="2"/>
  <c r="Y269" i="2"/>
  <c r="Z269" i="2"/>
  <c r="X270" i="2"/>
  <c r="Z270" i="2"/>
  <c r="X271" i="2"/>
  <c r="Y271" i="2"/>
  <c r="Z271" i="2"/>
  <c r="X272" i="2"/>
  <c r="Z272" i="2"/>
  <c r="X273" i="2"/>
  <c r="Z273" i="2"/>
  <c r="X274" i="2"/>
  <c r="Z274" i="2"/>
  <c r="X275" i="2"/>
  <c r="Z275" i="2"/>
  <c r="X276" i="2"/>
  <c r="Z276" i="2"/>
  <c r="X277" i="2"/>
  <c r="Z277" i="2"/>
  <c r="X278" i="2"/>
  <c r="Z278" i="2"/>
  <c r="X279" i="2"/>
  <c r="Y279" i="2"/>
  <c r="Z279" i="2"/>
  <c r="X280" i="2"/>
  <c r="Z280" i="2"/>
  <c r="X281" i="2"/>
  <c r="Z281" i="2"/>
  <c r="X282" i="2"/>
  <c r="Z282" i="2"/>
  <c r="X283" i="2"/>
  <c r="Z283" i="2"/>
  <c r="W284" i="2"/>
  <c r="X284" i="2"/>
  <c r="Y284" i="2"/>
  <c r="Z284" i="2"/>
  <c r="X285" i="2"/>
  <c r="Y285" i="2"/>
  <c r="Z285" i="2"/>
  <c r="X286" i="2"/>
  <c r="Y286" i="2"/>
  <c r="Z286" i="2"/>
  <c r="X287" i="2"/>
  <c r="Y287" i="2"/>
  <c r="Z287" i="2"/>
  <c r="X288" i="2"/>
  <c r="Y288" i="2"/>
  <c r="Z288" i="2"/>
  <c r="X289" i="2"/>
  <c r="Y289" i="2"/>
  <c r="Z289" i="2"/>
  <c r="X290" i="2"/>
  <c r="Y290" i="2"/>
  <c r="Z290" i="2"/>
  <c r="X291" i="2"/>
  <c r="Y291" i="2"/>
  <c r="Z291" i="2"/>
  <c r="X292" i="2"/>
  <c r="Y292" i="2"/>
  <c r="Z292" i="2"/>
  <c r="X293" i="2"/>
  <c r="Y293" i="2"/>
  <c r="Z293" i="2"/>
  <c r="X294" i="2"/>
  <c r="Y294" i="2"/>
  <c r="Z294" i="2"/>
  <c r="X295" i="2"/>
  <c r="Y295" i="2"/>
  <c r="Z295" i="2"/>
  <c r="X296" i="2"/>
  <c r="Y296" i="2"/>
  <c r="Z296" i="2"/>
  <c r="X297" i="2"/>
  <c r="Y297" i="2"/>
  <c r="Z297" i="2"/>
  <c r="X298" i="2"/>
  <c r="Y298" i="2"/>
  <c r="Z298" i="2"/>
  <c r="X299" i="2"/>
  <c r="Y299" i="2"/>
  <c r="Z299" i="2"/>
  <c r="X300" i="2"/>
  <c r="Y300" i="2"/>
  <c r="Z300" i="2"/>
  <c r="X301" i="2"/>
  <c r="Y301" i="2"/>
  <c r="Z301" i="2"/>
  <c r="X302" i="2"/>
  <c r="Y302" i="2"/>
  <c r="Z302" i="2"/>
  <c r="X303" i="2"/>
  <c r="Y303" i="2"/>
  <c r="Z303" i="2"/>
  <c r="X304" i="2"/>
  <c r="Y304" i="2"/>
  <c r="Z304" i="2"/>
  <c r="X305" i="2"/>
  <c r="Y305" i="2"/>
  <c r="Z305" i="2"/>
  <c r="X306" i="2"/>
  <c r="Y306" i="2"/>
  <c r="Z306" i="2"/>
  <c r="X307" i="2"/>
  <c r="Y307" i="2"/>
  <c r="Z307" i="2"/>
  <c r="X308" i="2"/>
  <c r="Y308" i="2"/>
  <c r="Z308" i="2"/>
  <c r="X309" i="2"/>
  <c r="Y309" i="2"/>
  <c r="Z309" i="2"/>
  <c r="X310" i="2"/>
  <c r="Y310" i="2"/>
  <c r="Z310" i="2"/>
  <c r="X311" i="2"/>
  <c r="Y311" i="2"/>
  <c r="Z311" i="2"/>
  <c r="X312" i="2"/>
  <c r="Y312" i="2"/>
  <c r="Z312" i="2"/>
  <c r="X313" i="2"/>
  <c r="Y313" i="2"/>
  <c r="Z313" i="2"/>
  <c r="X314" i="2"/>
  <c r="Y314" i="2"/>
  <c r="Z314" i="2"/>
  <c r="X315" i="2"/>
  <c r="Y315" i="2"/>
  <c r="Z315" i="2"/>
  <c r="X316" i="2"/>
  <c r="Y316" i="2"/>
  <c r="Z316" i="2"/>
  <c r="X317" i="2"/>
  <c r="Y317" i="2"/>
  <c r="Z317" i="2"/>
  <c r="X318" i="2"/>
  <c r="Y318" i="2"/>
  <c r="Z318" i="2"/>
  <c r="X319" i="2"/>
  <c r="Y319" i="2"/>
  <c r="Z319" i="2"/>
  <c r="X320" i="2"/>
  <c r="Y320" i="2"/>
  <c r="Z320" i="2"/>
  <c r="W321" i="2"/>
  <c r="X321" i="2"/>
  <c r="Y321" i="2"/>
  <c r="Z321" i="2"/>
  <c r="W322" i="2"/>
  <c r="X322" i="2"/>
  <c r="Y322" i="2"/>
  <c r="Z322" i="2"/>
  <c r="W323" i="2"/>
  <c r="X323" i="2"/>
  <c r="Y323" i="2"/>
  <c r="Z323" i="2"/>
  <c r="W324" i="2"/>
  <c r="X324" i="2"/>
  <c r="Y324" i="2"/>
  <c r="Z324" i="2"/>
  <c r="W325" i="2"/>
  <c r="X325" i="2"/>
  <c r="Y325" i="2"/>
  <c r="Z325" i="2"/>
  <c r="W326" i="2"/>
  <c r="X326" i="2"/>
  <c r="Y326" i="2"/>
  <c r="Z326" i="2"/>
  <c r="W327" i="2"/>
  <c r="X327" i="2"/>
  <c r="Y327" i="2"/>
  <c r="Z327" i="2"/>
  <c r="W328" i="2"/>
  <c r="X328" i="2"/>
  <c r="Y328" i="2"/>
  <c r="Z328" i="2"/>
  <c r="W329" i="2"/>
  <c r="X329" i="2"/>
  <c r="Y329" i="2"/>
  <c r="Z329" i="2"/>
  <c r="W330" i="2"/>
  <c r="X330" i="2"/>
  <c r="Y330" i="2"/>
  <c r="Z330" i="2"/>
  <c r="W331" i="2"/>
  <c r="X331" i="2"/>
  <c r="Y331" i="2"/>
  <c r="Z331" i="2"/>
  <c r="W332" i="2"/>
  <c r="X332" i="2"/>
  <c r="Y332" i="2"/>
  <c r="Z332" i="2"/>
  <c r="W333" i="2"/>
  <c r="X333" i="2"/>
  <c r="Y333" i="2"/>
  <c r="Z333" i="2"/>
  <c r="W334" i="2"/>
  <c r="X334" i="2"/>
  <c r="Y334" i="2"/>
  <c r="Z334" i="2"/>
  <c r="W335" i="2"/>
  <c r="X335" i="2"/>
  <c r="Y335" i="2"/>
  <c r="Z335" i="2"/>
  <c r="W336" i="2"/>
  <c r="X336" i="2"/>
  <c r="Y336" i="2"/>
  <c r="Z336" i="2"/>
  <c r="W337" i="2"/>
  <c r="X337" i="2"/>
  <c r="Y337" i="2"/>
  <c r="Z337" i="2"/>
  <c r="W338" i="2"/>
  <c r="X338" i="2"/>
  <c r="Y338" i="2"/>
  <c r="Z338" i="2"/>
  <c r="W339" i="2"/>
  <c r="X339" i="2"/>
  <c r="Y339" i="2"/>
  <c r="Z339" i="2"/>
  <c r="W340" i="2"/>
  <c r="X340" i="2"/>
  <c r="Y340" i="2"/>
  <c r="Z340" i="2"/>
  <c r="W341" i="2"/>
  <c r="X341" i="2"/>
  <c r="Y341" i="2"/>
  <c r="Z341" i="2"/>
  <c r="W342" i="2"/>
  <c r="X342" i="2"/>
  <c r="Y342" i="2"/>
  <c r="Z342" i="2"/>
  <c r="W343" i="2"/>
  <c r="X343" i="2"/>
  <c r="Y343" i="2"/>
  <c r="Z343" i="2"/>
  <c r="W344" i="2"/>
  <c r="X344" i="2"/>
  <c r="Y344" i="2"/>
  <c r="Z344" i="2"/>
  <c r="W345" i="2"/>
  <c r="X345" i="2"/>
  <c r="Y345" i="2"/>
  <c r="Z345" i="2"/>
  <c r="W346" i="2"/>
  <c r="X346" i="2"/>
  <c r="Y346" i="2"/>
  <c r="Z346" i="2"/>
  <c r="W347" i="2"/>
  <c r="X347" i="2"/>
  <c r="Y347" i="2"/>
  <c r="Z347" i="2"/>
  <c r="X348" i="2"/>
  <c r="Y348" i="2"/>
  <c r="Z348" i="2"/>
  <c r="X349" i="2"/>
  <c r="Y349" i="2"/>
  <c r="Z349" i="2"/>
  <c r="X350" i="2"/>
  <c r="Y350" i="2"/>
  <c r="Z350" i="2"/>
  <c r="X351" i="2"/>
  <c r="Y351" i="2"/>
  <c r="Z351" i="2"/>
  <c r="X352" i="2"/>
  <c r="Y352" i="2"/>
  <c r="Z352" i="2"/>
  <c r="X353" i="2"/>
  <c r="Y353" i="2"/>
  <c r="Z353" i="2"/>
  <c r="X354" i="2"/>
  <c r="Y354" i="2"/>
  <c r="Z354" i="2"/>
  <c r="X355" i="2"/>
  <c r="Y355" i="2"/>
  <c r="Z355" i="2"/>
  <c r="X356" i="2"/>
  <c r="Y356" i="2"/>
  <c r="Z356" i="2"/>
  <c r="X357" i="2"/>
  <c r="Y357" i="2"/>
  <c r="Z357" i="2"/>
  <c r="X358" i="2"/>
  <c r="Y358" i="2"/>
  <c r="Z358" i="2"/>
  <c r="X359" i="2"/>
  <c r="Y359" i="2"/>
  <c r="Z359" i="2"/>
  <c r="X360" i="2"/>
  <c r="Y360" i="2"/>
  <c r="Z360" i="2"/>
  <c r="X361" i="2"/>
  <c r="Y361" i="2"/>
  <c r="Z361" i="2"/>
  <c r="X362" i="2"/>
  <c r="Y362" i="2"/>
  <c r="Z362" i="2"/>
  <c r="X363" i="2"/>
  <c r="Y363" i="2"/>
  <c r="Z363" i="2"/>
  <c r="X364" i="2"/>
  <c r="Y364" i="2"/>
  <c r="Z364" i="2"/>
  <c r="X365" i="2"/>
  <c r="Y365" i="2"/>
  <c r="Z365" i="2"/>
  <c r="X366" i="2"/>
  <c r="Y366" i="2"/>
  <c r="Z366" i="2"/>
  <c r="X367" i="2"/>
  <c r="Y367" i="2"/>
  <c r="Z367" i="2"/>
  <c r="X217" i="2" l="1"/>
  <c r="R217" i="2" s="1"/>
  <c r="Q21" i="2"/>
  <c r="U265" i="2" l="1"/>
  <c r="B3" i="41"/>
  <c r="B1" i="41" l="1"/>
  <c r="B2" i="41"/>
  <c r="K52" i="38" l="1"/>
  <c r="K60" i="38" l="1"/>
  <c r="K59" i="38"/>
  <c r="K58" i="38"/>
  <c r="K57" i="38"/>
  <c r="K56" i="38"/>
  <c r="K55" i="38"/>
  <c r="K54" i="38"/>
  <c r="K53" i="38"/>
  <c r="K51" i="38"/>
  <c r="K50" i="38"/>
  <c r="E14" i="40"/>
  <c r="E15" i="40"/>
  <c r="E16" i="40"/>
  <c r="E17" i="40"/>
  <c r="E18" i="40"/>
  <c r="E19" i="40"/>
  <c r="E20" i="40"/>
  <c r="E21" i="40"/>
  <c r="E22" i="40"/>
  <c r="E23" i="40"/>
  <c r="E24" i="40"/>
  <c r="E25" i="40"/>
  <c r="E26" i="40"/>
  <c r="E27" i="40"/>
  <c r="E28" i="40"/>
  <c r="E13" i="40"/>
  <c r="B5" i="40"/>
  <c r="B6" i="40"/>
  <c r="B7" i="40"/>
  <c r="B8" i="40"/>
  <c r="B3" i="40"/>
  <c r="A4" i="40"/>
  <c r="A5" i="40"/>
  <c r="A6" i="40"/>
  <c r="A7" i="40"/>
  <c r="A8" i="40"/>
  <c r="A3" i="40"/>
  <c r="P30" i="40" l="1"/>
  <c r="L28" i="40"/>
  <c r="K28" i="40"/>
  <c r="J28" i="40"/>
  <c r="I28" i="40"/>
  <c r="F28" i="40"/>
  <c r="L27" i="40"/>
  <c r="K27" i="40"/>
  <c r="J27" i="40"/>
  <c r="I27" i="40"/>
  <c r="F27" i="40"/>
  <c r="L26" i="40"/>
  <c r="K26" i="40"/>
  <c r="J26" i="40"/>
  <c r="I26" i="40"/>
  <c r="F26" i="40"/>
  <c r="L25" i="40"/>
  <c r="K25" i="40"/>
  <c r="J25" i="40"/>
  <c r="I25" i="40"/>
  <c r="F25" i="40"/>
  <c r="L24" i="40"/>
  <c r="K24" i="40"/>
  <c r="J24" i="40"/>
  <c r="I24" i="40"/>
  <c r="F24" i="40"/>
  <c r="L23" i="40"/>
  <c r="K23" i="40"/>
  <c r="J23" i="40"/>
  <c r="I23" i="40"/>
  <c r="F23" i="40"/>
  <c r="L22" i="40"/>
  <c r="K22" i="40"/>
  <c r="J22" i="40"/>
  <c r="I22" i="40"/>
  <c r="F22" i="40"/>
  <c r="L21" i="40"/>
  <c r="K21" i="40"/>
  <c r="J21" i="40"/>
  <c r="I21" i="40"/>
  <c r="F21" i="40"/>
  <c r="L20" i="40"/>
  <c r="K20" i="40"/>
  <c r="J20" i="40"/>
  <c r="I20" i="40"/>
  <c r="F20" i="40"/>
  <c r="L19" i="40"/>
  <c r="K19" i="40"/>
  <c r="J19" i="40"/>
  <c r="I19" i="40"/>
  <c r="F19" i="40"/>
  <c r="L18" i="40"/>
  <c r="K18" i="40"/>
  <c r="J18" i="40"/>
  <c r="I18" i="40"/>
  <c r="F18" i="40"/>
  <c r="L17" i="40"/>
  <c r="K17" i="40"/>
  <c r="J17" i="40"/>
  <c r="I17" i="40"/>
  <c r="F17" i="40"/>
  <c r="L16" i="40"/>
  <c r="K16" i="40"/>
  <c r="J16" i="40"/>
  <c r="F16" i="40"/>
  <c r="I16" i="40" s="1"/>
  <c r="L15" i="40"/>
  <c r="K15" i="40"/>
  <c r="J15" i="40"/>
  <c r="F15" i="40"/>
  <c r="I15" i="40" s="1"/>
  <c r="L14" i="40"/>
  <c r="K14" i="40"/>
  <c r="J14" i="40"/>
  <c r="F14" i="40"/>
  <c r="I14" i="40" s="1"/>
  <c r="L13" i="40"/>
  <c r="K13" i="40"/>
  <c r="J13" i="40"/>
  <c r="F13" i="40"/>
  <c r="I13" i="40" s="1"/>
  <c r="B4" i="40"/>
  <c r="N27" i="40" l="1"/>
  <c r="Q27" i="40" s="1"/>
  <c r="N14" i="40"/>
  <c r="Q14" i="40" s="1"/>
  <c r="N19" i="40"/>
  <c r="Q19" i="40" s="1"/>
  <c r="N28" i="40"/>
  <c r="Q28" i="40" s="1"/>
  <c r="N17" i="40"/>
  <c r="Q17" i="40" s="1"/>
  <c r="N25" i="40"/>
  <c r="Q25" i="40" s="1"/>
  <c r="N15" i="40"/>
  <c r="Q15" i="40" s="1"/>
  <c r="N16" i="40"/>
  <c r="Q16" i="40" s="1"/>
  <c r="N22" i="40"/>
  <c r="Q22" i="40" s="1"/>
  <c r="N18" i="40"/>
  <c r="Q18" i="40" s="1"/>
  <c r="N20" i="40"/>
  <c r="Q20" i="40" s="1"/>
  <c r="N26" i="40"/>
  <c r="Q26" i="40" s="1"/>
  <c r="N24" i="40"/>
  <c r="Q24" i="40" s="1"/>
  <c r="N23" i="40"/>
  <c r="Q23" i="40" s="1"/>
  <c r="N21" i="40"/>
  <c r="Q21" i="40" s="1"/>
  <c r="N13" i="40"/>
  <c r="Q13" i="40" s="1"/>
  <c r="Q30" i="40" l="1"/>
  <c r="H23" i="31" s="1"/>
  <c r="P47" i="37" s="1"/>
  <c r="B3" i="35"/>
  <c r="B5" i="35"/>
  <c r="B6" i="35"/>
  <c r="B7" i="35"/>
  <c r="B8" i="35"/>
  <c r="B4" i="35"/>
  <c r="A4" i="35"/>
  <c r="A5" i="35"/>
  <c r="A6" i="35"/>
  <c r="A7" i="35"/>
  <c r="A8" i="35"/>
  <c r="A3" i="35"/>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J11" i="2"/>
  <c r="AE11" i="2" s="1"/>
  <c r="J12" i="2"/>
  <c r="AE12" i="2" s="1"/>
  <c r="J13" i="2"/>
  <c r="AE13" i="2" s="1"/>
  <c r="J14" i="2"/>
  <c r="AE14" i="2" s="1"/>
  <c r="J15" i="2"/>
  <c r="AE15" i="2" s="1"/>
  <c r="J16" i="2"/>
  <c r="AE16" i="2" s="1"/>
  <c r="J17" i="2"/>
  <c r="AE17" i="2" s="1"/>
  <c r="J18" i="2"/>
  <c r="AE18" i="2" s="1"/>
  <c r="AE19" i="2"/>
  <c r="J20" i="2"/>
  <c r="AE20" i="2" s="1"/>
  <c r="J21" i="2"/>
  <c r="AE21" i="2" s="1"/>
  <c r="J22" i="2"/>
  <c r="AE22" i="2" s="1"/>
  <c r="J23" i="2"/>
  <c r="AE23" i="2" s="1"/>
  <c r="J24" i="2"/>
  <c r="AE24" i="2" s="1"/>
  <c r="J25" i="2"/>
  <c r="AE25" i="2" s="1"/>
  <c r="J26" i="2"/>
  <c r="AE26" i="2" s="1"/>
  <c r="J10" i="2"/>
  <c r="AE10" i="2" s="1"/>
  <c r="F15" i="31"/>
  <c r="H15" i="31" s="1"/>
  <c r="B6" i="28"/>
  <c r="B5" i="28"/>
  <c r="B3" i="28"/>
  <c r="A4" i="28"/>
  <c r="A5" i="28"/>
  <c r="A6" i="28"/>
  <c r="A3" i="28"/>
  <c r="W217" i="2" s="1"/>
  <c r="Q217" i="2" s="1"/>
  <c r="B7" i="2"/>
  <c r="B6" i="2"/>
  <c r="B5" i="2"/>
  <c r="B4" i="2"/>
  <c r="B3" i="2"/>
  <c r="C7" i="2"/>
  <c r="C6" i="2"/>
  <c r="C5" i="2"/>
  <c r="C3" i="2"/>
  <c r="K55" i="18"/>
  <c r="K56" i="18"/>
  <c r="K57" i="18"/>
  <c r="K58" i="18"/>
  <c r="K59" i="18"/>
  <c r="K60" i="18"/>
  <c r="K61" i="18"/>
  <c r="K54" i="18"/>
  <c r="K52" i="18"/>
  <c r="K51" i="18"/>
  <c r="H25" i="31"/>
  <c r="H24" i="31"/>
  <c r="W105" i="2" l="1"/>
  <c r="Q105" i="2" s="1"/>
  <c r="W265" i="2"/>
  <c r="B22" i="37"/>
  <c r="B23" i="37"/>
  <c r="B16" i="37"/>
  <c r="B24" i="37"/>
  <c r="B17" i="37"/>
  <c r="B25" i="37"/>
  <c r="B18" i="37"/>
  <c r="B26" i="37"/>
  <c r="B27" i="37"/>
  <c r="B19" i="37"/>
  <c r="B20" i="37"/>
  <c r="B28" i="37"/>
  <c r="B21" i="37"/>
  <c r="B15" i="37"/>
  <c r="W10" i="2"/>
  <c r="Q10" i="2" s="1"/>
  <c r="W14" i="2"/>
  <c r="Q14" i="2" s="1"/>
  <c r="W24" i="2"/>
  <c r="Q24" i="2" s="1"/>
  <c r="W59" i="2"/>
  <c r="Q59" i="2" s="1"/>
  <c r="W93" i="2"/>
  <c r="Q93" i="2" s="1"/>
  <c r="W95" i="2"/>
  <c r="Q95" i="2" s="1"/>
  <c r="W141" i="2"/>
  <c r="W154" i="2"/>
  <c r="Q154" i="2" s="1"/>
  <c r="W293" i="2"/>
  <c r="Q293" i="2" s="1"/>
  <c r="W351" i="2"/>
  <c r="Q351" i="2" s="1"/>
  <c r="W300" i="2"/>
  <c r="Q300" i="2" s="1"/>
  <c r="W315" i="2"/>
  <c r="Q315" i="2" s="1"/>
  <c r="W15" i="2"/>
  <c r="Q15" i="2" s="1"/>
  <c r="W25" i="2"/>
  <c r="Q25" i="2" s="1"/>
  <c r="W32" i="2"/>
  <c r="Q32" i="2" s="1"/>
  <c r="W34" i="2"/>
  <c r="Q34" i="2" s="1"/>
  <c r="W53" i="2"/>
  <c r="Q53" i="2" s="1"/>
  <c r="W55" i="2"/>
  <c r="Q55" i="2" s="1"/>
  <c r="W57" i="2"/>
  <c r="Q57" i="2" s="1"/>
  <c r="W89" i="2"/>
  <c r="Q89" i="2" s="1"/>
  <c r="W146" i="2"/>
  <c r="W156" i="2"/>
  <c r="Q156" i="2" s="1"/>
  <c r="W161" i="2"/>
  <c r="Q161" i="2" s="1"/>
  <c r="W166" i="2"/>
  <c r="Q166" i="2" s="1"/>
  <c r="W201" i="2"/>
  <c r="Q201" i="2" s="1"/>
  <c r="W285" i="2"/>
  <c r="Q285" i="2" s="1"/>
  <c r="W305" i="2"/>
  <c r="Q305" i="2" s="1"/>
  <c r="W359" i="2"/>
  <c r="Q359" i="2" s="1"/>
  <c r="W16" i="2"/>
  <c r="Q16" i="2" s="1"/>
  <c r="W26" i="2"/>
  <c r="Q26" i="2" s="1"/>
  <c r="W36" i="2"/>
  <c r="Q36" i="2" s="1"/>
  <c r="W138" i="2"/>
  <c r="W148" i="2"/>
  <c r="W163" i="2"/>
  <c r="Q163" i="2" s="1"/>
  <c r="W173" i="2"/>
  <c r="Q173" i="2" s="1"/>
  <c r="W193" i="2"/>
  <c r="Q193" i="2" s="1"/>
  <c r="W198" i="2"/>
  <c r="Q198" i="2" s="1"/>
  <c r="W290" i="2"/>
  <c r="Q290" i="2" s="1"/>
  <c r="W295" i="2"/>
  <c r="Q295" i="2" s="1"/>
  <c r="W307" i="2"/>
  <c r="Q307" i="2" s="1"/>
  <c r="W320" i="2"/>
  <c r="Q320" i="2" s="1"/>
  <c r="W348" i="2"/>
  <c r="Q348" i="2" s="1"/>
  <c r="W360" i="2"/>
  <c r="Q360" i="2" s="1"/>
  <c r="W365" i="2"/>
  <c r="Q365" i="2" s="1"/>
  <c r="W94" i="2"/>
  <c r="Q94" i="2" s="1"/>
  <c r="W147" i="2"/>
  <c r="W192" i="2"/>
  <c r="Q192" i="2" s="1"/>
  <c r="W289" i="2"/>
  <c r="Q289" i="2" s="1"/>
  <c r="W304" i="2"/>
  <c r="Q304" i="2" s="1"/>
  <c r="W19" i="2"/>
  <c r="Q19" i="2" s="1"/>
  <c r="W29" i="2"/>
  <c r="Q29" i="2" s="1"/>
  <c r="W38" i="2"/>
  <c r="Q38" i="2" s="1"/>
  <c r="W40" i="2"/>
  <c r="Q40" i="2" s="1"/>
  <c r="W42" i="2"/>
  <c r="Q42" i="2" s="1"/>
  <c r="W48" i="2"/>
  <c r="Q48" i="2" s="1"/>
  <c r="W50" i="2"/>
  <c r="Q50" i="2" s="1"/>
  <c r="W98" i="2"/>
  <c r="Q98" i="2" s="1"/>
  <c r="W140" i="2"/>
  <c r="W153" i="2"/>
  <c r="W158" i="2"/>
  <c r="Q158" i="2" s="1"/>
  <c r="W168" i="2"/>
  <c r="Q168" i="2" s="1"/>
  <c r="W195" i="2"/>
  <c r="Q195" i="2" s="1"/>
  <c r="W287" i="2"/>
  <c r="Q287" i="2" s="1"/>
  <c r="W292" i="2"/>
  <c r="Q292" i="2" s="1"/>
  <c r="W297" i="2"/>
  <c r="Q297" i="2" s="1"/>
  <c r="W302" i="2"/>
  <c r="Q302" i="2" s="1"/>
  <c r="W312" i="2"/>
  <c r="Q312" i="2" s="1"/>
  <c r="W317" i="2"/>
  <c r="Q317" i="2" s="1"/>
  <c r="W350" i="2"/>
  <c r="Q350" i="2" s="1"/>
  <c r="W357" i="2"/>
  <c r="Q357" i="2" s="1"/>
  <c r="W54" i="2"/>
  <c r="Q54" i="2" s="1"/>
  <c r="W137" i="2"/>
  <c r="W172" i="2"/>
  <c r="Q172" i="2" s="1"/>
  <c r="W197" i="2"/>
  <c r="Q197" i="2" s="1"/>
  <c r="W294" i="2"/>
  <c r="Q294" i="2" s="1"/>
  <c r="W314" i="2"/>
  <c r="Q314" i="2" s="1"/>
  <c r="W354" i="2"/>
  <c r="Q354" i="2" s="1"/>
  <c r="W20" i="2"/>
  <c r="Q20" i="2" s="1"/>
  <c r="W31" i="2"/>
  <c r="Q31" i="2" s="1"/>
  <c r="W52" i="2"/>
  <c r="Q52" i="2" s="1"/>
  <c r="W90" i="2"/>
  <c r="Q90" i="2" s="1"/>
  <c r="W96" i="2"/>
  <c r="Q96" i="2" s="1"/>
  <c r="W145" i="2"/>
  <c r="W150" i="2"/>
  <c r="W155" i="2"/>
  <c r="Q155" i="2" s="1"/>
  <c r="W165" i="2"/>
  <c r="Q165" i="2" s="1"/>
  <c r="W170" i="2"/>
  <c r="Q170" i="2" s="1"/>
  <c r="W175" i="2"/>
  <c r="Q175" i="2" s="1"/>
  <c r="W200" i="2"/>
  <c r="Q200" i="2" s="1"/>
  <c r="W299" i="2"/>
  <c r="Q299" i="2" s="1"/>
  <c r="W309" i="2"/>
  <c r="Q309" i="2" s="1"/>
  <c r="W362" i="2"/>
  <c r="Q362" i="2" s="1"/>
  <c r="W367" i="2"/>
  <c r="Q367" i="2" s="1"/>
  <c r="W11" i="2"/>
  <c r="Q11" i="2" s="1"/>
  <c r="W33" i="2"/>
  <c r="Q33" i="2" s="1"/>
  <c r="W35" i="2"/>
  <c r="Q35" i="2" s="1"/>
  <c r="W56" i="2"/>
  <c r="Q56" i="2" s="1"/>
  <c r="W142" i="2"/>
  <c r="W160" i="2"/>
  <c r="Q160" i="2" s="1"/>
  <c r="W319" i="2"/>
  <c r="Q319" i="2" s="1"/>
  <c r="W12" i="2"/>
  <c r="Q12" i="2" s="1"/>
  <c r="W22" i="2"/>
  <c r="Q22" i="2" s="1"/>
  <c r="W28" i="2"/>
  <c r="Q28" i="2" s="1"/>
  <c r="W88" i="2"/>
  <c r="Q88" i="2" s="1"/>
  <c r="W99" i="2"/>
  <c r="Q99" i="2" s="1"/>
  <c r="W139" i="2"/>
  <c r="W152" i="2"/>
  <c r="W157" i="2"/>
  <c r="Q157" i="2" s="1"/>
  <c r="W162" i="2"/>
  <c r="Q162" i="2" s="1"/>
  <c r="W167" i="2"/>
  <c r="Q167" i="2" s="1"/>
  <c r="W202" i="2"/>
  <c r="Q202" i="2" s="1"/>
  <c r="W286" i="2"/>
  <c r="Q286" i="2" s="1"/>
  <c r="W291" i="2"/>
  <c r="Q291" i="2" s="1"/>
  <c r="W301" i="2"/>
  <c r="Q301" i="2" s="1"/>
  <c r="W306" i="2"/>
  <c r="Q306" i="2" s="1"/>
  <c r="W311" i="2"/>
  <c r="Q311" i="2" s="1"/>
  <c r="W316" i="2"/>
  <c r="Q316" i="2" s="1"/>
  <c r="W356" i="2"/>
  <c r="Q356" i="2" s="1"/>
  <c r="W361" i="2"/>
  <c r="Q361" i="2" s="1"/>
  <c r="W288" i="2"/>
  <c r="Q288" i="2" s="1"/>
  <c r="W298" i="2"/>
  <c r="Q298" i="2" s="1"/>
  <c r="W313" i="2"/>
  <c r="Q313" i="2" s="1"/>
  <c r="W358" i="2"/>
  <c r="Q358" i="2" s="1"/>
  <c r="W310" i="2"/>
  <c r="Q310" i="2" s="1"/>
  <c r="W352" i="2"/>
  <c r="Q352" i="2" s="1"/>
  <c r="W13" i="2"/>
  <c r="Q13" i="2" s="1"/>
  <c r="W23" i="2"/>
  <c r="Q23" i="2" s="1"/>
  <c r="W30" i="2"/>
  <c r="Q30" i="2" s="1"/>
  <c r="W37" i="2"/>
  <c r="Q37" i="2" s="1"/>
  <c r="W39" i="2"/>
  <c r="Q39" i="2" s="1"/>
  <c r="W41" i="2"/>
  <c r="Q41" i="2" s="1"/>
  <c r="W43" i="2"/>
  <c r="Q43" i="2" s="1"/>
  <c r="W47" i="2"/>
  <c r="Q47" i="2" s="1"/>
  <c r="W51" i="2"/>
  <c r="Q51" i="2" s="1"/>
  <c r="W91" i="2"/>
  <c r="Q91" i="2" s="1"/>
  <c r="W97" i="2"/>
  <c r="Q97" i="2" s="1"/>
  <c r="W149" i="2"/>
  <c r="Q149" i="2" s="1"/>
  <c r="W164" i="2"/>
  <c r="Q164" i="2" s="1"/>
  <c r="W169" i="2"/>
  <c r="Q169" i="2" s="1"/>
  <c r="W174" i="2"/>
  <c r="Q174" i="2" s="1"/>
  <c r="W194" i="2"/>
  <c r="Q194" i="2" s="1"/>
  <c r="W199" i="2"/>
  <c r="Q199" i="2" s="1"/>
  <c r="W296" i="2"/>
  <c r="Q296" i="2" s="1"/>
  <c r="W308" i="2"/>
  <c r="Q308" i="2" s="1"/>
  <c r="W366" i="2"/>
  <c r="Q366" i="2" s="1"/>
  <c r="W159" i="2"/>
  <c r="Q159" i="2" s="1"/>
  <c r="W171" i="2"/>
  <c r="Q171" i="2" s="1"/>
  <c r="W196" i="2"/>
  <c r="Q196" i="2" s="1"/>
  <c r="W303" i="2"/>
  <c r="Q303" i="2" s="1"/>
  <c r="W318" i="2"/>
  <c r="Q318" i="2" s="1"/>
  <c r="W363" i="2"/>
  <c r="Q363" i="2" s="1"/>
  <c r="W355" i="2"/>
  <c r="Q355" i="2" s="1"/>
  <c r="W364" i="2"/>
  <c r="Q364" i="2" s="1"/>
  <c r="AB14" i="2"/>
  <c r="AB22" i="2"/>
  <c r="AB28" i="2"/>
  <c r="W45" i="2"/>
  <c r="Q45" i="2" s="1"/>
  <c r="AB52" i="2"/>
  <c r="W58" i="2"/>
  <c r="Q58" i="2" s="1"/>
  <c r="W62" i="2"/>
  <c r="Q62" i="2" s="1"/>
  <c r="AB71" i="2"/>
  <c r="AB82" i="2"/>
  <c r="W84" i="2"/>
  <c r="Q84" i="2" s="1"/>
  <c r="AB88" i="2"/>
  <c r="AB95" i="2"/>
  <c r="AB106" i="2"/>
  <c r="W108" i="2"/>
  <c r="Q108" i="2" s="1"/>
  <c r="AB110" i="2"/>
  <c r="W115" i="2"/>
  <c r="Q115" i="2" s="1"/>
  <c r="AB117" i="2"/>
  <c r="W119" i="2"/>
  <c r="Q119" i="2" s="1"/>
  <c r="AB125" i="2"/>
  <c r="AB131" i="2"/>
  <c r="AB138" i="2"/>
  <c r="AB145" i="2"/>
  <c r="AB152" i="2"/>
  <c r="AB159" i="2"/>
  <c r="AB165" i="2"/>
  <c r="AB171" i="2"/>
  <c r="AB178" i="2"/>
  <c r="AB191" i="2"/>
  <c r="AB198" i="2"/>
  <c r="W205" i="2"/>
  <c r="Q205" i="2" s="1"/>
  <c r="AB209" i="2"/>
  <c r="AB216" i="2"/>
  <c r="W218" i="2"/>
  <c r="Q218" i="2" s="1"/>
  <c r="AB17" i="2"/>
  <c r="AB25" i="2"/>
  <c r="AB33" i="2"/>
  <c r="AB38" i="2"/>
  <c r="AB42" i="2"/>
  <c r="W44" i="2"/>
  <c r="Q44" i="2" s="1"/>
  <c r="AB47" i="2"/>
  <c r="AB51" i="2"/>
  <c r="AB56" i="2"/>
  <c r="AB60" i="2"/>
  <c r="AB63" i="2"/>
  <c r="W68" i="2"/>
  <c r="Q68" i="2" s="1"/>
  <c r="W72" i="2"/>
  <c r="Q72" i="2" s="1"/>
  <c r="AB77" i="2"/>
  <c r="AB81" i="2"/>
  <c r="W83" i="2"/>
  <c r="Q83" i="2" s="1"/>
  <c r="AB98" i="2"/>
  <c r="W100" i="2"/>
  <c r="Q100" i="2" s="1"/>
  <c r="AB102" i="2"/>
  <c r="AB105" i="2"/>
  <c r="W107" i="2"/>
  <c r="Q107" i="2" s="1"/>
  <c r="AB113" i="2"/>
  <c r="W122" i="2"/>
  <c r="Q122" i="2" s="1"/>
  <c r="AB124" i="2"/>
  <c r="AB137" i="2"/>
  <c r="AB144" i="2"/>
  <c r="AB151" i="2"/>
  <c r="AB158" i="2"/>
  <c r="AB164" i="2"/>
  <c r="AB177" i="2"/>
  <c r="AB184" i="2"/>
  <c r="AB190" i="2"/>
  <c r="AB197" i="2"/>
  <c r="W212" i="2"/>
  <c r="Q212" i="2" s="1"/>
  <c r="AB213" i="2"/>
  <c r="AB215" i="2"/>
  <c r="AB221" i="2"/>
  <c r="W223" i="2"/>
  <c r="Q223" i="2" s="1"/>
  <c r="AB12" i="2"/>
  <c r="AB15" i="2"/>
  <c r="AB23" i="2"/>
  <c r="AB32" i="2"/>
  <c r="AB37" i="2"/>
  <c r="AB41" i="2"/>
  <c r="AB46" i="2"/>
  <c r="AB50" i="2"/>
  <c r="AB55" i="2"/>
  <c r="AB59" i="2"/>
  <c r="W61" i="2"/>
  <c r="Q61" i="2" s="1"/>
  <c r="W67" i="2"/>
  <c r="Q67" i="2" s="1"/>
  <c r="W74" i="2"/>
  <c r="Q74" i="2" s="1"/>
  <c r="AB76" i="2"/>
  <c r="AB79" i="2"/>
  <c r="W82" i="2"/>
  <c r="Q82" i="2" s="1"/>
  <c r="AB86" i="2"/>
  <c r="AB94" i="2"/>
  <c r="AB97" i="2"/>
  <c r="AB101" i="2"/>
  <c r="AB104" i="2"/>
  <c r="W106" i="2"/>
  <c r="Q106" i="2" s="1"/>
  <c r="AB112" i="2"/>
  <c r="W114" i="2"/>
  <c r="Q114" i="2" s="1"/>
  <c r="W121" i="2"/>
  <c r="Q121" i="2" s="1"/>
  <c r="AB129" i="2"/>
  <c r="AB136" i="2"/>
  <c r="AB142" i="2"/>
  <c r="AB149" i="2"/>
  <c r="AB156" i="2"/>
  <c r="AB169" i="2"/>
  <c r="AB176" i="2"/>
  <c r="AB182" i="2"/>
  <c r="AB188" i="2"/>
  <c r="AB195" i="2"/>
  <c r="AB13" i="2"/>
  <c r="AB21" i="2"/>
  <c r="W27" i="2"/>
  <c r="Q27" i="2" s="1"/>
  <c r="AB30" i="2"/>
  <c r="AB35" i="2"/>
  <c r="AB40" i="2"/>
  <c r="AB45" i="2"/>
  <c r="AB49" i="2"/>
  <c r="AB54" i="2"/>
  <c r="AB58" i="2"/>
  <c r="W60" i="2"/>
  <c r="Q60" i="2" s="1"/>
  <c r="W63" i="2"/>
  <c r="Q63" i="2" s="1"/>
  <c r="AB68" i="2"/>
  <c r="AB72" i="2"/>
  <c r="AB75" i="2"/>
  <c r="W77" i="2"/>
  <c r="Q77" i="2" s="1"/>
  <c r="W80" i="2"/>
  <c r="Q80" i="2" s="1"/>
  <c r="AB84" i="2"/>
  <c r="AB89" i="2"/>
  <c r="AB93" i="2"/>
  <c r="AB100" i="2"/>
  <c r="W102" i="2"/>
  <c r="Q102" i="2" s="1"/>
  <c r="W113" i="2"/>
  <c r="Q113" i="2" s="1"/>
  <c r="AB122" i="2"/>
  <c r="AB128" i="2"/>
  <c r="AB134" i="2"/>
  <c r="AB140" i="2"/>
  <c r="AB147" i="2"/>
  <c r="AB161" i="2"/>
  <c r="AB168" i="2"/>
  <c r="AB174" i="2"/>
  <c r="AB180" i="2"/>
  <c r="AB194" i="2"/>
  <c r="AB201" i="2"/>
  <c r="W203" i="2"/>
  <c r="Q203" i="2" s="1"/>
  <c r="AB207" i="2"/>
  <c r="W211" i="2"/>
  <c r="Q211" i="2" s="1"/>
  <c r="AB212" i="2"/>
  <c r="AB214" i="2"/>
  <c r="AB218" i="2"/>
  <c r="W220" i="2"/>
  <c r="Q220" i="2" s="1"/>
  <c r="AB223" i="2"/>
  <c r="W225" i="2"/>
  <c r="Q225" i="2" s="1"/>
  <c r="AB226" i="2"/>
  <c r="W230" i="2"/>
  <c r="Q230" i="2" s="1"/>
  <c r="W233" i="2"/>
  <c r="Q233" i="2" s="1"/>
  <c r="AB242" i="2"/>
  <c r="W244" i="2"/>
  <c r="Q244" i="2" s="1"/>
  <c r="W248" i="2"/>
  <c r="W251" i="2"/>
  <c r="Q251" i="2" s="1"/>
  <c r="AB256" i="2"/>
  <c r="AB262" i="2"/>
  <c r="AB266" i="2"/>
  <c r="W268" i="2"/>
  <c r="Q268" i="2" s="1"/>
  <c r="AB16" i="2"/>
  <c r="AB24" i="2"/>
  <c r="AB44" i="2"/>
  <c r="AB64" i="2"/>
  <c r="W73" i="2"/>
  <c r="Q73" i="2" s="1"/>
  <c r="AB78" i="2"/>
  <c r="AB83" i="2"/>
  <c r="W86" i="2"/>
  <c r="Q86" i="2" s="1"/>
  <c r="AB11" i="2"/>
  <c r="W17" i="2"/>
  <c r="Q17" i="2" s="1"/>
  <c r="AB19" i="2"/>
  <c r="AB29" i="2"/>
  <c r="AB34" i="2"/>
  <c r="AB39" i="2"/>
  <c r="AB43" i="2"/>
  <c r="AB48" i="2"/>
  <c r="AB53" i="2"/>
  <c r="AB57" i="2"/>
  <c r="AB61" i="2"/>
  <c r="AB67" i="2"/>
  <c r="AB74" i="2"/>
  <c r="W76" i="2"/>
  <c r="Q76" i="2" s="1"/>
  <c r="W79" i="2"/>
  <c r="Q79" i="2" s="1"/>
  <c r="W85" i="2"/>
  <c r="Q85" i="2" s="1"/>
  <c r="AB91" i="2"/>
  <c r="AB99" i="2"/>
  <c r="W101" i="2"/>
  <c r="Q101" i="2" s="1"/>
  <c r="W104" i="2"/>
  <c r="Q104" i="2" s="1"/>
  <c r="W112" i="2"/>
  <c r="Q112" i="2" s="1"/>
  <c r="AB114" i="2"/>
  <c r="AB121" i="2"/>
  <c r="AB126" i="2"/>
  <c r="AB132" i="2"/>
  <c r="AB146" i="2"/>
  <c r="AB153" i="2"/>
  <c r="AB20" i="2"/>
  <c r="AB87" i="2"/>
  <c r="AB108" i="2"/>
  <c r="AB116" i="2"/>
  <c r="AB135" i="2"/>
  <c r="AB141" i="2"/>
  <c r="AB179" i="2"/>
  <c r="AB183" i="2"/>
  <c r="AB205" i="2"/>
  <c r="AB219" i="2"/>
  <c r="W226" i="2"/>
  <c r="Q226" i="2" s="1"/>
  <c r="W228" i="2"/>
  <c r="Q228" i="2" s="1"/>
  <c r="W231" i="2"/>
  <c r="Q231" i="2" s="1"/>
  <c r="AB232" i="2"/>
  <c r="W235" i="2"/>
  <c r="Q235" i="2" s="1"/>
  <c r="AB237" i="2"/>
  <c r="AB244" i="2"/>
  <c r="AB250" i="2"/>
  <c r="W260" i="2"/>
  <c r="Q260" i="2" s="1"/>
  <c r="W263" i="2"/>
  <c r="Q263" i="2" s="1"/>
  <c r="W266" i="2"/>
  <c r="Q266" i="2" s="1"/>
  <c r="AB268" i="2"/>
  <c r="AB273" i="2"/>
  <c r="AB281" i="2"/>
  <c r="AB286" i="2"/>
  <c r="AB293" i="2"/>
  <c r="AB299" i="2"/>
  <c r="AB306" i="2"/>
  <c r="AB313" i="2"/>
  <c r="AB320" i="2"/>
  <c r="AB327" i="2"/>
  <c r="AB334" i="2"/>
  <c r="AB341" i="2"/>
  <c r="AB348" i="2"/>
  <c r="AB362" i="2"/>
  <c r="W103" i="2"/>
  <c r="Q103" i="2" s="1"/>
  <c r="AB157" i="2"/>
  <c r="AB189" i="2"/>
  <c r="AB193" i="2"/>
  <c r="W215" i="2"/>
  <c r="Q215" i="2" s="1"/>
  <c r="W238" i="2"/>
  <c r="Q238" i="2" s="1"/>
  <c r="AB249" i="2"/>
  <c r="AB252" i="2"/>
  <c r="AB255" i="2"/>
  <c r="AB261" i="2"/>
  <c r="W274" i="2"/>
  <c r="Q274" i="2" s="1"/>
  <c r="W282" i="2"/>
  <c r="Q282" i="2" s="1"/>
  <c r="AB284" i="2"/>
  <c r="AB291" i="2"/>
  <c r="AB298" i="2"/>
  <c r="AB311" i="2"/>
  <c r="AB26" i="2"/>
  <c r="AB31" i="2"/>
  <c r="W81" i="2"/>
  <c r="Q81" i="2" s="1"/>
  <c r="AB96" i="2"/>
  <c r="AB118" i="2"/>
  <c r="AB154" i="2"/>
  <c r="AB172" i="2"/>
  <c r="AB186" i="2"/>
  <c r="W209" i="2"/>
  <c r="Q209" i="2" s="1"/>
  <c r="AB222" i="2"/>
  <c r="AB229" i="2"/>
  <c r="AB235" i="2"/>
  <c r="AB247" i="2"/>
  <c r="W254" i="2"/>
  <c r="Q254" i="2" s="1"/>
  <c r="W257" i="2"/>
  <c r="Q257" i="2" s="1"/>
  <c r="AB264" i="2"/>
  <c r="W270" i="2"/>
  <c r="Q270" i="2" s="1"/>
  <c r="AB276" i="2"/>
  <c r="W278" i="2"/>
  <c r="Q278" i="2" s="1"/>
  <c r="AB285" i="2"/>
  <c r="AB292" i="2"/>
  <c r="AB305" i="2"/>
  <c r="AB312" i="2"/>
  <c r="AB319" i="2"/>
  <c r="AB326" i="2"/>
  <c r="AB333" i="2"/>
  <c r="AB340" i="2"/>
  <c r="AB347" i="2"/>
  <c r="AB354" i="2"/>
  <c r="AB361" i="2"/>
  <c r="AB120" i="2"/>
  <c r="W123" i="2"/>
  <c r="Q123" i="2" s="1"/>
  <c r="AB240" i="2"/>
  <c r="W245" i="2"/>
  <c r="Q245" i="2" s="1"/>
  <c r="AB258" i="2"/>
  <c r="AB267" i="2"/>
  <c r="AB272" i="2"/>
  <c r="AB280" i="2"/>
  <c r="AB36" i="2"/>
  <c r="W109" i="2"/>
  <c r="Q109" i="2" s="1"/>
  <c r="W117" i="2"/>
  <c r="Q117" i="2" s="1"/>
  <c r="W206" i="2"/>
  <c r="Q206" i="2" s="1"/>
  <c r="AB228" i="2"/>
  <c r="AB66" i="2"/>
  <c r="W111" i="2"/>
  <c r="Q111" i="2" s="1"/>
  <c r="AB115" i="2"/>
  <c r="AB127" i="2"/>
  <c r="AB150" i="2"/>
  <c r="AB175" i="2"/>
  <c r="AB185" i="2"/>
  <c r="AB196" i="2"/>
  <c r="AB200" i="2"/>
  <c r="AB203" i="2"/>
  <c r="AB206" i="2"/>
  <c r="W219" i="2"/>
  <c r="Q219" i="2" s="1"/>
  <c r="AB224" i="2"/>
  <c r="AB233" i="2"/>
  <c r="W236" i="2"/>
  <c r="Q236" i="2" s="1"/>
  <c r="AB239" i="2"/>
  <c r="AB243" i="2"/>
  <c r="W259" i="2"/>
  <c r="Q259" i="2" s="1"/>
  <c r="AB263" i="2"/>
  <c r="AB275" i="2"/>
  <c r="W277" i="2"/>
  <c r="Q277" i="2" s="1"/>
  <c r="AB283" i="2"/>
  <c r="AB297" i="2"/>
  <c r="AB304" i="2"/>
  <c r="AB310" i="2"/>
  <c r="AB317" i="2"/>
  <c r="AB324" i="2"/>
  <c r="AB331" i="2"/>
  <c r="W18" i="2"/>
  <c r="Q18" i="2" s="1"/>
  <c r="AB62" i="2"/>
  <c r="AB70" i="2"/>
  <c r="AB90" i="2"/>
  <c r="AB107" i="2"/>
  <c r="AB130" i="2"/>
  <c r="AB133" i="2"/>
  <c r="AB139" i="2"/>
  <c r="AB143" i="2"/>
  <c r="AB160" i="2"/>
  <c r="AB163" i="2"/>
  <c r="AB167" i="2"/>
  <c r="AB181" i="2"/>
  <c r="AB192" i="2"/>
  <c r="W210" i="2"/>
  <c r="Q210" i="2" s="1"/>
  <c r="W216" i="2"/>
  <c r="Q216" i="2" s="1"/>
  <c r="W227" i="2"/>
  <c r="Q227" i="2" s="1"/>
  <c r="W229" i="2"/>
  <c r="Q229" i="2" s="1"/>
  <c r="AB231" i="2"/>
  <c r="AB238" i="2"/>
  <c r="AB246" i="2"/>
  <c r="W250" i="2"/>
  <c r="Q250" i="2" s="1"/>
  <c r="AB251" i="2"/>
  <c r="W253" i="2"/>
  <c r="Q253" i="2" s="1"/>
  <c r="AB254" i="2"/>
  <c r="W256" i="2"/>
  <c r="Q256" i="2" s="1"/>
  <c r="AB257" i="2"/>
  <c r="AB260" i="2"/>
  <c r="W262" i="2"/>
  <c r="Q262" i="2" s="1"/>
  <c r="AB271" i="2"/>
  <c r="W273" i="2"/>
  <c r="Q273" i="2" s="1"/>
  <c r="AB279" i="2"/>
  <c r="W281" i="2"/>
  <c r="Q281" i="2" s="1"/>
  <c r="AB290" i="2"/>
  <c r="AB303" i="2"/>
  <c r="AB309" i="2"/>
  <c r="AB316" i="2"/>
  <c r="AB323" i="2"/>
  <c r="AB338" i="2"/>
  <c r="AB345" i="2"/>
  <c r="AB352" i="2"/>
  <c r="AB358" i="2"/>
  <c r="AB365" i="2"/>
  <c r="AB18" i="2"/>
  <c r="AB27" i="2"/>
  <c r="W78" i="2"/>
  <c r="Q78" i="2" s="1"/>
  <c r="AB85" i="2"/>
  <c r="AB103" i="2"/>
  <c r="AB109" i="2"/>
  <c r="W116" i="2"/>
  <c r="Q116" i="2" s="1"/>
  <c r="AB119" i="2"/>
  <c r="AB123" i="2"/>
  <c r="AB170" i="2"/>
  <c r="AB65" i="2"/>
  <c r="W71" i="2"/>
  <c r="Q71" i="2" s="1"/>
  <c r="AB73" i="2"/>
  <c r="AB92" i="2"/>
  <c r="AB111" i="2"/>
  <c r="W118" i="2"/>
  <c r="Q118" i="2" s="1"/>
  <c r="AB155" i="2"/>
  <c r="AB166" i="2"/>
  <c r="AB187" i="2"/>
  <c r="AB204" i="2"/>
  <c r="AB225" i="2"/>
  <c r="AB227" i="2"/>
  <c r="AB230" i="2"/>
  <c r="W232" i="2"/>
  <c r="Q232" i="2" s="1"/>
  <c r="AB245" i="2"/>
  <c r="W247" i="2"/>
  <c r="Q247" i="2" s="1"/>
  <c r="AB248" i="2"/>
  <c r="W252" i="2"/>
  <c r="Q252" i="2" s="1"/>
  <c r="W255" i="2"/>
  <c r="Q255" i="2" s="1"/>
  <c r="W258" i="2"/>
  <c r="Q258" i="2" s="1"/>
  <c r="AB259" i="2"/>
  <c r="W261" i="2"/>
  <c r="Q261" i="2" s="1"/>
  <c r="AB265" i="2"/>
  <c r="W272" i="2"/>
  <c r="Q272" i="2" s="1"/>
  <c r="AB274" i="2"/>
  <c r="W280" i="2"/>
  <c r="Q280" i="2" s="1"/>
  <c r="AB282" i="2"/>
  <c r="AB288" i="2"/>
  <c r="AB295" i="2"/>
  <c r="AB301" i="2"/>
  <c r="AB307" i="2"/>
  <c r="AB322" i="2"/>
  <c r="AB329" i="2"/>
  <c r="AB336" i="2"/>
  <c r="AB343" i="2"/>
  <c r="AB350" i="2"/>
  <c r="AB356" i="2"/>
  <c r="AB363" i="2"/>
  <c r="AB173" i="2"/>
  <c r="AB217" i="2"/>
  <c r="AB236" i="2"/>
  <c r="W249" i="2"/>
  <c r="Q249" i="2" s="1"/>
  <c r="W275" i="2"/>
  <c r="Q275" i="2" s="1"/>
  <c r="W279" i="2"/>
  <c r="Q279" i="2" s="1"/>
  <c r="AB308" i="2"/>
  <c r="AB314" i="2"/>
  <c r="AB359" i="2"/>
  <c r="AB330" i="2"/>
  <c r="W349" i="2"/>
  <c r="Q349" i="2" s="1"/>
  <c r="W267" i="2"/>
  <c r="Q267" i="2" s="1"/>
  <c r="AB294" i="2"/>
  <c r="AB315" i="2"/>
  <c r="AB325" i="2"/>
  <c r="AB342" i="2"/>
  <c r="AB349" i="2"/>
  <c r="W221" i="2"/>
  <c r="Q221" i="2" s="1"/>
  <c r="AB287" i="2"/>
  <c r="AB162" i="2"/>
  <c r="AB199" i="2"/>
  <c r="AB202" i="2"/>
  <c r="W271" i="2"/>
  <c r="Q271" i="2" s="1"/>
  <c r="AB296" i="2"/>
  <c r="AB302" i="2"/>
  <c r="AB344" i="2"/>
  <c r="W353" i="2"/>
  <c r="Q353" i="2" s="1"/>
  <c r="AB366" i="2"/>
  <c r="AB337" i="2"/>
  <c r="AB351" i="2"/>
  <c r="AB253" i="2"/>
  <c r="AB318" i="2"/>
  <c r="W120" i="2"/>
  <c r="Q120" i="2" s="1"/>
  <c r="W237" i="2"/>
  <c r="Q237" i="2" s="1"/>
  <c r="AB241" i="2"/>
  <c r="W264" i="2"/>
  <c r="Q264" i="2" s="1"/>
  <c r="AB277" i="2"/>
  <c r="W234" i="2"/>
  <c r="Q234" i="2" s="1"/>
  <c r="AB332" i="2"/>
  <c r="AB335" i="2"/>
  <c r="AB208" i="2"/>
  <c r="AB269" i="2"/>
  <c r="AB289" i="2"/>
  <c r="AB357" i="2"/>
  <c r="AB364" i="2"/>
  <c r="AB220" i="2"/>
  <c r="AB353" i="2"/>
  <c r="AB278" i="2"/>
  <c r="AB346" i="2"/>
  <c r="AB211" i="2"/>
  <c r="W283" i="2"/>
  <c r="Q283" i="2" s="1"/>
  <c r="AB321" i="2"/>
  <c r="AB355" i="2"/>
  <c r="AB367" i="2"/>
  <c r="AB69" i="2"/>
  <c r="AB80" i="2"/>
  <c r="AB148" i="2"/>
  <c r="W213" i="2"/>
  <c r="Q213" i="2" s="1"/>
  <c r="W222" i="2"/>
  <c r="Q222" i="2" s="1"/>
  <c r="W224" i="2"/>
  <c r="Q224" i="2" s="1"/>
  <c r="W276" i="2"/>
  <c r="Q276" i="2" s="1"/>
  <c r="AB339" i="2"/>
  <c r="W110" i="2"/>
  <c r="Q110" i="2" s="1"/>
  <c r="AB300" i="2"/>
  <c r="AB328" i="2"/>
  <c r="AB360" i="2"/>
  <c r="W64" i="2"/>
  <c r="Q64" i="2" s="1"/>
  <c r="AB270" i="2"/>
  <c r="W204" i="2"/>
  <c r="Q204" i="2" s="1"/>
  <c r="AB210" i="2"/>
  <c r="W214" i="2"/>
  <c r="Q214" i="2" s="1"/>
  <c r="AB234" i="2"/>
  <c r="K28" i="37"/>
  <c r="M18" i="37"/>
  <c r="K21" i="37"/>
  <c r="M22" i="37"/>
  <c r="O23" i="37"/>
  <c r="M26" i="37"/>
  <c r="O27" i="37"/>
  <c r="N18" i="37"/>
  <c r="M28" i="37"/>
  <c r="O18" i="37"/>
  <c r="K20" i="37"/>
  <c r="M21" i="37"/>
  <c r="O22" i="37"/>
  <c r="K24" i="37"/>
  <c r="M25" i="37"/>
  <c r="O26" i="37"/>
  <c r="O25" i="37"/>
  <c r="N23" i="37"/>
  <c r="N21" i="37"/>
  <c r="L24" i="37"/>
  <c r="K27" i="37"/>
  <c r="L22" i="37"/>
  <c r="L21" i="37"/>
  <c r="N26" i="37"/>
  <c r="O28" i="37"/>
  <c r="M20" i="37"/>
  <c r="O21" i="37"/>
  <c r="K23" i="37"/>
  <c r="M24" i="37"/>
  <c r="L23" i="37"/>
  <c r="N24" i="37"/>
  <c r="L26" i="37"/>
  <c r="K18" i="37"/>
  <c r="O20" i="37"/>
  <c r="K22" i="37"/>
  <c r="M23" i="37"/>
  <c r="O24" i="37"/>
  <c r="K26" i="37"/>
  <c r="M27" i="37"/>
  <c r="N22" i="37"/>
  <c r="AB10" i="2"/>
  <c r="D19" i="37"/>
  <c r="H22" i="37"/>
  <c r="D26" i="37"/>
  <c r="I26" i="37"/>
  <c r="E27" i="37"/>
  <c r="F24" i="37"/>
  <c r="I21" i="37"/>
  <c r="I18" i="37"/>
  <c r="E19" i="37"/>
  <c r="I22" i="37"/>
  <c r="I23" i="37"/>
  <c r="D27" i="37"/>
  <c r="I24" i="37"/>
  <c r="E18" i="37"/>
  <c r="H28" i="37"/>
  <c r="F19" i="37"/>
  <c r="E23" i="37"/>
  <c r="H23" i="37"/>
  <c r="I20" i="37"/>
  <c r="G21" i="37"/>
  <c r="G18" i="37"/>
  <c r="I25" i="37"/>
  <c r="G19" i="37"/>
  <c r="G20" i="37"/>
  <c r="E24" i="37"/>
  <c r="G28" i="37"/>
  <c r="G25" i="37"/>
  <c r="H19" i="37"/>
  <c r="D23" i="37"/>
  <c r="G23" i="37"/>
  <c r="I27" i="37"/>
  <c r="D28" i="37"/>
  <c r="I19" i="37"/>
  <c r="E26" i="37"/>
  <c r="H26" i="37"/>
  <c r="F28" i="37"/>
  <c r="E22" i="37"/>
  <c r="F26" i="37"/>
  <c r="F23" i="37"/>
  <c r="D24" i="37"/>
  <c r="H24" i="37"/>
  <c r="H21" i="37"/>
  <c r="G26" i="37"/>
  <c r="G24" i="37"/>
  <c r="F27" i="37"/>
  <c r="E21" i="37"/>
  <c r="E28" i="37"/>
  <c r="H27" i="37"/>
  <c r="D21" i="37"/>
  <c r="D18" i="37"/>
  <c r="H18" i="37"/>
  <c r="H20" i="37"/>
  <c r="F18" i="37"/>
  <c r="I28" i="37"/>
  <c r="F20" i="37"/>
  <c r="H25" i="37"/>
  <c r="D20" i="37"/>
  <c r="F21" i="37"/>
  <c r="E25" i="37"/>
  <c r="E20" i="37"/>
  <c r="F25" i="37"/>
  <c r="D22" i="37"/>
  <c r="D25" i="37"/>
  <c r="G27" i="37"/>
  <c r="F22" i="37"/>
  <c r="G22" i="37"/>
  <c r="F17" i="37"/>
  <c r="E15" i="37"/>
  <c r="E17" i="37"/>
  <c r="F15" i="37"/>
  <c r="I16" i="37"/>
  <c r="G15" i="37"/>
  <c r="H16" i="37"/>
  <c r="H15" i="37"/>
  <c r="G16" i="37"/>
  <c r="I15" i="37"/>
  <c r="I17" i="37"/>
  <c r="F16" i="37"/>
  <c r="H17" i="37"/>
  <c r="E16" i="37"/>
  <c r="G17" i="37"/>
  <c r="D15" i="37"/>
  <c r="D16" i="37"/>
  <c r="D17" i="37"/>
  <c r="Q265" i="2" l="1"/>
  <c r="Q248" i="2"/>
  <c r="Q142" i="2"/>
  <c r="Y142" i="2"/>
  <c r="Q153" i="2"/>
  <c r="Q152" i="2"/>
  <c r="Q150" i="2"/>
  <c r="Q148" i="2"/>
  <c r="Q147" i="2"/>
  <c r="Q146" i="2"/>
  <c r="Q145" i="2"/>
  <c r="Q139" i="2"/>
  <c r="Q140" i="2"/>
  <c r="Q138" i="2"/>
  <c r="Q141" i="2"/>
  <c r="Q137" i="2"/>
  <c r="J22" i="37"/>
  <c r="P22" i="37" s="1"/>
  <c r="J19" i="37"/>
  <c r="V19" i="37" s="1"/>
  <c r="J24" i="37"/>
  <c r="P24" i="37" s="1"/>
  <c r="J26" i="37"/>
  <c r="V26" i="37" s="1"/>
  <c r="J18" i="37"/>
  <c r="P18" i="37" s="1"/>
  <c r="J28" i="37"/>
  <c r="P28" i="37" s="1"/>
  <c r="J21" i="37"/>
  <c r="V21" i="37" s="1"/>
  <c r="J23" i="37"/>
  <c r="V23" i="37" s="1"/>
  <c r="J20" i="37"/>
  <c r="P20" i="37" s="1"/>
  <c r="J15" i="37"/>
  <c r="P15" i="37" s="1"/>
  <c r="U27" i="37"/>
  <c r="AA27" i="37"/>
  <c r="Y20" i="37"/>
  <c r="S20" i="37"/>
  <c r="U23" i="37"/>
  <c r="AA23" i="37"/>
  <c r="T24" i="37"/>
  <c r="Z24" i="37"/>
  <c r="T22" i="37"/>
  <c r="Z22" i="37"/>
  <c r="W28" i="37"/>
  <c r="Q28" i="37"/>
  <c r="S21" i="37"/>
  <c r="Y21" i="37"/>
  <c r="U20" i="37"/>
  <c r="AA20" i="37"/>
  <c r="W24" i="37"/>
  <c r="Q24" i="37"/>
  <c r="Q20" i="37"/>
  <c r="W20" i="37"/>
  <c r="W27" i="37"/>
  <c r="Q27" i="37"/>
  <c r="T26" i="37"/>
  <c r="Z26" i="37"/>
  <c r="Q26" i="37"/>
  <c r="W26" i="37"/>
  <c r="Q21" i="37"/>
  <c r="W21" i="37"/>
  <c r="T21" i="37"/>
  <c r="Z21" i="37"/>
  <c r="W22" i="37"/>
  <c r="Q22" i="37"/>
  <c r="S22" i="37"/>
  <c r="Y22" i="37"/>
  <c r="S18" i="37"/>
  <c r="Y18" i="37"/>
  <c r="AA28" i="37"/>
  <c r="U28" i="37"/>
  <c r="U18" i="37"/>
  <c r="AA18" i="37"/>
  <c r="U24" i="37"/>
  <c r="AA24" i="37"/>
  <c r="S25" i="37"/>
  <c r="Y25" i="37"/>
  <c r="Q18" i="37"/>
  <c r="W18" i="37"/>
  <c r="Q23" i="37"/>
  <c r="W23" i="37"/>
  <c r="T23" i="37"/>
  <c r="Z23" i="37"/>
  <c r="T18" i="37"/>
  <c r="Z18" i="37"/>
  <c r="U25" i="37"/>
  <c r="AA25" i="37"/>
  <c r="U26" i="37"/>
  <c r="AA26" i="37"/>
  <c r="R21" i="37"/>
  <c r="X21" i="37"/>
  <c r="X24" i="37"/>
  <c r="R24" i="37"/>
  <c r="Y28" i="37"/>
  <c r="S28" i="37"/>
  <c r="R22" i="37"/>
  <c r="X22" i="37"/>
  <c r="Y24" i="37"/>
  <c r="S24" i="37"/>
  <c r="S27" i="37"/>
  <c r="Y27" i="37"/>
  <c r="S26" i="37"/>
  <c r="Y26" i="37"/>
  <c r="X23" i="37"/>
  <c r="R23" i="37"/>
  <c r="R26" i="37"/>
  <c r="X26" i="37"/>
  <c r="Y23" i="37"/>
  <c r="S23" i="37"/>
  <c r="U21" i="37"/>
  <c r="AA21" i="37"/>
  <c r="U22" i="37"/>
  <c r="AA22" i="37"/>
  <c r="I30" i="38"/>
  <c r="I27" i="38"/>
  <c r="J27" i="38"/>
  <c r="K27" i="38"/>
  <c r="L27" i="38"/>
  <c r="M27" i="38"/>
  <c r="N27" i="38"/>
  <c r="I28" i="38"/>
  <c r="J28" i="38"/>
  <c r="K28" i="38"/>
  <c r="L28" i="38"/>
  <c r="M28" i="38"/>
  <c r="N28" i="38"/>
  <c r="I29" i="38"/>
  <c r="J29" i="38"/>
  <c r="K29" i="38"/>
  <c r="L29" i="38"/>
  <c r="M29" i="38"/>
  <c r="N29" i="38"/>
  <c r="J25" i="37" l="1"/>
  <c r="P25" i="37" s="1"/>
  <c r="U142" i="2"/>
  <c r="N27" i="37" s="1"/>
  <c r="S142" i="2"/>
  <c r="J27" i="37"/>
  <c r="P27" i="37" s="1"/>
  <c r="V22" i="37"/>
  <c r="V18" i="37"/>
  <c r="P19" i="37"/>
  <c r="V24" i="37"/>
  <c r="P26" i="37"/>
  <c r="V28" i="37"/>
  <c r="P21" i="37"/>
  <c r="P23" i="37"/>
  <c r="V20" i="37"/>
  <c r="J17" i="37"/>
  <c r="J16" i="37"/>
  <c r="Z8" i="2"/>
  <c r="V25" i="37" l="1"/>
  <c r="Z27" i="37"/>
  <c r="T27" i="37"/>
  <c r="V27" i="37"/>
  <c r="Z206" i="2"/>
  <c r="Z215" i="2"/>
  <c r="Z237" i="2"/>
  <c r="Z205" i="2"/>
  <c r="Z214" i="2"/>
  <c r="Z227" i="2"/>
  <c r="Z238" i="2"/>
  <c r="Z228" i="2"/>
  <c r="Z232" i="2"/>
  <c r="Z233" i="2"/>
  <c r="Z236" i="2"/>
  <c r="Z235" i="2"/>
  <c r="Z204" i="2"/>
  <c r="Z211" i="2"/>
  <c r="Z209" i="2"/>
  <c r="Z210" i="2"/>
  <c r="Z234" i="2"/>
  <c r="Z225" i="2"/>
  <c r="T225" i="2" s="1"/>
  <c r="Z213" i="2"/>
  <c r="Z22" i="2"/>
  <c r="Z25" i="2"/>
  <c r="Z20" i="2"/>
  <c r="Z21" i="2"/>
  <c r="Z24" i="2"/>
  <c r="Z13" i="2"/>
  <c r="Z18" i="2"/>
  <c r="Z11" i="2"/>
  <c r="Z23" i="2"/>
  <c r="Z15" i="2"/>
  <c r="Z12" i="2"/>
  <c r="Z14" i="2"/>
  <c r="Z16" i="2"/>
  <c r="Z19" i="2"/>
  <c r="Z17" i="2"/>
  <c r="Z26" i="2"/>
  <c r="Z10" i="2"/>
  <c r="T10" i="2" s="1"/>
  <c r="A34" i="37"/>
  <c r="A35" i="37"/>
  <c r="A36" i="37"/>
  <c r="A37" i="37"/>
  <c r="A38" i="37"/>
  <c r="A39" i="37"/>
  <c r="A40" i="37"/>
  <c r="A41" i="37"/>
  <c r="A42" i="37"/>
  <c r="A43" i="37"/>
  <c r="A44" i="37"/>
  <c r="A45" i="37"/>
  <c r="A46" i="37"/>
  <c r="A33" i="37"/>
  <c r="T210" i="2" l="1"/>
  <c r="V210" i="2"/>
  <c r="T228" i="2"/>
  <c r="V228" i="2"/>
  <c r="V209" i="2"/>
  <c r="T209" i="2"/>
  <c r="V238" i="2"/>
  <c r="T238" i="2"/>
  <c r="V235" i="2"/>
  <c r="T235" i="2"/>
  <c r="T205" i="2"/>
  <c r="V205" i="2"/>
  <c r="V227" i="2"/>
  <c r="T227" i="2"/>
  <c r="T204" i="2"/>
  <c r="V204" i="2"/>
  <c r="T214" i="2"/>
  <c r="V214" i="2"/>
  <c r="T213" i="2"/>
  <c r="V213" i="2"/>
  <c r="V236" i="2"/>
  <c r="T236" i="2"/>
  <c r="T237" i="2"/>
  <c r="V237" i="2"/>
  <c r="V233" i="2"/>
  <c r="T233" i="2"/>
  <c r="V215" i="2"/>
  <c r="T215" i="2"/>
  <c r="T211" i="2"/>
  <c r="V211" i="2"/>
  <c r="T234" i="2"/>
  <c r="V234" i="2"/>
  <c r="T232" i="2"/>
  <c r="V232" i="2"/>
  <c r="T206" i="2"/>
  <c r="V206" i="2"/>
  <c r="T24" i="2"/>
  <c r="V24" i="2"/>
  <c r="V26" i="2"/>
  <c r="T26" i="2"/>
  <c r="V18" i="2"/>
  <c r="T18" i="2"/>
  <c r="V13" i="2"/>
  <c r="T13" i="2"/>
  <c r="V21" i="2"/>
  <c r="T21" i="2"/>
  <c r="T11" i="2"/>
  <c r="V11" i="2"/>
  <c r="V17" i="2"/>
  <c r="T17" i="2"/>
  <c r="T19" i="2"/>
  <c r="V19" i="2"/>
  <c r="T16" i="2"/>
  <c r="V16" i="2"/>
  <c r="V14" i="2"/>
  <c r="T14" i="2"/>
  <c r="T12" i="2"/>
  <c r="V12" i="2"/>
  <c r="T20" i="2"/>
  <c r="V20" i="2"/>
  <c r="T15" i="2"/>
  <c r="V15" i="2"/>
  <c r="T25" i="2"/>
  <c r="V25" i="2"/>
  <c r="T23" i="2"/>
  <c r="V23" i="2"/>
  <c r="V22" i="2"/>
  <c r="T22" i="2"/>
  <c r="V10" i="2"/>
  <c r="P46" i="37"/>
  <c r="Q41" i="37"/>
  <c r="P41" i="37"/>
  <c r="P45" i="37"/>
  <c r="Q45" i="37"/>
  <c r="P44" i="37"/>
  <c r="Q44" i="37"/>
  <c r="P43" i="37"/>
  <c r="Q43" i="37"/>
  <c r="P42" i="37"/>
  <c r="Q42" i="37"/>
  <c r="P40" i="37"/>
  <c r="Q40" i="37"/>
  <c r="P39" i="37"/>
  <c r="Q39" i="37"/>
  <c r="P38" i="37"/>
  <c r="Q38" i="37"/>
  <c r="Q37" i="37"/>
  <c r="P37" i="37"/>
  <c r="P36" i="37"/>
  <c r="Q36" i="37"/>
  <c r="C16" i="17"/>
  <c r="M19" i="37" l="1"/>
  <c r="S19" i="37" s="1"/>
  <c r="O19" i="37"/>
  <c r="U19" i="37" s="1"/>
  <c r="N30" i="38"/>
  <c r="M30" i="38"/>
  <c r="L30" i="38"/>
  <c r="K30" i="38"/>
  <c r="J30" i="38"/>
  <c r="Y19" i="37" l="1"/>
  <c r="AA19" i="37"/>
  <c r="J31" i="38"/>
  <c r="I31" i="38"/>
  <c r="M31" i="38"/>
  <c r="L31" i="38"/>
  <c r="I41" i="18"/>
  <c r="N41" i="18"/>
  <c r="M41" i="18"/>
  <c r="O11" i="28"/>
  <c r="O12" i="28"/>
  <c r="O13" i="28"/>
  <c r="O14" i="28"/>
  <c r="AA139" i="2" s="1"/>
  <c r="O15" i="28"/>
  <c r="O16" i="28"/>
  <c r="O17" i="28"/>
  <c r="O18" i="28"/>
  <c r="O19" i="28"/>
  <c r="O20" i="28"/>
  <c r="O21" i="28"/>
  <c r="AA223" i="2" s="1"/>
  <c r="O10" i="28"/>
  <c r="N23" i="38"/>
  <c r="M23" i="38"/>
  <c r="L23" i="38"/>
  <c r="K23" i="38"/>
  <c r="J23" i="38"/>
  <c r="I23" i="38"/>
  <c r="B4" i="38"/>
  <c r="E14" i="35"/>
  <c r="F14" i="35" s="1"/>
  <c r="E13" i="35"/>
  <c r="F13" i="35" s="1"/>
  <c r="Y8" i="2"/>
  <c r="X8" i="2"/>
  <c r="B4" i="37"/>
  <c r="B4" i="5"/>
  <c r="B4" i="31"/>
  <c r="D56" i="35"/>
  <c r="N29" i="18"/>
  <c r="M29" i="18"/>
  <c r="L29" i="18"/>
  <c r="K29" i="18"/>
  <c r="J29" i="18"/>
  <c r="I29" i="18"/>
  <c r="F13" i="31"/>
  <c r="F20" i="31"/>
  <c r="H20" i="31" s="1"/>
  <c r="F12" i="31"/>
  <c r="F14" i="31"/>
  <c r="H14" i="31" s="1"/>
  <c r="F16" i="31"/>
  <c r="H16" i="31" s="1"/>
  <c r="F17" i="31"/>
  <c r="H17" i="31" s="1"/>
  <c r="F18" i="31"/>
  <c r="H18" i="31" s="1"/>
  <c r="F19" i="31"/>
  <c r="H19" i="31" s="1"/>
  <c r="F11" i="31"/>
  <c r="B4" i="28"/>
  <c r="C4" i="2"/>
  <c r="B4" i="18"/>
  <c r="B4" i="17"/>
  <c r="B41" i="17"/>
  <c r="B47" i="17" s="1"/>
  <c r="B51" i="17" s="1"/>
  <c r="B52" i="17"/>
  <c r="Y265" i="2" l="1"/>
  <c r="S265" i="2" s="1"/>
  <c r="Y217" i="2"/>
  <c r="S217" i="2" s="1"/>
  <c r="AA155" i="2"/>
  <c r="AA267" i="2"/>
  <c r="AA349" i="2"/>
  <c r="AA17" i="2"/>
  <c r="AA27" i="2"/>
  <c r="AA80" i="2"/>
  <c r="AA220" i="2"/>
  <c r="AA154" i="2"/>
  <c r="AA221" i="2"/>
  <c r="AA219" i="2"/>
  <c r="AA229" i="2"/>
  <c r="AA149" i="2"/>
  <c r="AA142" i="2"/>
  <c r="AA268" i="2"/>
  <c r="AA218" i="2"/>
  <c r="AA81" i="2"/>
  <c r="AA106" i="2"/>
  <c r="AA279" i="2"/>
  <c r="AA99" i="2"/>
  <c r="AA107" i="2"/>
  <c r="AA45" i="2"/>
  <c r="AA156" i="2"/>
  <c r="AA266" i="2"/>
  <c r="AA18" i="2"/>
  <c r="AA44" i="2"/>
  <c r="AA353" i="2"/>
  <c r="AA93" i="2"/>
  <c r="AA58" i="2"/>
  <c r="AA271" i="2"/>
  <c r="AA73" i="2"/>
  <c r="AA16" i="2"/>
  <c r="AA204" i="2"/>
  <c r="AA201" i="2"/>
  <c r="AA209" i="2"/>
  <c r="AA121" i="2"/>
  <c r="AA352" i="2"/>
  <c r="AA41" i="2"/>
  <c r="AA104" i="2"/>
  <c r="AA272" i="2"/>
  <c r="AA233" i="2"/>
  <c r="AA50" i="2"/>
  <c r="AA362" i="2"/>
  <c r="AA118" i="2"/>
  <c r="AA252" i="2"/>
  <c r="AA194" i="2"/>
  <c r="AA255" i="2"/>
  <c r="AA236" i="2"/>
  <c r="AA23" i="2"/>
  <c r="AA97" i="2"/>
  <c r="AA286" i="2"/>
  <c r="AA72" i="2"/>
  <c r="AA167" i="2"/>
  <c r="AA37" i="2"/>
  <c r="AA319" i="2"/>
  <c r="AA304" i="2"/>
  <c r="AA94" i="2"/>
  <c r="AA161" i="2"/>
  <c r="AA316" i="2"/>
  <c r="AA313" i="2"/>
  <c r="AA307" i="2"/>
  <c r="AA256" i="2"/>
  <c r="AA170" i="2"/>
  <c r="AA103" i="2"/>
  <c r="AA28" i="2"/>
  <c r="AA264" i="2"/>
  <c r="AA292" i="2"/>
  <c r="AA310" i="2"/>
  <c r="AA258" i="2"/>
  <c r="AA289" i="2"/>
  <c r="AA359" i="2"/>
  <c r="AA164" i="2"/>
  <c r="AA115" i="2"/>
  <c r="AA148" i="2"/>
  <c r="AA13" i="2"/>
  <c r="AA173" i="2"/>
  <c r="AA112" i="2"/>
  <c r="AA261" i="2"/>
  <c r="AA277" i="2"/>
  <c r="AA295" i="2"/>
  <c r="AA60" i="2"/>
  <c r="AA145" i="2"/>
  <c r="AA54" i="2"/>
  <c r="AA348" i="2"/>
  <c r="AA365" i="2"/>
  <c r="AA301" i="2"/>
  <c r="AA356" i="2"/>
  <c r="AA222" i="2"/>
  <c r="AA212" i="2"/>
  <c r="AA91" i="2"/>
  <c r="AA298" i="2"/>
  <c r="AA278" i="2"/>
  <c r="AA68" i="2"/>
  <c r="AA193" i="2"/>
  <c r="AA285" i="2"/>
  <c r="AA251" i="2"/>
  <c r="AA34" i="2"/>
  <c r="AA109" i="2"/>
  <c r="AA62" i="2"/>
  <c r="AA22" i="2"/>
  <c r="AA283" i="2"/>
  <c r="AA226" i="2"/>
  <c r="AA245" i="2"/>
  <c r="AA249" i="2"/>
  <c r="AA48" i="2"/>
  <c r="AA101" i="2"/>
  <c r="AA300" i="2"/>
  <c r="AA157" i="2"/>
  <c r="AA197" i="2"/>
  <c r="AA12" i="2"/>
  <c r="AA299" i="2"/>
  <c r="AA111" i="2"/>
  <c r="AA140" i="2"/>
  <c r="AA160" i="2"/>
  <c r="AA250" i="2"/>
  <c r="AA31" i="2"/>
  <c r="AA35" i="2"/>
  <c r="AA10" i="2"/>
  <c r="AA56" i="2"/>
  <c r="AA203" i="2"/>
  <c r="AA200" i="2"/>
  <c r="AA216" i="2"/>
  <c r="AA260" i="2"/>
  <c r="AA67" i="2"/>
  <c r="AA108" i="2"/>
  <c r="AA110" i="2"/>
  <c r="AA231" i="2"/>
  <c r="AA244" i="2"/>
  <c r="AA234" i="2"/>
  <c r="AA20" i="2"/>
  <c r="AA61" i="2"/>
  <c r="AA224" i="2"/>
  <c r="AA230" i="2"/>
  <c r="AA47" i="2"/>
  <c r="AA248" i="2"/>
  <c r="AA192" i="2"/>
  <c r="AA33" i="2"/>
  <c r="AA88" i="2"/>
  <c r="AA100" i="2"/>
  <c r="AA150" i="2"/>
  <c r="AA198" i="2"/>
  <c r="AA105" i="2"/>
  <c r="AA43" i="2"/>
  <c r="AA141" i="2"/>
  <c r="AA199" i="2"/>
  <c r="AA265" i="2"/>
  <c r="AA19" i="2"/>
  <c r="AA57" i="2"/>
  <c r="AA270" i="2"/>
  <c r="AA98" i="2"/>
  <c r="AA26" i="2"/>
  <c r="AA42" i="2"/>
  <c r="AA29" i="2"/>
  <c r="AA71" i="2"/>
  <c r="AA95" i="2"/>
  <c r="AA117" i="2"/>
  <c r="AA262" i="2"/>
  <c r="AA350" i="2"/>
  <c r="AA24" i="2"/>
  <c r="AA96" i="2"/>
  <c r="AA147" i="2"/>
  <c r="AA366" i="2"/>
  <c r="AA363" i="2"/>
  <c r="AA14" i="2"/>
  <c r="AA152" i="2"/>
  <c r="AA360" i="2"/>
  <c r="AA215" i="2"/>
  <c r="AA163" i="2"/>
  <c r="AA78" i="2"/>
  <c r="AA52" i="2"/>
  <c r="AA171" i="2"/>
  <c r="AA281" i="2"/>
  <c r="AA114" i="2"/>
  <c r="AA254" i="2"/>
  <c r="AA253" i="2"/>
  <c r="AA273" i="2"/>
  <c r="AA210" i="2"/>
  <c r="AA214" i="2"/>
  <c r="AA257" i="2"/>
  <c r="AA166" i="2"/>
  <c r="AA174" i="2"/>
  <c r="AA205" i="2"/>
  <c r="AA53" i="2"/>
  <c r="AA354" i="2"/>
  <c r="AA15" i="2"/>
  <c r="AA357" i="2"/>
  <c r="AA38" i="2"/>
  <c r="AA120" i="2"/>
  <c r="AA237" i="2"/>
  <c r="AA263" i="2"/>
  <c r="AA259" i="2"/>
  <c r="AA195" i="2"/>
  <c r="AA123" i="2"/>
  <c r="AA168" i="2"/>
  <c r="AA144" i="2"/>
  <c r="AA187" i="2"/>
  <c r="AA92" i="2"/>
  <c r="AA179" i="2"/>
  <c r="AA241" i="2"/>
  <c r="AA333" i="2"/>
  <c r="AA325" i="2"/>
  <c r="AA337" i="2"/>
  <c r="AA75" i="2"/>
  <c r="AA129" i="2"/>
  <c r="AA191" i="2"/>
  <c r="AA341" i="2"/>
  <c r="AA189" i="2"/>
  <c r="AA207" i="2"/>
  <c r="AA132" i="2"/>
  <c r="AA151" i="2"/>
  <c r="AA135" i="2"/>
  <c r="AA186" i="2"/>
  <c r="AA125" i="2"/>
  <c r="AA340" i="2"/>
  <c r="AA243" i="2"/>
  <c r="AA332" i="2"/>
  <c r="AA182" i="2"/>
  <c r="AA344" i="2"/>
  <c r="AA126" i="2"/>
  <c r="AA136" i="2"/>
  <c r="AA124" i="2"/>
  <c r="AA184" i="2"/>
  <c r="AA130" i="2"/>
  <c r="AA127" i="2"/>
  <c r="AA246" i="2"/>
  <c r="AA239" i="2"/>
  <c r="AA188" i="2"/>
  <c r="AA269" i="2"/>
  <c r="AA328" i="2"/>
  <c r="AA331" i="2"/>
  <c r="AA177" i="2"/>
  <c r="AA190" i="2"/>
  <c r="AA66" i="2"/>
  <c r="AA208" i="2"/>
  <c r="AA131" i="2"/>
  <c r="AA347" i="2"/>
  <c r="AA185" i="2"/>
  <c r="AA339" i="2"/>
  <c r="AA324" i="2"/>
  <c r="AA345" i="2"/>
  <c r="AA87" i="2"/>
  <c r="AA143" i="2"/>
  <c r="AA65" i="2"/>
  <c r="AA133" i="2"/>
  <c r="AA46" i="2"/>
  <c r="AA335" i="2"/>
  <c r="AA242" i="2"/>
  <c r="AA327" i="2"/>
  <c r="AA343" i="2"/>
  <c r="AA322" i="2"/>
  <c r="AA128" i="2"/>
  <c r="AA178" i="2"/>
  <c r="AA338" i="2"/>
  <c r="AA321" i="2"/>
  <c r="AA70" i="2"/>
  <c r="AA181" i="2"/>
  <c r="AA217" i="2"/>
  <c r="AA326" i="2"/>
  <c r="AA176" i="2"/>
  <c r="AA284" i="2"/>
  <c r="AA134" i="2"/>
  <c r="AA323" i="2"/>
  <c r="AA49" i="2"/>
  <c r="AA180" i="2"/>
  <c r="AA334" i="2"/>
  <c r="AA329" i="2"/>
  <c r="AA346" i="2"/>
  <c r="AA183" i="2"/>
  <c r="AA69" i="2"/>
  <c r="AA240" i="2"/>
  <c r="AA21" i="2"/>
  <c r="AA330" i="2"/>
  <c r="AA342" i="2"/>
  <c r="AA336" i="2"/>
  <c r="AA89" i="2"/>
  <c r="AA172" i="2"/>
  <c r="AA305" i="2"/>
  <c r="AA122" i="2"/>
  <c r="AA291" i="2"/>
  <c r="AA238" i="2"/>
  <c r="AA303" i="2"/>
  <c r="AA302" i="2"/>
  <c r="AA364" i="2"/>
  <c r="AA314" i="2"/>
  <c r="AA282" i="2"/>
  <c r="AA63" i="2"/>
  <c r="AA102" i="2"/>
  <c r="AA213" i="2"/>
  <c r="AA162" i="2"/>
  <c r="AA39" i="2"/>
  <c r="AA312" i="2"/>
  <c r="AA76" i="2"/>
  <c r="AA275" i="2"/>
  <c r="AA309" i="2"/>
  <c r="AA308" i="2"/>
  <c r="AA211" i="2"/>
  <c r="AA32" i="2"/>
  <c r="AA51" i="2"/>
  <c r="AA77" i="2"/>
  <c r="AA196" i="2"/>
  <c r="AA202" i="2"/>
  <c r="AA367" i="2"/>
  <c r="AA55" i="2"/>
  <c r="AA294" i="2"/>
  <c r="AA355" i="2"/>
  <c r="AA225" i="2"/>
  <c r="AA227" i="2"/>
  <c r="AA293" i="2"/>
  <c r="AA206" i="2"/>
  <c r="AA276" i="2"/>
  <c r="AA287" i="2"/>
  <c r="AA358" i="2"/>
  <c r="AA25" i="2"/>
  <c r="AA158" i="2"/>
  <c r="AA36" i="2"/>
  <c r="AA175" i="2"/>
  <c r="AA11" i="2"/>
  <c r="AA74" i="2"/>
  <c r="AA228" i="2"/>
  <c r="AA311" i="2"/>
  <c r="AA315" i="2"/>
  <c r="AA351" i="2"/>
  <c r="AA159" i="2"/>
  <c r="AA317" i="2"/>
  <c r="AA306" i="2"/>
  <c r="AA288" i="2"/>
  <c r="AA280" i="2"/>
  <c r="AA297" i="2"/>
  <c r="AA30" i="2"/>
  <c r="AA146" i="2"/>
  <c r="AA40" i="2"/>
  <c r="AA274" i="2"/>
  <c r="AA137" i="2"/>
  <c r="AA90" i="2"/>
  <c r="AA116" i="2"/>
  <c r="AA64" i="2"/>
  <c r="AA235" i="2"/>
  <c r="AA138" i="2"/>
  <c r="AA318" i="2"/>
  <c r="AA153" i="2"/>
  <c r="AA290" i="2"/>
  <c r="AA165" i="2"/>
  <c r="AA320" i="2"/>
  <c r="AA232" i="2"/>
  <c r="AA169" i="2"/>
  <c r="AA113" i="2"/>
  <c r="AA119" i="2"/>
  <c r="AA361" i="2"/>
  <c r="AA59" i="2"/>
  <c r="AA296" i="2"/>
  <c r="AA247" i="2"/>
  <c r="X265" i="2"/>
  <c r="R265" i="2" s="1"/>
  <c r="X248" i="2"/>
  <c r="R248" i="2" s="1"/>
  <c r="AA85" i="2"/>
  <c r="AA82" i="2"/>
  <c r="AA79" i="2"/>
  <c r="AA83" i="2"/>
  <c r="AA86" i="2"/>
  <c r="AA84" i="2"/>
  <c r="Y105" i="2"/>
  <c r="Y153" i="2"/>
  <c r="S153" i="2" s="1"/>
  <c r="Y139" i="2"/>
  <c r="S139" i="2" s="1"/>
  <c r="Y137" i="2"/>
  <c r="S137" i="2" s="1"/>
  <c r="Y145" i="2"/>
  <c r="S145" i="2" s="1"/>
  <c r="Y146" i="2"/>
  <c r="S146" i="2" s="1"/>
  <c r="Y150" i="2"/>
  <c r="S150" i="2" s="1"/>
  <c r="Y147" i="2"/>
  <c r="S147" i="2" s="1"/>
  <c r="Y140" i="2"/>
  <c r="S140" i="2" s="1"/>
  <c r="Y138" i="2"/>
  <c r="S138" i="2" s="1"/>
  <c r="Y141" i="2"/>
  <c r="S141" i="2" s="1"/>
  <c r="Y152" i="2"/>
  <c r="S152" i="2" s="1"/>
  <c r="Y148" i="2"/>
  <c r="S148" i="2" s="1"/>
  <c r="Y263" i="2"/>
  <c r="Y79" i="2"/>
  <c r="Y98" i="2"/>
  <c r="S98" i="2" s="1"/>
  <c r="Y111" i="2"/>
  <c r="Y206" i="2"/>
  <c r="Y215" i="2"/>
  <c r="Y223" i="2"/>
  <c r="Y237" i="2"/>
  <c r="Y278" i="2"/>
  <c r="S278" i="2" s="1"/>
  <c r="Y270" i="2"/>
  <c r="S270" i="2" s="1"/>
  <c r="Y110" i="2"/>
  <c r="Y205" i="2"/>
  <c r="Y214" i="2"/>
  <c r="Y222" i="2"/>
  <c r="Y231" i="2"/>
  <c r="Y255" i="2"/>
  <c r="Y277" i="2"/>
  <c r="S277" i="2" s="1"/>
  <c r="Y282" i="2"/>
  <c r="S282" i="2" s="1"/>
  <c r="Y258" i="2"/>
  <c r="Y77" i="2"/>
  <c r="Y103" i="2"/>
  <c r="Y109" i="2"/>
  <c r="Y213" i="2"/>
  <c r="Y226" i="2"/>
  <c r="Y230" i="2"/>
  <c r="Y254" i="2"/>
  <c r="Y72" i="2"/>
  <c r="Y90" i="2"/>
  <c r="S90" i="2" s="1"/>
  <c r="Y102" i="2"/>
  <c r="Y114" i="2"/>
  <c r="Y253" i="2"/>
  <c r="Y95" i="2"/>
  <c r="S95" i="2" s="1"/>
  <c r="Y118" i="2"/>
  <c r="Y247" i="2"/>
  <c r="Y262" i="2"/>
  <c r="Y234" i="2"/>
  <c r="Y250" i="2"/>
  <c r="Y101" i="2"/>
  <c r="Y119" i="2"/>
  <c r="Y210" i="2"/>
  <c r="Y96" i="2"/>
  <c r="S96" i="2" s="1"/>
  <c r="Y74" i="2"/>
  <c r="Y244" i="2"/>
  <c r="Y100" i="2"/>
  <c r="Y248" i="2"/>
  <c r="Y257" i="2"/>
  <c r="Y224" i="2"/>
  <c r="Y120" i="2"/>
  <c r="Y204" i="2"/>
  <c r="Y117" i="2"/>
  <c r="Y97" i="2"/>
  <c r="S97" i="2" s="1"/>
  <c r="Y116" i="2"/>
  <c r="Y89" i="2"/>
  <c r="S89" i="2" s="1"/>
  <c r="Y108" i="2"/>
  <c r="Y256" i="2"/>
  <c r="Y122" i="2"/>
  <c r="Y78" i="2"/>
  <c r="Y88" i="2"/>
  <c r="S88" i="2" s="1"/>
  <c r="Y225" i="2"/>
  <c r="S225" i="2" s="1"/>
  <c r="Y67" i="2"/>
  <c r="Y283" i="2"/>
  <c r="S283" i="2" s="1"/>
  <c r="Y227" i="2"/>
  <c r="Y212" i="2"/>
  <c r="Y76" i="2"/>
  <c r="Y61" i="2"/>
  <c r="Y238" i="2"/>
  <c r="Y121" i="2"/>
  <c r="Y63" i="2"/>
  <c r="Y249" i="2"/>
  <c r="Y123" i="2"/>
  <c r="Y112" i="2"/>
  <c r="Y115" i="2"/>
  <c r="Y73" i="2"/>
  <c r="Y104" i="2"/>
  <c r="Y233" i="2"/>
  <c r="Y274" i="2"/>
  <c r="S274" i="2" s="1"/>
  <c r="Y64" i="2"/>
  <c r="Y281" i="2"/>
  <c r="S281" i="2" s="1"/>
  <c r="Y62" i="2"/>
  <c r="Y275" i="2"/>
  <c r="S275" i="2" s="1"/>
  <c r="Y211" i="2"/>
  <c r="Y232" i="2"/>
  <c r="Y251" i="2"/>
  <c r="Y71" i="2"/>
  <c r="Y228" i="2"/>
  <c r="Y272" i="2"/>
  <c r="S272" i="2" s="1"/>
  <c r="Y235" i="2"/>
  <c r="Y264" i="2"/>
  <c r="Y94" i="2"/>
  <c r="S94" i="2" s="1"/>
  <c r="Y252" i="2"/>
  <c r="Y261" i="2"/>
  <c r="Y245" i="2"/>
  <c r="Y273" i="2"/>
  <c r="S273" i="2" s="1"/>
  <c r="Y209" i="2"/>
  <c r="Y68" i="2"/>
  <c r="Y259" i="2"/>
  <c r="Y236" i="2"/>
  <c r="Y276" i="2"/>
  <c r="S276" i="2" s="1"/>
  <c r="Y280" i="2"/>
  <c r="S280" i="2" s="1"/>
  <c r="Y113" i="2"/>
  <c r="Y260" i="2"/>
  <c r="U260" i="2" s="1"/>
  <c r="Y60" i="2"/>
  <c r="Y91" i="2"/>
  <c r="S91" i="2" s="1"/>
  <c r="X237" i="2"/>
  <c r="R237" i="2" s="1"/>
  <c r="X225" i="2"/>
  <c r="R225" i="2" s="1"/>
  <c r="X205" i="2"/>
  <c r="R205" i="2" s="1"/>
  <c r="X214" i="2"/>
  <c r="R214" i="2" s="1"/>
  <c r="X209" i="2"/>
  <c r="R209" i="2" s="1"/>
  <c r="X262" i="2"/>
  <c r="R262" i="2" s="1"/>
  <c r="X254" i="2"/>
  <c r="R254" i="2" s="1"/>
  <c r="X236" i="2"/>
  <c r="R236" i="2" s="1"/>
  <c r="X253" i="2"/>
  <c r="R253" i="2" s="1"/>
  <c r="X247" i="2"/>
  <c r="R247" i="2" s="1"/>
  <c r="X206" i="2"/>
  <c r="R206" i="2" s="1"/>
  <c r="X215" i="2"/>
  <c r="R215" i="2" s="1"/>
  <c r="X257" i="2"/>
  <c r="R257" i="2" s="1"/>
  <c r="X232" i="2"/>
  <c r="R232" i="2" s="1"/>
  <c r="X259" i="2"/>
  <c r="R259" i="2" s="1"/>
  <c r="X213" i="2"/>
  <c r="R213" i="2" s="1"/>
  <c r="X235" i="2"/>
  <c r="R235" i="2" s="1"/>
  <c r="X227" i="2"/>
  <c r="R227" i="2" s="1"/>
  <c r="X234" i="2"/>
  <c r="R234" i="2" s="1"/>
  <c r="X228" i="2"/>
  <c r="R228" i="2" s="1"/>
  <c r="X211" i="2"/>
  <c r="R211" i="2" s="1"/>
  <c r="X233" i="2"/>
  <c r="R233" i="2" s="1"/>
  <c r="X204" i="2"/>
  <c r="R204" i="2" s="1"/>
  <c r="X263" i="2"/>
  <c r="R263" i="2" s="1"/>
  <c r="X210" i="2"/>
  <c r="R210" i="2" s="1"/>
  <c r="X238" i="2"/>
  <c r="R238" i="2" s="1"/>
  <c r="X15" i="2"/>
  <c r="R15" i="2" s="1"/>
  <c r="X26" i="2"/>
  <c r="R26" i="2" s="1"/>
  <c r="X24" i="2"/>
  <c r="R24" i="2" s="1"/>
  <c r="X14" i="2"/>
  <c r="R14" i="2" s="1"/>
  <c r="X20" i="2"/>
  <c r="R20" i="2" s="1"/>
  <c r="X23" i="2"/>
  <c r="R23" i="2" s="1"/>
  <c r="X13" i="2"/>
  <c r="R13" i="2" s="1"/>
  <c r="X16" i="2"/>
  <c r="R16" i="2" s="1"/>
  <c r="X22" i="2"/>
  <c r="R22" i="2" s="1"/>
  <c r="X21" i="2"/>
  <c r="R21" i="2" s="1"/>
  <c r="X25" i="2"/>
  <c r="R25" i="2" s="1"/>
  <c r="X18" i="2"/>
  <c r="R18" i="2" s="1"/>
  <c r="X17" i="2"/>
  <c r="R17" i="2" s="1"/>
  <c r="X19" i="2"/>
  <c r="R19" i="2" s="1"/>
  <c r="X12" i="2"/>
  <c r="R12" i="2" s="1"/>
  <c r="X11" i="2"/>
  <c r="R11" i="2" s="1"/>
  <c r="Y19" i="2"/>
  <c r="Y23" i="2"/>
  <c r="Y11" i="2"/>
  <c r="Y13" i="2"/>
  <c r="Y26" i="2"/>
  <c r="Y17" i="2"/>
  <c r="Y25" i="2"/>
  <c r="Y16" i="2"/>
  <c r="Y12" i="2"/>
  <c r="Y21" i="2"/>
  <c r="Y15" i="2"/>
  <c r="Y20" i="2"/>
  <c r="Y22" i="2"/>
  <c r="Y24" i="2"/>
  <c r="Y14" i="2"/>
  <c r="Y18" i="2"/>
  <c r="Y10" i="2"/>
  <c r="S10" i="2" s="1"/>
  <c r="H13" i="35"/>
  <c r="Q35" i="37"/>
  <c r="H14" i="35"/>
  <c r="Q34" i="37" s="1"/>
  <c r="Q46" i="37"/>
  <c r="O29" i="18"/>
  <c r="F27" i="31"/>
  <c r="B49" i="17"/>
  <c r="B50" i="17"/>
  <c r="O22" i="28"/>
  <c r="O23" i="38"/>
  <c r="K31" i="38"/>
  <c r="E12" i="38" s="1"/>
  <c r="J41" i="18"/>
  <c r="N31" i="38"/>
  <c r="L41" i="18"/>
  <c r="K41" i="18"/>
  <c r="X10" i="2"/>
  <c r="R10" i="2" s="1"/>
  <c r="Q33" i="37" l="1"/>
  <c r="Q48" i="37" s="1"/>
  <c r="S105" i="2"/>
  <c r="U105" i="2"/>
  <c r="L27" i="37"/>
  <c r="K25" i="37"/>
  <c r="W25" i="37" s="1"/>
  <c r="L18" i="37"/>
  <c r="X18" i="37" s="1"/>
  <c r="K19" i="37"/>
  <c r="Q19" i="37" s="1"/>
  <c r="U236" i="2"/>
  <c r="S236" i="2"/>
  <c r="U211" i="2"/>
  <c r="S211" i="2"/>
  <c r="U73" i="2"/>
  <c r="S73" i="2"/>
  <c r="U204" i="2"/>
  <c r="S204" i="2"/>
  <c r="U76" i="2"/>
  <c r="S76" i="2"/>
  <c r="U120" i="2"/>
  <c r="S120" i="2"/>
  <c r="U226" i="2"/>
  <c r="S226" i="2"/>
  <c r="U68" i="2"/>
  <c r="S68" i="2"/>
  <c r="S235" i="2"/>
  <c r="U235" i="2"/>
  <c r="U224" i="2"/>
  <c r="S224" i="2"/>
  <c r="U253" i="2"/>
  <c r="S253" i="2"/>
  <c r="S213" i="2"/>
  <c r="U213" i="2"/>
  <c r="U223" i="2"/>
  <c r="S223" i="2"/>
  <c r="U60" i="2"/>
  <c r="S60" i="2"/>
  <c r="U209" i="2"/>
  <c r="S209" i="2"/>
  <c r="S123" i="2"/>
  <c r="U123" i="2"/>
  <c r="S227" i="2"/>
  <c r="U227" i="2"/>
  <c r="U108" i="2"/>
  <c r="S108" i="2"/>
  <c r="U257" i="2"/>
  <c r="S257" i="2"/>
  <c r="S101" i="2"/>
  <c r="U101" i="2"/>
  <c r="S114" i="2"/>
  <c r="U114" i="2"/>
  <c r="S109" i="2"/>
  <c r="U109" i="2"/>
  <c r="S222" i="2"/>
  <c r="U222" i="2"/>
  <c r="S215" i="2"/>
  <c r="U215" i="2"/>
  <c r="S78" i="2"/>
  <c r="U78" i="2"/>
  <c r="S259" i="2"/>
  <c r="U259" i="2"/>
  <c r="S237" i="2"/>
  <c r="U237" i="2"/>
  <c r="U112" i="2"/>
  <c r="S112" i="2"/>
  <c r="U212" i="2"/>
  <c r="S212" i="2"/>
  <c r="U119" i="2"/>
  <c r="S119" i="2"/>
  <c r="U228" i="2"/>
  <c r="S228" i="2"/>
  <c r="U64" i="2"/>
  <c r="S64" i="2"/>
  <c r="S249" i="2"/>
  <c r="U249" i="2"/>
  <c r="U248" i="2"/>
  <c r="S248" i="2"/>
  <c r="U250" i="2"/>
  <c r="S250" i="2"/>
  <c r="S102" i="2"/>
  <c r="U102" i="2"/>
  <c r="U103" i="2"/>
  <c r="S103" i="2"/>
  <c r="S214" i="2"/>
  <c r="U214" i="2"/>
  <c r="S206" i="2"/>
  <c r="U206" i="2"/>
  <c r="S264" i="2"/>
  <c r="U264" i="2"/>
  <c r="S115" i="2"/>
  <c r="U115" i="2"/>
  <c r="S122" i="2"/>
  <c r="U122" i="2"/>
  <c r="S210" i="2"/>
  <c r="U210" i="2"/>
  <c r="U255" i="2"/>
  <c r="S255" i="2"/>
  <c r="S62" i="2"/>
  <c r="U62" i="2"/>
  <c r="S256" i="2"/>
  <c r="U256" i="2"/>
  <c r="S231" i="2"/>
  <c r="U231" i="2"/>
  <c r="S113" i="2"/>
  <c r="U113" i="2"/>
  <c r="U245" i="2"/>
  <c r="S245" i="2"/>
  <c r="U71" i="2"/>
  <c r="S71" i="2"/>
  <c r="S63" i="2"/>
  <c r="U63" i="2"/>
  <c r="S67" i="2"/>
  <c r="U67" i="2"/>
  <c r="U116" i="2"/>
  <c r="S116" i="2"/>
  <c r="U100" i="2"/>
  <c r="S100" i="2"/>
  <c r="S234" i="2"/>
  <c r="U234" i="2"/>
  <c r="S77" i="2"/>
  <c r="U77" i="2"/>
  <c r="U205" i="2"/>
  <c r="S205" i="2"/>
  <c r="S111" i="2"/>
  <c r="U111" i="2"/>
  <c r="S261" i="2"/>
  <c r="U261" i="2"/>
  <c r="S251" i="2"/>
  <c r="U251" i="2"/>
  <c r="U233" i="2"/>
  <c r="S233" i="2"/>
  <c r="S121" i="2"/>
  <c r="U121" i="2"/>
  <c r="U244" i="2"/>
  <c r="S244" i="2"/>
  <c r="U262" i="2"/>
  <c r="S262" i="2"/>
  <c r="S72" i="2"/>
  <c r="U72" i="2"/>
  <c r="S258" i="2"/>
  <c r="U258" i="2"/>
  <c r="S110" i="2"/>
  <c r="U110" i="2"/>
  <c r="U252" i="2"/>
  <c r="S252" i="2"/>
  <c r="U232" i="2"/>
  <c r="S232" i="2"/>
  <c r="U104" i="2"/>
  <c r="S104" i="2"/>
  <c r="S238" i="2"/>
  <c r="U238" i="2"/>
  <c r="S117" i="2"/>
  <c r="U117" i="2"/>
  <c r="S74" i="2"/>
  <c r="U74" i="2"/>
  <c r="U247" i="2"/>
  <c r="S247" i="2"/>
  <c r="S254" i="2"/>
  <c r="U254" i="2"/>
  <c r="S79" i="2"/>
  <c r="U79" i="2"/>
  <c r="U61" i="2"/>
  <c r="S61" i="2"/>
  <c r="U118" i="2"/>
  <c r="S118" i="2"/>
  <c r="S230" i="2"/>
  <c r="U230" i="2"/>
  <c r="S263" i="2"/>
  <c r="U263" i="2"/>
  <c r="K16" i="37"/>
  <c r="S18" i="2"/>
  <c r="U18" i="2"/>
  <c r="U22" i="2"/>
  <c r="S22" i="2"/>
  <c r="U26" i="2"/>
  <c r="S26" i="2"/>
  <c r="S20" i="2"/>
  <c r="U20" i="2"/>
  <c r="U13" i="2"/>
  <c r="S13" i="2"/>
  <c r="S15" i="2"/>
  <c r="U15" i="2"/>
  <c r="S11" i="2"/>
  <c r="U11" i="2"/>
  <c r="S16" i="2"/>
  <c r="U16" i="2"/>
  <c r="U14" i="2"/>
  <c r="S14" i="2"/>
  <c r="S24" i="2"/>
  <c r="U24" i="2"/>
  <c r="U17" i="2"/>
  <c r="S17" i="2"/>
  <c r="U21" i="2"/>
  <c r="S21" i="2"/>
  <c r="U25" i="2"/>
  <c r="S25" i="2"/>
  <c r="S23" i="2"/>
  <c r="U23" i="2"/>
  <c r="S12" i="2"/>
  <c r="U12" i="2"/>
  <c r="S19" i="2"/>
  <c r="U19" i="2"/>
  <c r="U10" i="2"/>
  <c r="K17" i="37"/>
  <c r="B30" i="37"/>
  <c r="E12" i="18"/>
  <c r="E14" i="18" s="1"/>
  <c r="H56" i="35"/>
  <c r="B53" i="17"/>
  <c r="E14" i="38"/>
  <c r="X27" i="37" l="1"/>
  <c r="R27" i="37"/>
  <c r="N25" i="37"/>
  <c r="Z25" i="37" s="1"/>
  <c r="Q25" i="37"/>
  <c r="R18" i="37"/>
  <c r="L25" i="37"/>
  <c r="R25" i="37" s="1"/>
  <c r="L19" i="37"/>
  <c r="X19" i="37" s="1"/>
  <c r="W19" i="37"/>
  <c r="L20" i="37"/>
  <c r="L28" i="37"/>
  <c r="N20" i="37"/>
  <c r="N28" i="37"/>
  <c r="N19" i="37"/>
  <c r="L16" i="37"/>
  <c r="R16" i="37" s="1"/>
  <c r="K15" i="37"/>
  <c r="Q15" i="37" s="1"/>
  <c r="N16" i="37"/>
  <c r="T16" i="37" s="1"/>
  <c r="N17" i="37"/>
  <c r="T17" i="37" s="1"/>
  <c r="O17" i="37"/>
  <c r="O16" i="37"/>
  <c r="L17" i="37"/>
  <c r="M16" i="37"/>
  <c r="Y16" i="37" s="1"/>
  <c r="M17" i="37"/>
  <c r="N15" i="37"/>
  <c r="M15" i="37"/>
  <c r="E16" i="38"/>
  <c r="K46" i="38" s="1"/>
  <c r="K45" i="38"/>
  <c r="P16" i="37"/>
  <c r="V15" i="37"/>
  <c r="V16" i="37"/>
  <c r="E17" i="18"/>
  <c r="K48" i="18" s="1"/>
  <c r="K46" i="18"/>
  <c r="J30" i="37"/>
  <c r="P17" i="37"/>
  <c r="V17" i="37"/>
  <c r="E17" i="38"/>
  <c r="E16" i="18"/>
  <c r="T25" i="37" l="1"/>
  <c r="X25" i="37"/>
  <c r="R19" i="37"/>
  <c r="T20" i="37"/>
  <c r="Z20" i="37"/>
  <c r="X28" i="37"/>
  <c r="R28" i="37"/>
  <c r="R20" i="37"/>
  <c r="X20" i="37"/>
  <c r="T19" i="37"/>
  <c r="Z19" i="37"/>
  <c r="T28" i="37"/>
  <c r="Z28" i="37"/>
  <c r="E18" i="18"/>
  <c r="R17" i="37"/>
  <c r="O15" i="37"/>
  <c r="AA15" i="37" s="1"/>
  <c r="L15" i="37"/>
  <c r="X16" i="37"/>
  <c r="I6" i="28"/>
  <c r="Z17" i="37"/>
  <c r="Z16" i="37"/>
  <c r="N30" i="37"/>
  <c r="K53" i="18" s="1"/>
  <c r="Y15" i="37"/>
  <c r="X17" i="37"/>
  <c r="S16" i="37"/>
  <c r="V30" i="37"/>
  <c r="E18" i="38"/>
  <c r="E20" i="38" s="1"/>
  <c r="K47" i="38"/>
  <c r="Q16" i="37"/>
  <c r="Q17" i="37"/>
  <c r="W15" i="37"/>
  <c r="S17" i="37"/>
  <c r="Y17" i="37"/>
  <c r="U17" i="37"/>
  <c r="AA17" i="37"/>
  <c r="W16" i="37"/>
  <c r="U16" i="37"/>
  <c r="AA16" i="37"/>
  <c r="P30" i="37"/>
  <c r="W17" i="37"/>
  <c r="K47" i="18"/>
  <c r="K30" i="37"/>
  <c r="Z15" i="37"/>
  <c r="X15" i="37" l="1"/>
  <c r="X30" i="37" s="1"/>
  <c r="R15" i="37"/>
  <c r="R30" i="37" s="1"/>
  <c r="O30" i="37"/>
  <c r="L30" i="37"/>
  <c r="U15" i="37"/>
  <c r="U30" i="37" s="1"/>
  <c r="Z30" i="37"/>
  <c r="M30" i="37"/>
  <c r="S15" i="37"/>
  <c r="S30" i="37" s="1"/>
  <c r="Y30" i="37"/>
  <c r="Q30" i="37"/>
  <c r="AA30" i="37"/>
  <c r="W30" i="37"/>
  <c r="T15" i="37"/>
  <c r="T30" i="37" s="1"/>
  <c r="E20" i="18"/>
  <c r="C29" i="17" s="1"/>
  <c r="C31" i="17" s="1"/>
  <c r="C34" i="17" s="1"/>
  <c r="C21" i="17" s="1"/>
  <c r="C24" i="17" s="1"/>
  <c r="E21" i="38" s="1"/>
  <c r="K48" i="38" l="1"/>
  <c r="E22" i="38"/>
  <c r="E21" i="18"/>
  <c r="K49" i="18" l="1"/>
  <c r="E22" i="18"/>
  <c r="E24" i="38"/>
  <c r="K49" i="38" s="1"/>
  <c r="E25" i="38" l="1"/>
  <c r="E24" i="18"/>
  <c r="K50" i="18" s="1"/>
  <c r="E25" i="18" l="1"/>
  <c r="E32" i="18" s="1"/>
  <c r="E31" i="38"/>
  <c r="E42" i="38" l="1"/>
  <c r="E47" i="18" l="1"/>
  <c r="F45" i="18" s="1"/>
  <c r="E46" i="38"/>
  <c r="F42" i="38" l="1"/>
  <c r="I47" i="37"/>
  <c r="J47" i="37"/>
  <c r="B47" i="37"/>
  <c r="C47" i="37"/>
  <c r="F44" i="38"/>
  <c r="K61" i="38"/>
  <c r="K63" i="38" s="1"/>
  <c r="I34" i="37"/>
  <c r="I39" i="37"/>
  <c r="I37" i="37"/>
  <c r="F39" i="38"/>
  <c r="F36" i="38"/>
  <c r="J39" i="37"/>
  <c r="I33" i="37"/>
  <c r="F33" i="38"/>
  <c r="J40" i="37"/>
  <c r="F40" i="38"/>
  <c r="J38" i="37"/>
  <c r="I42" i="37"/>
  <c r="F35" i="38"/>
  <c r="F18" i="38"/>
  <c r="J42" i="37"/>
  <c r="F34" i="38"/>
  <c r="I44" i="37"/>
  <c r="J43" i="37"/>
  <c r="J46" i="37"/>
  <c r="I36" i="37"/>
  <c r="I41" i="37"/>
  <c r="I38" i="37"/>
  <c r="F38" i="38"/>
  <c r="I45" i="37"/>
  <c r="J44" i="37"/>
  <c r="J41" i="37"/>
  <c r="J37" i="37"/>
  <c r="J35" i="37"/>
  <c r="J45" i="37"/>
  <c r="J36" i="37"/>
  <c r="I46" i="37"/>
  <c r="I43" i="37"/>
  <c r="J33" i="37"/>
  <c r="J34" i="37"/>
  <c r="F37" i="38"/>
  <c r="I40" i="37"/>
  <c r="I35" i="37"/>
  <c r="F22" i="38"/>
  <c r="F25" i="38"/>
  <c r="E48" i="38"/>
  <c r="K65" i="38" s="1"/>
  <c r="E52" i="38"/>
  <c r="E50" i="38"/>
  <c r="F31" i="38"/>
  <c r="C33" i="37"/>
  <c r="B45" i="37"/>
  <c r="F18" i="18"/>
  <c r="C43" i="37"/>
  <c r="F38" i="18"/>
  <c r="C34" i="37"/>
  <c r="B33" i="37"/>
  <c r="F35" i="18"/>
  <c r="B36" i="37"/>
  <c r="F40" i="18"/>
  <c r="B41" i="37"/>
  <c r="B46" i="37"/>
  <c r="B37" i="37"/>
  <c r="F37" i="18"/>
  <c r="C42" i="37"/>
  <c r="B38" i="37"/>
  <c r="B42" i="37"/>
  <c r="B44" i="37"/>
  <c r="F36" i="18"/>
  <c r="C41" i="37"/>
  <c r="B34" i="37"/>
  <c r="F34" i="18"/>
  <c r="C46" i="37"/>
  <c r="C38" i="37"/>
  <c r="B43" i="37"/>
  <c r="C36" i="37"/>
  <c r="C45" i="37"/>
  <c r="C39" i="37"/>
  <c r="C37" i="37"/>
  <c r="C44" i="37"/>
  <c r="C35" i="37"/>
  <c r="B39" i="37"/>
  <c r="F41" i="18"/>
  <c r="B40" i="37"/>
  <c r="F39" i="18"/>
  <c r="C40" i="37"/>
  <c r="B35" i="37"/>
  <c r="F22" i="18"/>
  <c r="E53" i="18"/>
  <c r="E51" i="18"/>
  <c r="E49" i="18"/>
  <c r="K66" i="18" s="1"/>
  <c r="F25" i="18"/>
  <c r="F32" i="18"/>
  <c r="K62" i="18"/>
  <c r="K64" i="18" s="1"/>
  <c r="F43" i="18"/>
  <c r="F46" i="38" l="1"/>
  <c r="M47" i="37"/>
  <c r="N47" i="37"/>
  <c r="D47" i="37"/>
  <c r="E47" i="37"/>
  <c r="F47" i="37"/>
  <c r="G47" i="37"/>
  <c r="K47" i="37"/>
  <c r="L47" i="37"/>
  <c r="E35" i="37"/>
  <c r="D48" i="37"/>
  <c r="D36" i="37"/>
  <c r="D43" i="37"/>
  <c r="D41" i="37"/>
  <c r="D46" i="37"/>
  <c r="D45" i="37"/>
  <c r="D44" i="37"/>
  <c r="D35" i="37"/>
  <c r="E34" i="37"/>
  <c r="D39" i="37"/>
  <c r="E33" i="37"/>
  <c r="E38" i="37"/>
  <c r="E39" i="37"/>
  <c r="E41" i="37"/>
  <c r="E45" i="37"/>
  <c r="D40" i="37"/>
  <c r="D33" i="37"/>
  <c r="E46" i="37"/>
  <c r="E40" i="37"/>
  <c r="D37" i="37"/>
  <c r="E42" i="37"/>
  <c r="E44" i="37"/>
  <c r="E36" i="37"/>
  <c r="D42" i="37"/>
  <c r="K68" i="18"/>
  <c r="E43" i="37"/>
  <c r="D34" i="37"/>
  <c r="E37" i="37"/>
  <c r="D38" i="37"/>
  <c r="C48" i="37"/>
  <c r="G46" i="37"/>
  <c r="F44" i="37"/>
  <c r="G37" i="37"/>
  <c r="G43" i="37"/>
  <c r="F46" i="37"/>
  <c r="F45" i="37"/>
  <c r="F38" i="37"/>
  <c r="G34" i="37"/>
  <c r="G33" i="37"/>
  <c r="F35" i="37"/>
  <c r="H13" i="31"/>
  <c r="P35" i="37" s="1"/>
  <c r="G39" i="37"/>
  <c r="G35" i="37"/>
  <c r="F41" i="37"/>
  <c r="F33" i="37"/>
  <c r="G36" i="37"/>
  <c r="G41" i="37"/>
  <c r="F42" i="37"/>
  <c r="G38" i="37"/>
  <c r="G40" i="37"/>
  <c r="F36" i="37"/>
  <c r="G42" i="37"/>
  <c r="K70" i="18"/>
  <c r="G45" i="37"/>
  <c r="F39" i="37"/>
  <c r="F43" i="37"/>
  <c r="F40" i="37"/>
  <c r="G44" i="37"/>
  <c r="F34" i="37"/>
  <c r="F37" i="37"/>
  <c r="H12" i="31"/>
  <c r="P34" i="37" s="1"/>
  <c r="H11" i="31"/>
  <c r="F47" i="18"/>
  <c r="B48" i="37"/>
  <c r="M43" i="37"/>
  <c r="N35" i="37"/>
  <c r="M35" i="37"/>
  <c r="M33" i="37"/>
  <c r="N44" i="37"/>
  <c r="M42" i="37"/>
  <c r="N42" i="37"/>
  <c r="N43" i="37"/>
  <c r="N37" i="37"/>
  <c r="M46" i="37"/>
  <c r="N39" i="37"/>
  <c r="M34" i="37"/>
  <c r="K69" i="38"/>
  <c r="N41" i="37"/>
  <c r="N45" i="37"/>
  <c r="N38" i="37"/>
  <c r="N34" i="37"/>
  <c r="M45" i="37"/>
  <c r="M44" i="37"/>
  <c r="M38" i="37"/>
  <c r="N33" i="37"/>
  <c r="N40" i="37"/>
  <c r="N36" i="37"/>
  <c r="M39" i="37"/>
  <c r="N46" i="37"/>
  <c r="M41" i="37"/>
  <c r="M37" i="37"/>
  <c r="M40" i="37"/>
  <c r="M36" i="37"/>
  <c r="J48" i="37"/>
  <c r="L34" i="37"/>
  <c r="K39" i="37"/>
  <c r="L35" i="37"/>
  <c r="K37" i="37"/>
  <c r="K35" i="37"/>
  <c r="K67" i="38"/>
  <c r="L41" i="37"/>
  <c r="K45" i="37"/>
  <c r="L38" i="37"/>
  <c r="K34" i="37"/>
  <c r="L33" i="37"/>
  <c r="L36" i="37"/>
  <c r="K42" i="37"/>
  <c r="K38" i="37"/>
  <c r="K41" i="37"/>
  <c r="K44" i="37"/>
  <c r="L45" i="37"/>
  <c r="L43" i="37"/>
  <c r="L42" i="37"/>
  <c r="L40" i="37"/>
  <c r="K46" i="37"/>
  <c r="L39" i="37"/>
  <c r="L37" i="37"/>
  <c r="L44" i="37"/>
  <c r="K36" i="37"/>
  <c r="K43" i="37"/>
  <c r="K40" i="37"/>
  <c r="L46" i="37"/>
  <c r="K33" i="37"/>
  <c r="I48" i="37"/>
  <c r="O47" i="37" l="1"/>
  <c r="H47" i="37"/>
  <c r="O39" i="37"/>
  <c r="O46" i="37"/>
  <c r="O38" i="37"/>
  <c r="O45" i="37"/>
  <c r="O35" i="37"/>
  <c r="O40" i="37"/>
  <c r="O37" i="37"/>
  <c r="O41" i="37"/>
  <c r="H43" i="37"/>
  <c r="O43" i="37"/>
  <c r="O36" i="37"/>
  <c r="O34" i="37"/>
  <c r="O44" i="37"/>
  <c r="O42" i="37"/>
  <c r="H41" i="37"/>
  <c r="H40" i="37"/>
  <c r="H33" i="37"/>
  <c r="H36" i="37"/>
  <c r="H35" i="37"/>
  <c r="H38" i="37"/>
  <c r="H42" i="37"/>
  <c r="H39" i="37"/>
  <c r="H46" i="37"/>
  <c r="H45" i="37"/>
  <c r="H44" i="37"/>
  <c r="H37" i="37"/>
  <c r="H34" i="37"/>
  <c r="E48" i="37"/>
  <c r="N48" i="37"/>
  <c r="K48" i="37"/>
  <c r="M48" i="37"/>
  <c r="L48" i="37"/>
  <c r="G48" i="37"/>
  <c r="O33" i="37"/>
  <c r="H27" i="31"/>
  <c r="P33" i="37"/>
  <c r="P48" i="37" s="1"/>
  <c r="F48" i="37"/>
  <c r="R47" i="37" l="1"/>
  <c r="S47" i="37" s="1"/>
  <c r="R35" i="37"/>
  <c r="S35" i="37" s="1"/>
  <c r="R44" i="37"/>
  <c r="S44" i="37" s="1"/>
  <c r="R40" i="37"/>
  <c r="S40" i="37" s="1"/>
  <c r="R45" i="37"/>
  <c r="S45" i="37" s="1"/>
  <c r="R34" i="37"/>
  <c r="S34" i="37" s="1"/>
  <c r="R46" i="37"/>
  <c r="S46" i="37" s="1"/>
  <c r="R43" i="37"/>
  <c r="S43" i="37" s="1"/>
  <c r="R33" i="37"/>
  <c r="R41" i="37"/>
  <c r="S41" i="37" s="1"/>
  <c r="R39" i="37"/>
  <c r="S39" i="37" s="1"/>
  <c r="R42" i="37"/>
  <c r="S42" i="37" s="1"/>
  <c r="R38" i="37"/>
  <c r="S38" i="37" s="1"/>
  <c r="R37" i="37"/>
  <c r="S37" i="37" s="1"/>
  <c r="R36" i="37"/>
  <c r="S36" i="37" s="1"/>
  <c r="O48" i="37"/>
  <c r="H48" i="37"/>
  <c r="S33" i="37" l="1"/>
  <c r="R48" i="37"/>
  <c r="P1" i="37" s="1"/>
  <c r="P2" i="37" s="1"/>
  <c r="P3" i="37" s="1"/>
  <c r="S48" i="37" l="1"/>
</calcChain>
</file>

<file path=xl/sharedStrings.xml><?xml version="1.0" encoding="utf-8"?>
<sst xmlns="http://schemas.openxmlformats.org/spreadsheetml/2006/main" count="2864" uniqueCount="478">
  <si>
    <t>Algemeen</t>
  </si>
  <si>
    <t>Naam opdrachtgever</t>
  </si>
  <si>
    <t>Calculatie onderdeel</t>
  </si>
  <si>
    <t>Gebouw/plaats</t>
  </si>
  <si>
    <t>Referentie nummer</t>
  </si>
  <si>
    <t>Invoervelden</t>
  </si>
  <si>
    <t>Minimale taakgrootte</t>
  </si>
  <si>
    <t>EINDTOTAAL KOSTEN PER JAAR  EXCLUSIEF BTW         INSCHRIJVINGSBEDRAG</t>
  </si>
  <si>
    <t>uur per dag</t>
  </si>
  <si>
    <t>BTW</t>
  </si>
  <si>
    <t>Totale kosten per jaar inclusief btw</t>
  </si>
  <si>
    <t>Toezicht percentage</t>
  </si>
  <si>
    <t>per prod. Uur</t>
  </si>
  <si>
    <t>MAXIMALE BOVENGRENS PLAFONDBEDRAG INSCHRIJVINGSBEDRAG</t>
  </si>
  <si>
    <t>Naam dienstverlener</t>
  </si>
  <si>
    <t>Prijspeil</t>
  </si>
  <si>
    <t>SUPPLETIEKOSTEN OVERNAME PERSONEEL</t>
  </si>
  <si>
    <t>Versie</t>
  </si>
  <si>
    <t xml:space="preserve">Dit is het maximale bedrag dat door de dienstverlener aan suppletiekosten in rekening wordt gebracht. Indien hier niets wordt </t>
  </si>
  <si>
    <t>ingevuld, betekent dit dat er geen suppletiekosten door de dienstverlener in rekening worden gebracht.</t>
  </si>
  <si>
    <t>PRODUCTIE UREN PER JAAR</t>
  </si>
  <si>
    <t>UREN OPSLAG MINIMALE TAAKGROOTTE PER JAAR</t>
  </si>
  <si>
    <t>TOEZICHTUREN PER JAAR</t>
  </si>
  <si>
    <t>Locatie</t>
  </si>
  <si>
    <t>Totaal m2 in scope</t>
  </si>
  <si>
    <t>Locatie factor</t>
  </si>
  <si>
    <t>Hoogste frequentie ma t/m vr</t>
  </si>
  <si>
    <t>Hoogste frequentie ma t/m vr naloop</t>
  </si>
  <si>
    <t>Hoogste frequentie za - zo</t>
  </si>
  <si>
    <t>Hoogste frequentie za - zo naloop</t>
  </si>
  <si>
    <t>Hoogste frequentie feestdag</t>
  </si>
  <si>
    <t>Hoogste frequentie feestdag naloop</t>
  </si>
  <si>
    <t>Productie uren ma t/m vr</t>
  </si>
  <si>
    <t>Productie uren ma t/m vr naloop</t>
  </si>
  <si>
    <t>Productie uren za - zo</t>
  </si>
  <si>
    <t>Productie uren za - zo naloop</t>
  </si>
  <si>
    <t>Productie uren feestdag</t>
  </si>
  <si>
    <t>Productie uren feestdag naloop</t>
  </si>
  <si>
    <t>Uren minimale taakgrootte ma t/m vrij</t>
  </si>
  <si>
    <t>Uren minimale taakgrootte ma t/m vrij naloop</t>
  </si>
  <si>
    <t>Uren minimale taakgrootte za - zo</t>
  </si>
  <si>
    <t>Uren minimale taakgrootte za - zo naloop</t>
  </si>
  <si>
    <t>Uren minimale taakgrootte feestdag</t>
  </si>
  <si>
    <t>Uren minimale taakgrootte feestdag naloop</t>
  </si>
  <si>
    <t>Toezicht uren per jaar ma t/m vr</t>
  </si>
  <si>
    <t>Toezicht uren per jaar ma t/m vr naloop</t>
  </si>
  <si>
    <t>Toezicht uren per jaar za - zo</t>
  </si>
  <si>
    <t>Toezicht uren per jaar za - zo naloop</t>
  </si>
  <si>
    <t>Toezicht uren per jaar feestdag</t>
  </si>
  <si>
    <t>Toezicht uren per jaar feestdag naloop</t>
  </si>
  <si>
    <t>Totaal</t>
  </si>
  <si>
    <t>Kosten productie per jaar ma t/m vr incl minimale taakgrootte</t>
  </si>
  <si>
    <t>Kosten productie per jaar ma t/m vr naloop incl minimale taakgrootte</t>
  </si>
  <si>
    <t>Kosten productie per jaar za - zo incl minimale taakgrootte</t>
  </si>
  <si>
    <t>Kosten productie per jaar za / zo / fe naloop incl minimale taakgrootte</t>
  </si>
  <si>
    <t>Kosten productie per jaar feestdag incl minimale taakgrootte</t>
  </si>
  <si>
    <t>Kosten productie per jaar feestdag naloop incl minimale taakgrootte</t>
  </si>
  <si>
    <t>Totale kosten productie per jaar</t>
  </si>
  <si>
    <t xml:space="preserve">Kosten toezicht per jaar ma t/m vr </t>
  </si>
  <si>
    <t>Kosten toezicht per jaar ma t/m vr naloop</t>
  </si>
  <si>
    <t>Kosten toezicht per jaar za - zo</t>
  </si>
  <si>
    <t>Kosten toezicht per jaar za / zo / fe naloop</t>
  </si>
  <si>
    <t>Kosten toezicht per jaar feestdag</t>
  </si>
  <si>
    <t>Kosten toezicht per jaar feestdag naloop</t>
  </si>
  <si>
    <t>Totale kosten toezicht per jaar</t>
  </si>
  <si>
    <t>Kosten Additioneel per jaar</t>
  </si>
  <si>
    <t>Kosten glasbewassing per jaar</t>
  </si>
  <si>
    <t>Totaal kosten per jaar excl. btw</t>
  </si>
  <si>
    <t>Totaal kosten per maand excl. btw</t>
  </si>
  <si>
    <t>Gewogen prestatie</t>
  </si>
  <si>
    <t>m2/uur</t>
  </si>
  <si>
    <t>Frequentie van uitvoering (per jaar):</t>
  </si>
  <si>
    <t>Ruimtecategorie</t>
  </si>
  <si>
    <t>Prestatienorm in aantal m2 per uur</t>
  </si>
  <si>
    <t>M2 Totaal</t>
  </si>
  <si>
    <t>Naloop opslag ma-vr</t>
  </si>
  <si>
    <t>Weekend / feestdag opslag</t>
  </si>
  <si>
    <t>Naloop weekend / feestdag opslag</t>
  </si>
  <si>
    <t>VSR Code</t>
  </si>
  <si>
    <t>Administratieve ruimten</t>
  </si>
  <si>
    <t>B</t>
  </si>
  <si>
    <t>Sanitaire ruimten</t>
  </si>
  <si>
    <t>S</t>
  </si>
  <si>
    <t>Gang, hal</t>
  </si>
  <si>
    <t>V</t>
  </si>
  <si>
    <t>Kleedruimten</t>
  </si>
  <si>
    <t>Vergaderruimten</t>
  </si>
  <si>
    <t>Opslagruimte</t>
  </si>
  <si>
    <t>Sportzaal</t>
  </si>
  <si>
    <t>Entree</t>
  </si>
  <si>
    <t>Trappenhuis</t>
  </si>
  <si>
    <t>Kolom voor matrix</t>
  </si>
  <si>
    <t>Frequentie verklaring</t>
  </si>
  <si>
    <t>Freq</t>
  </si>
  <si>
    <t>Kolom</t>
  </si>
  <si>
    <t>1 x per maand</t>
  </si>
  <si>
    <t>1 x per week (52 weken)</t>
  </si>
  <si>
    <t>5 x per week (52 weken)</t>
  </si>
  <si>
    <t>% van reguliere norm</t>
  </si>
  <si>
    <t>Gebouw</t>
  </si>
  <si>
    <t>Adres</t>
  </si>
  <si>
    <t>Verdieping</t>
  </si>
  <si>
    <t>Ruimte nummer</t>
  </si>
  <si>
    <t>Ruimteomschrijving opdrachtgever</t>
  </si>
  <si>
    <t>Ruimte categorie</t>
  </si>
  <si>
    <t>Vloer soort</t>
  </si>
  <si>
    <t xml:space="preserve">M2 vloer </t>
  </si>
  <si>
    <t>Totaal frequentie</t>
  </si>
  <si>
    <t>Freq. ma-vr</t>
  </si>
  <si>
    <t>Freq. ma-vr naloop</t>
  </si>
  <si>
    <t xml:space="preserve">Freq zat - zon </t>
  </si>
  <si>
    <t>Freq. zat-zon naloop</t>
  </si>
  <si>
    <t xml:space="preserve">Freq  feestdag </t>
  </si>
  <si>
    <t>Freq feestdag naloop</t>
  </si>
  <si>
    <t>Uren p/j ma t/m vrij</t>
  </si>
  <si>
    <t>Uren p/j ma t/m vrij naloop</t>
  </si>
  <si>
    <t>Uren p/j zat - zon</t>
  </si>
  <si>
    <t>Uren p/j zat-zonj naloop</t>
  </si>
  <si>
    <t>Uren p/j feestdag</t>
  </si>
  <si>
    <t>Uren p/j feestdag naloop</t>
  </si>
  <si>
    <t>Norm ma t/m vr</t>
  </si>
  <si>
    <t>VSR code</t>
  </si>
  <si>
    <t>ER KMS code</t>
  </si>
  <si>
    <t>Bijzonderheden / opmerkingen</t>
  </si>
  <si>
    <t>M2 per jaar</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</si>
  <si>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</si>
  <si>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</si>
  <si>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</si>
  <si>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</si>
  <si>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</si>
  <si>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</si>
  <si>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</si>
  <si>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</si>
  <si>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</si>
  <si>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</si>
  <si>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</si>
  <si>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</si>
  <si>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</si>
  <si>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</si>
  <si>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</si>
  <si>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</si>
  <si>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</si>
  <si>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</si>
  <si>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</si>
  <si>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</si>
  <si>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</si>
  <si>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</si>
  <si>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</si>
  <si>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</si>
  <si>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</si>
  <si>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</si>
  <si>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</si>
  <si>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</si>
  <si>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</si>
  <si>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</si>
  <si>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</si>
  <si>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</si>
  <si>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</si>
  <si>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</si>
  <si>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</si>
  <si>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</si>
  <si>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1 januari 2026</t>
  </si>
  <si>
    <t xml:space="preserve"> </t>
  </si>
  <si>
    <t>Basisuurloon</t>
  </si>
  <si>
    <t>CAO gebonden kosten</t>
  </si>
  <si>
    <t>17 jaar en jonger</t>
  </si>
  <si>
    <t>Specialistentoeslag</t>
  </si>
  <si>
    <t>18 jaar</t>
  </si>
  <si>
    <t>Bruto uurloon</t>
  </si>
  <si>
    <t>19 jaar</t>
  </si>
  <si>
    <t>Vakvolwassen 1 dienstjaar</t>
  </si>
  <si>
    <t xml:space="preserve">Vakantietoeslag </t>
  </si>
  <si>
    <t>Vakvolwassen 2 dienstjaren</t>
  </si>
  <si>
    <t xml:space="preserve">Structurele eindejaarsuitkering </t>
  </si>
  <si>
    <t>Vakvolwassen 3 dienstjaren</t>
  </si>
  <si>
    <t>Bruto uurloon inclusief toeslagen</t>
  </si>
  <si>
    <t>Vakvolwassen 4 dienstjaren</t>
  </si>
  <si>
    <t>SV-loon grondslag voor berekening sociale verzekeringen</t>
  </si>
  <si>
    <t>Percentage per loongroep voor gemiddeld tarief</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</si>
  <si>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</si>
  <si>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</si>
  <si>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</si>
  <si>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</si>
  <si>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</si>
  <si>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</si>
  <si>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</si>
  <si>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</si>
  <si>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Machinekosten</t>
  </si>
  <si>
    <t>Totaal per loongroepen</t>
  </si>
  <si>
    <t>Totaal directe kosten</t>
  </si>
  <si>
    <t>Opbouw gemiddeld tarief</t>
  </si>
  <si>
    <t>Indirect toezicht</t>
  </si>
  <si>
    <t>Managementkosten</t>
  </si>
  <si>
    <t>P.Z. kosten</t>
  </si>
  <si>
    <t>Opleiding</t>
  </si>
  <si>
    <t>Administratiekosten</t>
  </si>
  <si>
    <t>Huisvestingskosten</t>
  </si>
  <si>
    <t>Reiskosten/autokosten</t>
  </si>
  <si>
    <t>Kosten verzuimbegeleiding en re-integratie</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</si>
  <si>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</si>
  <si>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</si>
  <si>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</si>
  <si>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</si>
  <si>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</si>
  <si>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</si>
  <si>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</si>
  <si>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Kosten verzuimbegeleiding</t>
  </si>
  <si>
    <t>Tariefopbouw toezicht</t>
  </si>
  <si>
    <t>Gemiddeld tarief  ma t/m vr</t>
  </si>
  <si>
    <t>Overige cao-gerelateerde verplichtingen</t>
  </si>
  <si>
    <t>Omschrijving werkzaamheden</t>
  </si>
  <si>
    <t>Aantal of m2</t>
  </si>
  <si>
    <t>frequentie per jaar</t>
  </si>
  <si>
    <t>uren per m2/ beurt</t>
  </si>
  <si>
    <t>uren per jaar</t>
  </si>
  <si>
    <t>uurtarief</t>
  </si>
  <si>
    <t>kosten per jaar incl toezicht</t>
  </si>
  <si>
    <t>Omschrijving kostenaspect</t>
  </si>
  <si>
    <t>kosten per jaar</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</si>
  <si>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</si>
  <si>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</si>
  <si>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</si>
  <si>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</si>
  <si>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</si>
  <si>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</si>
  <si>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</si>
  <si>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</si>
  <si>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</si>
  <si>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</si>
  <si>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</si>
  <si>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</si>
  <si>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</si>
  <si>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</si>
  <si>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</si>
  <si>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Methode en eindresultaat omschrijven.</t>
  </si>
  <si>
    <t>Reinigen raambekleding</t>
  </si>
  <si>
    <t>Soort</t>
  </si>
  <si>
    <t>Prijs p/m² onder 100m² excl. btw</t>
  </si>
  <si>
    <t>Prijs p/m² boven 100m² excl. btw</t>
  </si>
  <si>
    <t>Vitrage</t>
  </si>
  <si>
    <t>Overgordijnen</t>
  </si>
  <si>
    <t>Verticale lamellen stof</t>
  </si>
  <si>
    <t>Verticale lamellen metaal/kunststof</t>
  </si>
  <si>
    <t>Horizontale lamellen</t>
  </si>
  <si>
    <t>Regietarieven</t>
  </si>
  <si>
    <t>Prijs p/uur excl. btw</t>
  </si>
  <si>
    <t>Schoonmaakonderhoud</t>
  </si>
  <si>
    <t>Maandag - Vrijdag</t>
  </si>
  <si>
    <t>Zaterdag - zondag (incl. 50% toeslag conform cao)</t>
  </si>
  <si>
    <t>Feestdagen (incl. 150% toeslag conform cao)</t>
  </si>
  <si>
    <t>Glazenwasserswerkzaamheden</t>
  </si>
  <si>
    <t>Opmerking:</t>
  </si>
  <si>
    <t>Alle prijzen inclusief materialen en middelen, voorrijkosten en overige bijkomende kosten.</t>
  </si>
  <si>
    <t>Mits anders aangegeven is de uitvoering op reguliere werktijden: maandag t/m vrijdag [06.00 en 21.30 uur]</t>
  </si>
  <si>
    <t>Glassoort</t>
  </si>
  <si>
    <t>M² prijs</t>
  </si>
  <si>
    <t>Buitenzijde</t>
  </si>
  <si>
    <t>Binnenzijde</t>
  </si>
  <si>
    <t>Separatieglas dubbelzijdig</t>
  </si>
  <si>
    <t>Aanvullende omschrijving</t>
  </si>
  <si>
    <t>Aantal m2</t>
  </si>
  <si>
    <r>
      <t>Kosten per m</t>
    </r>
    <r>
      <rPr>
        <b/>
        <vertAlign val="superscript"/>
        <sz val="10"/>
        <color theme="0"/>
        <rFont val="Arial Black"/>
        <family val="2"/>
      </rPr>
      <t>2</t>
    </r>
  </si>
  <si>
    <t>Kosten per beurt</t>
  </si>
  <si>
    <t>Frequentie per jaar</t>
  </si>
  <si>
    <t>Totaalkosten per jaar</t>
  </si>
  <si>
    <t>Machine</t>
  </si>
  <si>
    <t>Omschrijving</t>
  </si>
  <si>
    <t>Catalogus prijs</t>
  </si>
  <si>
    <t>Kortings%</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</si>
  <si>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</si>
  <si>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</si>
  <si>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</si>
  <si>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</si>
  <si>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</si>
  <si>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</si>
  <si>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</si>
  <si>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</si>
  <si>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</si>
  <si>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</si>
  <si>
    <t>Overige cao-gerelateerde verplichtingen (zoals reiskosten)</t>
  </si>
  <si>
    <t>De Rozeboom, gymzaal, Bovenkarspel</t>
  </si>
  <si>
    <t>De Bouw 62</t>
  </si>
  <si>
    <t>De Helt, gymzaal, Bovenkarspel</t>
  </si>
  <si>
    <t>Piet van Egmondweg 2</t>
  </si>
  <si>
    <t>Oostersluis, gymzaal, Grootebroek</t>
  </si>
  <si>
    <t>Stetse 26a</t>
  </si>
  <si>
    <t>De Woud, gymzaal, Grootebroek</t>
  </si>
  <si>
    <t>Kloosterpoort 5</t>
  </si>
  <si>
    <t>Zwembad De Kloet, Grootebroek</t>
  </si>
  <si>
    <t>Raadhuislaan 8</t>
  </si>
  <si>
    <t>De Horn, gymzaal, Lutjebroek</t>
  </si>
  <si>
    <t>Horn 17a</t>
  </si>
  <si>
    <t>De Sluis, Sporthal, Hoogkarspel</t>
  </si>
  <si>
    <t>Sluisweg 2</t>
  </si>
  <si>
    <t>Wiekslag, gymzaal, Wijdenes</t>
  </si>
  <si>
    <t>Molenweg 25/27</t>
  </si>
  <si>
    <t>SAV (Atletiek) , Grootebroek</t>
  </si>
  <si>
    <t>Raadhuislaan 10</t>
  </si>
  <si>
    <t>Om de Noord, gymzaal, Hoogkarspel</t>
  </si>
  <si>
    <t>Noordervoert 53</t>
  </si>
  <si>
    <t>De Flint, Sporthal, Bovenkarspel</t>
  </si>
  <si>
    <t>Princenhof 6</t>
  </si>
  <si>
    <t>Sporthal De Kloet, Grootebroek</t>
  </si>
  <si>
    <t>De Brug, gymzaal, Oosterblokker</t>
  </si>
  <si>
    <t>Boekert 5</t>
  </si>
  <si>
    <t>VV De Zouaven, Grootebroek</t>
  </si>
  <si>
    <t>Raadhuislaan 12</t>
  </si>
  <si>
    <t>bg</t>
  </si>
  <si>
    <t>kantoor</t>
  </si>
  <si>
    <t>tapijt</t>
  </si>
  <si>
    <t>toilet</t>
  </si>
  <si>
    <t>tegel</t>
  </si>
  <si>
    <t>gang</t>
  </si>
  <si>
    <t>kleedruimte</t>
  </si>
  <si>
    <t>douche/toilet</t>
  </si>
  <si>
    <t>toestelberging</t>
  </si>
  <si>
    <t>sportvloer</t>
  </si>
  <si>
    <t>gymzaal</t>
  </si>
  <si>
    <t>entree</t>
  </si>
  <si>
    <t>tegel/mat</t>
  </si>
  <si>
    <t>meterkast</t>
  </si>
  <si>
    <t>gietvloer</t>
  </si>
  <si>
    <t>doucheruimte</t>
  </si>
  <si>
    <t xml:space="preserve">werkkast </t>
  </si>
  <si>
    <t>toilet/douche</t>
  </si>
  <si>
    <t>mat</t>
  </si>
  <si>
    <t>gang incl. verhoging en trapje</t>
  </si>
  <si>
    <t>toilet heren</t>
  </si>
  <si>
    <t>toilet dames</t>
  </si>
  <si>
    <t>vergaderruimte</t>
  </si>
  <si>
    <t>linoleum</t>
  </si>
  <si>
    <t>kassa</t>
  </si>
  <si>
    <t>trapje kassa</t>
  </si>
  <si>
    <t>hout</t>
  </si>
  <si>
    <t>personeelsruimte</t>
  </si>
  <si>
    <t>douche/toilet ruimte</t>
  </si>
  <si>
    <t>miva toilet</t>
  </si>
  <si>
    <t>verenigingskeuken/EHBO</t>
  </si>
  <si>
    <t>Keuken/pantry/koffiecorner</t>
  </si>
  <si>
    <t>toilet zwembad</t>
  </si>
  <si>
    <t>douches</t>
  </si>
  <si>
    <t>doucheruimten</t>
  </si>
  <si>
    <t>rondgang zwembad</t>
  </si>
  <si>
    <t>Perron zwembad</t>
  </si>
  <si>
    <t>berging</t>
  </si>
  <si>
    <t>badrand ondiep bassin</t>
  </si>
  <si>
    <t>badrand diepe bassin</t>
  </si>
  <si>
    <t>trap duikplank</t>
  </si>
  <si>
    <t>ijzer</t>
  </si>
  <si>
    <t>hekwerk hoge duikplank</t>
  </si>
  <si>
    <t>hekwerk lage duikplank</t>
  </si>
  <si>
    <t>blauwe trap glijbaan</t>
  </si>
  <si>
    <t>hal/gang</t>
  </si>
  <si>
    <t>opslag (docentenkamer)</t>
  </si>
  <si>
    <t>sporthal</t>
  </si>
  <si>
    <t>sportzaal</t>
  </si>
  <si>
    <t>scheidsrechter incl. douche 1</t>
  </si>
  <si>
    <t>scheidsrechter incl. douche 2</t>
  </si>
  <si>
    <t>trap tribune incl. bordes</t>
  </si>
  <si>
    <t>1e</t>
  </si>
  <si>
    <t>tribune</t>
  </si>
  <si>
    <t>kleedruimte 1</t>
  </si>
  <si>
    <t>toilet 1</t>
  </si>
  <si>
    <t>doucheruimte 1</t>
  </si>
  <si>
    <t>kleedruimte 2</t>
  </si>
  <si>
    <t>toilet 2</t>
  </si>
  <si>
    <t>doucheruimte 2</t>
  </si>
  <si>
    <t>kleedruimte 3</t>
  </si>
  <si>
    <t>toilet 3</t>
  </si>
  <si>
    <t>doucheruimte 3</t>
  </si>
  <si>
    <t>kleedruimte 4</t>
  </si>
  <si>
    <t>toilet 4</t>
  </si>
  <si>
    <t>doucheruimte 4</t>
  </si>
  <si>
    <t>kantine/bar</t>
  </si>
  <si>
    <t>pvc</t>
  </si>
  <si>
    <t>keuken</t>
  </si>
  <si>
    <t>multifunctionele ruimte</t>
  </si>
  <si>
    <t>jeugdhonk + zithoek en tafelvoetbal</t>
  </si>
  <si>
    <t>gang/hal</t>
  </si>
  <si>
    <t>garderobe</t>
  </si>
  <si>
    <t>opslag</t>
  </si>
  <si>
    <t>werkkast</t>
  </si>
  <si>
    <t>opslag toneel</t>
  </si>
  <si>
    <t>opslag fanfare</t>
  </si>
  <si>
    <t>opslag EHBO</t>
  </si>
  <si>
    <t>kleedruimte heren SAV</t>
  </si>
  <si>
    <t>toilet heren SAV</t>
  </si>
  <si>
    <t>douche heren SAV</t>
  </si>
  <si>
    <t>kleedruimte heren SSV</t>
  </si>
  <si>
    <t>toilet heren SSV</t>
  </si>
  <si>
    <t>douche heren SSV</t>
  </si>
  <si>
    <t>kleedruimte dames SAV</t>
  </si>
  <si>
    <t>douchedames SAV</t>
  </si>
  <si>
    <t>toilet dames SAV</t>
  </si>
  <si>
    <t>kleedruimte dames SSV</t>
  </si>
  <si>
    <t>douche dames SSV</t>
  </si>
  <si>
    <t>toilet dames SSV</t>
  </si>
  <si>
    <t>kleedruimte 5</t>
  </si>
  <si>
    <t>douche</t>
  </si>
  <si>
    <t>personeelskamer Martinuscollege</t>
  </si>
  <si>
    <t>steen</t>
  </si>
  <si>
    <t>EHBO</t>
  </si>
  <si>
    <t>trap</t>
  </si>
  <si>
    <t>hal trap</t>
  </si>
  <si>
    <t>mat/tegel</t>
  </si>
  <si>
    <t>toilet gang</t>
  </si>
  <si>
    <t>douche/kleedruimte leiding</t>
  </si>
  <si>
    <t>berging/opslag</t>
  </si>
  <si>
    <t>zijentree</t>
  </si>
  <si>
    <t>hal</t>
  </si>
  <si>
    <t>alarmruimte/opslag</t>
  </si>
  <si>
    <t>trap incl. voorruimte</t>
  </si>
  <si>
    <t>berging volleybal</t>
  </si>
  <si>
    <t>sportcafe incl. bar</t>
  </si>
  <si>
    <t>opslag keuken</t>
  </si>
  <si>
    <t>steen/hout</t>
  </si>
  <si>
    <t>gang rechts 3 + 4</t>
  </si>
  <si>
    <t>gang links 1 + 2</t>
  </si>
  <si>
    <t>doucheruimte + toilet 4</t>
  </si>
  <si>
    <t>doucheruimte + toilet 3</t>
  </si>
  <si>
    <t>kleedruimte scheidsrechter 2</t>
  </si>
  <si>
    <t>doucheruimte + toilet scheidsrechter 2</t>
  </si>
  <si>
    <t>kleedruimte scheidsrechter 1</t>
  </si>
  <si>
    <t>doucheruimte + toilet scheidsrechter 1</t>
  </si>
  <si>
    <t>doucheruimte + toilet 2</t>
  </si>
  <si>
    <t>doucheruimte + toilet 1</t>
  </si>
  <si>
    <t>toilet/douche ( nu opslag)</t>
  </si>
  <si>
    <t>werkplaats/opslag</t>
  </si>
  <si>
    <t>beton</t>
  </si>
  <si>
    <t>kleedruimte 7</t>
  </si>
  <si>
    <t>wasruimte</t>
  </si>
  <si>
    <t>kleedruimte 8</t>
  </si>
  <si>
    <t>kleedruimte 9</t>
  </si>
  <si>
    <t>kleedruimte 10</t>
  </si>
  <si>
    <t>kleedruimte 11</t>
  </si>
  <si>
    <t>kleedruimte 12</t>
  </si>
  <si>
    <t>kleedruimte 13</t>
  </si>
  <si>
    <t>kleedruimte 14</t>
  </si>
  <si>
    <t>kleedruimte 15</t>
  </si>
  <si>
    <t>kleedruimte 16</t>
  </si>
  <si>
    <t xml:space="preserve">scheidsrechter </t>
  </si>
  <si>
    <t>Berging 1ste team</t>
  </si>
  <si>
    <t>berging kantine</t>
  </si>
  <si>
    <t>bijkeuken</t>
  </si>
  <si>
    <t>massage</t>
  </si>
  <si>
    <t>kantine incl. Bar</t>
  </si>
  <si>
    <t>bestuursruimte</t>
  </si>
  <si>
    <t>mediaruimte</t>
  </si>
  <si>
    <t xml:space="preserve">gang </t>
  </si>
  <si>
    <t>jeugdcommissie</t>
  </si>
  <si>
    <t>was/droogruimte</t>
  </si>
  <si>
    <t>kopieerruimte/archief</t>
  </si>
  <si>
    <t>verzorging/massage</t>
  </si>
  <si>
    <t>kleedruimte 1 plus behandeltafel</t>
  </si>
  <si>
    <t>droogruimte van de kleedruimte</t>
  </si>
  <si>
    <t>kleedruimte 2 plus behandeltafel</t>
  </si>
  <si>
    <t>Kleedruimte 3</t>
  </si>
  <si>
    <t>Kleedruimte 4</t>
  </si>
  <si>
    <t>Kleedruimte 5</t>
  </si>
  <si>
    <t>Kleedruimte 6</t>
  </si>
  <si>
    <t>nio</t>
  </si>
  <si>
    <t>Niet in onderhoud</t>
  </si>
  <si>
    <t>1 x per week (40 weken)</t>
  </si>
  <si>
    <t>1 x per week (46 weken)</t>
  </si>
  <si>
    <t>5 x per week (26 weken)</t>
  </si>
  <si>
    <t>5 x per week (40 weken)</t>
  </si>
  <si>
    <t>5 x per week (46 weken)</t>
  </si>
  <si>
    <t>2</t>
  </si>
  <si>
    <t>Dubbelzijdig gemeten en te bewassen</t>
  </si>
  <si>
    <t>SED organisatie</t>
  </si>
  <si>
    <t>Perceel 2</t>
  </si>
  <si>
    <t>Aanbesteding calculatiemodel versie 1</t>
  </si>
  <si>
    <t>administratieve ruimten</t>
  </si>
  <si>
    <t>3 x per week (52 weken)</t>
  </si>
  <si>
    <t>2 x per week (52 weken)</t>
  </si>
  <si>
    <t>2 x pw (46 weken)/5 x pw 18 weken</t>
  </si>
  <si>
    <t>5 x per week (49 weken)</t>
  </si>
  <si>
    <t>TN2026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</si>
</sst>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413]d\-mmm\-yy;@"/>
    <numFmt numFmtId="197" formatCode="_ [$€-2]\ * #,##0.00_ ;_ [$€-2]\ * \-#,##0.00_ ;_ [$€-2]\ * &quot;-&quot;??_ ;_ @_ "/>
  </numFmts>
  <fonts count="148">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sz val="12"/>
      <color indexed="10"/>
      <name val="Georgia"/>
      <family val="1"/>
    </font>
    <font>
      <b/>
      <sz val="10"/>
      <color theme="1" tint="0.34998626667073579"/>
      <name val="Georgia"/>
      <family val="1"/>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sz val="9"/>
      <color theme="0"/>
      <name val="Arial Black"/>
      <family val="2"/>
    </font>
    <font>
      <b/>
      <vertAlign val="superscript"/>
      <sz val="10"/>
      <color theme="0"/>
      <name val="Arial Black"/>
      <family val="2"/>
    </font>
    <font>
      <b/>
      <sz val="10"/>
      <color theme="1"/>
      <name val="Times New Roman"/>
      <family val="1"/>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rgb="FF0AAAFF"/>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2"/>
      <name val="Timmes"/>
    </font>
    <font>
      <b/>
      <sz val="10"/>
      <color indexed="18"/>
      <name val="Times New Roman"/>
      <family val="1"/>
    </font>
    <font>
      <sz val="12"/>
      <color rgb="FFFF0000"/>
      <name val="Georgia"/>
      <family val="1"/>
    </font>
  </fonts>
  <fills count="6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s>
  <cellStyleXfs count="52886">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7" applyNumberFormat="0" applyAlignment="0" applyProtection="0"/>
    <xf numFmtId="0" fontId="7" fillId="0" borderId="0"/>
    <xf numFmtId="0" fontId="40" fillId="55" borderId="17" applyNumberFormat="0" applyAlignment="0" applyProtection="0"/>
    <xf numFmtId="0" fontId="41" fillId="56" borderId="18" applyNumberFormat="0" applyAlignment="0" applyProtection="0"/>
    <xf numFmtId="0" fontId="41" fillId="56" borderId="18" applyNumberFormat="0" applyAlignment="0" applyProtection="0"/>
    <xf numFmtId="0" fontId="42" fillId="0" borderId="0" applyNumberFormat="0" applyFill="0" applyBorder="0" applyAlignment="0" applyProtection="0"/>
    <xf numFmtId="0" fontId="43" fillId="0" borderId="19"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0" applyNumberFormat="0" applyFill="0" applyAlignment="0" applyProtection="0"/>
    <xf numFmtId="0" fontId="46" fillId="0" borderId="21" applyNumberFormat="0" applyFill="0" applyAlignment="0" applyProtection="0"/>
    <xf numFmtId="0" fontId="47" fillId="0" borderId="22" applyNumberFormat="0" applyFill="0" applyAlignment="0" applyProtection="0"/>
    <xf numFmtId="0" fontId="47" fillId="0" borderId="0" applyNumberFormat="0" applyFill="0" applyBorder="0" applyAlignment="0" applyProtection="0"/>
    <xf numFmtId="0" fontId="48" fillId="57" borderId="17" applyNumberFormat="0" applyAlignment="0" applyProtection="0"/>
    <xf numFmtId="0" fontId="35" fillId="58" borderId="1"/>
    <xf numFmtId="0" fontId="49" fillId="0" borderId="23" applyNumberFormat="0" applyFill="0" applyAlignment="0" applyProtection="0"/>
    <xf numFmtId="0" fontId="50" fillId="0" borderId="24" applyNumberFormat="0" applyFill="0" applyAlignment="0" applyProtection="0"/>
    <xf numFmtId="0" fontId="51" fillId="0" borderId="25"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6"/>
    <xf numFmtId="0" fontId="54" fillId="0" borderId="27"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8" applyNumberFormat="0" applyFont="0" applyAlignment="0" applyProtection="0"/>
    <xf numFmtId="0" fontId="34" fillId="59" borderId="28" applyNumberFormat="0" applyFont="0" applyAlignment="0" applyProtection="0"/>
    <xf numFmtId="0" fontId="56" fillId="37" borderId="0" applyNumberFormat="0" applyBorder="0" applyAlignment="0" applyProtection="0"/>
    <xf numFmtId="0" fontId="57" fillId="55" borderId="29" applyNumberFormat="0" applyAlignment="0" applyProtection="0"/>
    <xf numFmtId="0" fontId="53" fillId="60" borderId="30"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1" applyNumberFormat="0" applyFill="0" applyAlignment="0" applyProtection="0"/>
    <xf numFmtId="0" fontId="60" fillId="0" borderId="32" applyNumberFormat="0" applyFill="0" applyAlignment="0" applyProtection="0"/>
    <xf numFmtId="0" fontId="57" fillId="54" borderId="29"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6"/>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570">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8" fillId="0" borderId="0" xfId="13" applyFont="1" applyAlignment="1" applyProtection="1">
      <alignment vertical="center"/>
      <protection hidden="1"/>
    </xf>
    <xf numFmtId="2" fontId="65" fillId="0" borderId="0" xfId="0" applyNumberFormat="1" applyFont="1" applyAlignment="1">
      <alignment vertical="center"/>
    </xf>
    <xf numFmtId="176" fontId="70"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69" fillId="0" borderId="0" xfId="0"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8" fillId="0" borderId="0" xfId="16" applyNumberFormat="1" applyFont="1" applyFill="1" applyBorder="1" applyAlignment="1" applyProtection="1">
      <alignment horizontal="right" vertical="center"/>
      <protection hidden="1"/>
    </xf>
    <xf numFmtId="10" fontId="64" fillId="0" borderId="0" xfId="16"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5" fillId="0" borderId="0" xfId="84"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4" applyFont="1" applyAlignment="1">
      <alignment horizontal="center" vertical="center"/>
    </xf>
    <xf numFmtId="175" fontId="65" fillId="0" borderId="0" xfId="84" applyNumberFormat="1" applyFont="1" applyAlignment="1">
      <alignment horizontal="center" vertical="center"/>
    </xf>
    <xf numFmtId="0" fontId="65" fillId="0" borderId="0" xfId="103" applyFont="1"/>
    <xf numFmtId="0" fontId="69" fillId="0" borderId="0" xfId="103" applyFont="1"/>
    <xf numFmtId="0" fontId="71" fillId="0" borderId="0" xfId="13" applyFont="1" applyProtection="1">
      <protection hidden="1"/>
    </xf>
    <xf numFmtId="0" fontId="71" fillId="0" borderId="0" xfId="13" applyFont="1" applyAlignment="1" applyProtection="1">
      <alignment horizontal="right" vertical="center"/>
      <protection hidden="1"/>
    </xf>
    <xf numFmtId="2" fontId="71" fillId="0" borderId="0" xfId="13" applyNumberFormat="1" applyFont="1" applyAlignment="1" applyProtection="1">
      <alignment vertical="center"/>
      <protection hidden="1"/>
    </xf>
    <xf numFmtId="0" fontId="71" fillId="0" borderId="0" xfId="13" applyFont="1" applyAlignment="1" applyProtection="1">
      <alignment vertical="center"/>
      <protection hidden="1"/>
    </xf>
    <xf numFmtId="0" fontId="71" fillId="0" borderId="0" xfId="0" applyFont="1"/>
    <xf numFmtId="44" fontId="65" fillId="0" borderId="0" xfId="0" applyNumberFormat="1" applyFont="1"/>
    <xf numFmtId="0" fontId="65" fillId="0" borderId="0" xfId="84" applyFont="1" applyAlignment="1">
      <alignment wrapText="1"/>
    </xf>
    <xf numFmtId="0" fontId="73" fillId="0" borderId="0" xfId="0" applyFont="1"/>
    <xf numFmtId="2" fontId="74" fillId="0" borderId="0" xfId="12" applyNumberFormat="1" applyFont="1"/>
    <xf numFmtId="2" fontId="75" fillId="2" borderId="0" xfId="12" applyNumberFormat="1" applyFont="1" applyFill="1"/>
    <xf numFmtId="0" fontId="77" fillId="0" borderId="0" xfId="89" applyFont="1"/>
    <xf numFmtId="167" fontId="77" fillId="0" borderId="0" xfId="8" applyFont="1"/>
    <xf numFmtId="173" fontId="79" fillId="0" borderId="0" xfId="8" applyNumberFormat="1" applyFont="1" applyAlignment="1">
      <alignment horizontal="center"/>
    </xf>
    <xf numFmtId="167" fontId="77" fillId="0" borderId="36" xfId="8" applyFont="1" applyBorder="1"/>
    <xf numFmtId="49" fontId="81" fillId="0" borderId="0" xfId="63" applyNumberFormat="1" applyFont="1"/>
    <xf numFmtId="0" fontId="81" fillId="0" borderId="0" xfId="63" applyFont="1"/>
    <xf numFmtId="10" fontId="81" fillId="0" borderId="0" xfId="63" applyNumberFormat="1" applyFont="1" applyAlignment="1">
      <alignment horizontal="left"/>
    </xf>
    <xf numFmtId="2" fontId="75" fillId="0" borderId="0" xfId="12" applyNumberFormat="1" applyFont="1"/>
    <xf numFmtId="188" fontId="82" fillId="0" borderId="0" xfId="63" applyNumberFormat="1" applyFont="1" applyAlignment="1">
      <alignment horizontal="left"/>
    </xf>
    <xf numFmtId="0" fontId="77" fillId="0" borderId="0" xfId="63" applyFont="1"/>
    <xf numFmtId="2" fontId="82" fillId="0" borderId="0" xfId="12" applyNumberFormat="1" applyFont="1"/>
    <xf numFmtId="0" fontId="81" fillId="0" borderId="0" xfId="89" applyFont="1"/>
    <xf numFmtId="167" fontId="81" fillId="0" borderId="0" xfId="8" applyFont="1"/>
    <xf numFmtId="2" fontId="79" fillId="0" borderId="0" xfId="89" applyNumberFormat="1" applyFont="1"/>
    <xf numFmtId="0" fontId="84" fillId="0" borderId="0" xfId="89" applyFont="1"/>
    <xf numFmtId="166" fontId="77" fillId="2" borderId="38" xfId="18" applyFont="1" applyFill="1" applyBorder="1" applyAlignment="1">
      <alignment horizontal="right"/>
    </xf>
    <xf numFmtId="166" fontId="77" fillId="2" borderId="38" xfId="18" applyFont="1" applyFill="1" applyBorder="1" applyAlignment="1">
      <alignment horizontal="center"/>
    </xf>
    <xf numFmtId="0" fontId="79" fillId="0" borderId="0" xfId="89" applyFont="1"/>
    <xf numFmtId="0" fontId="77" fillId="0" borderId="0" xfId="0" applyFont="1"/>
    <xf numFmtId="0" fontId="77" fillId="0" borderId="0" xfId="0" applyFont="1" applyAlignment="1">
      <alignment horizontal="center" vertical="center"/>
    </xf>
    <xf numFmtId="2" fontId="85" fillId="0" borderId="0" xfId="12" applyNumberFormat="1" applyFont="1"/>
    <xf numFmtId="0" fontId="77" fillId="0" borderId="0" xfId="17" applyFont="1" applyAlignment="1">
      <alignment horizontal="center"/>
    </xf>
    <xf numFmtId="2" fontId="77" fillId="0" borderId="0" xfId="8" applyNumberFormat="1" applyFont="1" applyAlignment="1">
      <alignment horizontal="left"/>
    </xf>
    <xf numFmtId="172" fontId="77" fillId="0" borderId="0" xfId="17" applyNumberFormat="1" applyFont="1" applyAlignment="1">
      <alignment horizontal="center"/>
    </xf>
    <xf numFmtId="172" fontId="86" fillId="0" borderId="0" xfId="12" applyNumberFormat="1" applyFont="1"/>
    <xf numFmtId="3" fontId="86" fillId="0" borderId="0" xfId="12" applyNumberFormat="1" applyFont="1" applyAlignment="1">
      <alignment horizontal="right"/>
    </xf>
    <xf numFmtId="3" fontId="77" fillId="0" borderId="0" xfId="8" applyNumberFormat="1" applyFont="1" applyAlignment="1">
      <alignment horizontal="right"/>
    </xf>
    <xf numFmtId="0" fontId="77" fillId="0" borderId="0" xfId="17" applyFont="1"/>
    <xf numFmtId="167" fontId="77" fillId="0" borderId="0" xfId="8" applyFont="1" applyAlignment="1">
      <alignment horizontal="right"/>
    </xf>
    <xf numFmtId="0" fontId="77" fillId="0" borderId="0" xfId="17" applyFont="1" applyAlignment="1">
      <alignment horizontal="center" vertical="center"/>
    </xf>
    <xf numFmtId="173" fontId="77" fillId="0" borderId="0" xfId="0" applyNumberFormat="1" applyFont="1"/>
    <xf numFmtId="0" fontId="77" fillId="2" borderId="0" xfId="17" applyFont="1" applyFill="1"/>
    <xf numFmtId="0" fontId="77" fillId="0" borderId="38" xfId="0" applyFont="1" applyBorder="1"/>
    <xf numFmtId="1" fontId="77" fillId="0" borderId="38" xfId="61" applyNumberFormat="1" applyFont="1" applyBorder="1" applyAlignment="1">
      <alignment horizontal="center"/>
    </xf>
    <xf numFmtId="1" fontId="87" fillId="0" borderId="38" xfId="61" applyNumberFormat="1" applyFont="1" applyBorder="1" applyAlignment="1">
      <alignment horizontal="center"/>
    </xf>
    <xf numFmtId="0" fontId="81" fillId="0" borderId="0" xfId="0" applyFont="1"/>
    <xf numFmtId="0" fontId="84" fillId="0" borderId="0" xfId="0" applyFont="1" applyAlignment="1">
      <alignment horizontal="center"/>
    </xf>
    <xf numFmtId="2" fontId="88" fillId="0" borderId="0" xfId="0" applyNumberFormat="1" applyFont="1"/>
    <xf numFmtId="2" fontId="79" fillId="0" borderId="0" xfId="0" applyNumberFormat="1" applyFont="1" applyAlignment="1">
      <alignment horizontal="center"/>
    </xf>
    <xf numFmtId="2" fontId="79" fillId="0" borderId="0" xfId="0" applyNumberFormat="1" applyFont="1"/>
    <xf numFmtId="0" fontId="79" fillId="0" borderId="0" xfId="0" applyFont="1"/>
    <xf numFmtId="1" fontId="79" fillId="0" borderId="0" xfId="0" applyNumberFormat="1" applyFont="1" applyAlignment="1">
      <alignment horizontal="center"/>
    </xf>
    <xf numFmtId="0" fontId="80" fillId="0" borderId="0" xfId="0" applyFont="1"/>
    <xf numFmtId="0" fontId="76" fillId="0" borderId="0" xfId="0" applyFont="1"/>
    <xf numFmtId="167" fontId="79" fillId="0" borderId="0" xfId="8" applyFont="1"/>
    <xf numFmtId="0" fontId="77" fillId="0" borderId="0" xfId="0" applyFont="1" applyAlignment="1">
      <alignment horizontal="center"/>
    </xf>
    <xf numFmtId="0" fontId="77" fillId="0" borderId="4" xfId="0" applyFont="1" applyBorder="1"/>
    <xf numFmtId="1" fontId="77" fillId="0" borderId="4" xfId="0" applyNumberFormat="1" applyFont="1" applyBorder="1" applyAlignment="1">
      <alignment horizontal="center"/>
    </xf>
    <xf numFmtId="0" fontId="77" fillId="0" borderId="16" xfId="0" applyFont="1" applyBorder="1" applyAlignment="1">
      <alignment wrapText="1"/>
    </xf>
    <xf numFmtId="0" fontId="77" fillId="0" borderId="16" xfId="0" applyFont="1" applyBorder="1"/>
    <xf numFmtId="0" fontId="77" fillId="2" borderId="16" xfId="0" applyFont="1" applyFill="1" applyBorder="1" applyAlignment="1">
      <alignment wrapText="1"/>
    </xf>
    <xf numFmtId="0" fontId="83" fillId="0" borderId="16" xfId="59" applyFont="1" applyBorder="1" applyAlignment="1">
      <alignment wrapText="1"/>
    </xf>
    <xf numFmtId="167" fontId="84" fillId="0" borderId="0" xfId="8" applyFont="1" applyFill="1" applyBorder="1" applyAlignment="1">
      <alignment horizontal="center"/>
    </xf>
    <xf numFmtId="2" fontId="84" fillId="0" borderId="0" xfId="8" applyNumberFormat="1" applyFont="1" applyFill="1" applyBorder="1" applyAlignment="1">
      <alignment horizontal="center"/>
    </xf>
    <xf numFmtId="2" fontId="77" fillId="0" borderId="0" xfId="0" applyNumberFormat="1" applyFont="1"/>
    <xf numFmtId="1" fontId="77" fillId="0" borderId="0" xfId="0" applyNumberFormat="1" applyFont="1" applyAlignment="1">
      <alignment horizontal="center"/>
    </xf>
    <xf numFmtId="0" fontId="77" fillId="0" borderId="0" xfId="8" applyNumberFormat="1" applyFont="1" applyFill="1" applyBorder="1" applyAlignment="1"/>
    <xf numFmtId="2" fontId="77" fillId="0" borderId="0" xfId="0" applyNumberFormat="1" applyFont="1" applyAlignment="1">
      <alignment horizontal="right"/>
    </xf>
    <xf numFmtId="1" fontId="81" fillId="0" borderId="0" xfId="0" applyNumberFormat="1" applyFont="1" applyAlignment="1">
      <alignment horizontal="center"/>
    </xf>
    <xf numFmtId="1" fontId="83" fillId="0" borderId="0" xfId="0" applyNumberFormat="1" applyFont="1" applyAlignment="1">
      <alignment horizontal="center"/>
    </xf>
    <xf numFmtId="43" fontId="84" fillId="0" borderId="0" xfId="8" applyNumberFormat="1" applyFont="1" applyFill="1" applyBorder="1" applyAlignment="1">
      <alignment horizontal="center"/>
    </xf>
    <xf numFmtId="0" fontId="83" fillId="0" borderId="0" xfId="0" applyFont="1"/>
    <xf numFmtId="0" fontId="84" fillId="0" borderId="0" xfId="13" applyFont="1" applyProtection="1">
      <protection hidden="1"/>
    </xf>
    <xf numFmtId="0" fontId="77" fillId="0" borderId="0" xfId="13" applyFont="1" applyProtection="1">
      <protection hidden="1"/>
    </xf>
    <xf numFmtId="0" fontId="79" fillId="0" borderId="0" xfId="0" applyFont="1" applyAlignment="1">
      <alignment horizontal="center"/>
    </xf>
    <xf numFmtId="2" fontId="77" fillId="0" borderId="0" xfId="13" applyNumberFormat="1" applyFont="1" applyAlignment="1" applyProtection="1">
      <alignment vertical="center"/>
      <protection hidden="1"/>
    </xf>
    <xf numFmtId="2" fontId="77" fillId="0" borderId="3" xfId="11" applyNumberFormat="1" applyFont="1" applyBorder="1" applyProtection="1">
      <protection hidden="1"/>
    </xf>
    <xf numFmtId="2" fontId="77" fillId="0" borderId="0" xfId="11" applyNumberFormat="1" applyFont="1" applyProtection="1">
      <protection hidden="1"/>
    </xf>
    <xf numFmtId="0" fontId="77" fillId="0" borderId="37" xfId="0" applyFont="1" applyBorder="1"/>
    <xf numFmtId="0" fontId="77" fillId="0" borderId="36" xfId="0" applyFont="1" applyBorder="1" applyAlignment="1">
      <alignment horizontal="left"/>
    </xf>
    <xf numFmtId="0" fontId="91" fillId="0" borderId="3" xfId="13" applyFont="1" applyBorder="1" applyAlignment="1" applyProtection="1">
      <alignment horizontal="left" vertical="center"/>
      <protection hidden="1"/>
    </xf>
    <xf numFmtId="0" fontId="77" fillId="0" borderId="0" xfId="0" applyFont="1" applyAlignment="1">
      <alignment vertical="center"/>
    </xf>
    <xf numFmtId="0" fontId="91" fillId="0" borderId="0" xfId="13" applyFont="1" applyAlignment="1" applyProtection="1">
      <alignment horizontal="left" vertical="center"/>
      <protection hidden="1"/>
    </xf>
    <xf numFmtId="0" fontId="81" fillId="0" borderId="36" xfId="0" applyFont="1" applyBorder="1"/>
    <xf numFmtId="0" fontId="77" fillId="0" borderId="2" xfId="0" applyFont="1" applyBorder="1"/>
    <xf numFmtId="0" fontId="88" fillId="0" borderId="0" xfId="13" applyFont="1" applyProtection="1">
      <protection hidden="1"/>
    </xf>
    <xf numFmtId="0" fontId="93" fillId="0" borderId="0" xfId="0" applyFont="1" applyAlignment="1">
      <alignment horizontal="left" indent="3"/>
    </xf>
    <xf numFmtId="0" fontId="93" fillId="0" borderId="0" xfId="0" applyFont="1"/>
    <xf numFmtId="0" fontId="93" fillId="0" borderId="0" xfId="0" applyFont="1" applyAlignment="1">
      <alignment horizontal="left" indent="1"/>
    </xf>
    <xf numFmtId="180" fontId="93" fillId="0" borderId="0" xfId="0" applyNumberFormat="1" applyFont="1"/>
    <xf numFmtId="179" fontId="93" fillId="0" borderId="0" xfId="0" applyNumberFormat="1" applyFont="1"/>
    <xf numFmtId="0" fontId="94" fillId="0" borderId="0" xfId="13" applyFont="1" applyAlignment="1" applyProtection="1">
      <alignment horizontal="center"/>
      <protection hidden="1"/>
    </xf>
    <xf numFmtId="0" fontId="94" fillId="0" borderId="0" xfId="13" applyFont="1" applyAlignment="1" applyProtection="1">
      <alignment horizontal="right"/>
      <protection hidden="1"/>
    </xf>
    <xf numFmtId="169" fontId="94" fillId="0" borderId="0" xfId="3" applyFont="1" applyFill="1" applyBorder="1" applyAlignment="1" applyProtection="1">
      <alignment horizontal="center"/>
      <protection hidden="1"/>
    </xf>
    <xf numFmtId="175" fontId="94" fillId="0" borderId="0" xfId="3" applyNumberFormat="1" applyFont="1" applyFill="1" applyBorder="1" applyAlignment="1" applyProtection="1">
      <alignment horizontal="center"/>
      <protection hidden="1"/>
    </xf>
    <xf numFmtId="2" fontId="75" fillId="0" borderId="0" xfId="0" applyNumberFormat="1" applyFont="1"/>
    <xf numFmtId="0" fontId="95" fillId="0" borderId="0" xfId="13" applyFont="1" applyAlignment="1" applyProtection="1">
      <alignment horizontal="right"/>
      <protection hidden="1"/>
    </xf>
    <xf numFmtId="0" fontId="96" fillId="0" borderId="0" xfId="0" applyFont="1" applyAlignment="1">
      <alignment horizontal="center" vertical="center"/>
    </xf>
    <xf numFmtId="175" fontId="96" fillId="0" borderId="0" xfId="0" applyNumberFormat="1" applyFont="1" applyAlignment="1">
      <alignment horizontal="center" vertical="center"/>
    </xf>
    <xf numFmtId="1" fontId="75" fillId="0" borderId="0" xfId="0" applyNumberFormat="1" applyFont="1" applyAlignment="1">
      <alignment horizontal="left"/>
    </xf>
    <xf numFmtId="2" fontId="95" fillId="0" borderId="0" xfId="13" applyNumberFormat="1" applyFont="1" applyAlignment="1" applyProtection="1">
      <alignment horizontal="right"/>
      <protection hidden="1"/>
    </xf>
    <xf numFmtId="2" fontId="97" fillId="0" borderId="0" xfId="13" applyNumberFormat="1" applyFont="1" applyAlignment="1" applyProtection="1">
      <alignment horizontal="center"/>
      <protection hidden="1"/>
    </xf>
    <xf numFmtId="0" fontId="77" fillId="0" borderId="0" xfId="0" applyFont="1" applyAlignment="1">
      <alignment vertical="top" wrapText="1"/>
    </xf>
    <xf numFmtId="0" fontId="77" fillId="0" borderId="0" xfId="0" applyFont="1" applyAlignment="1">
      <alignment horizontal="center" wrapText="1"/>
    </xf>
    <xf numFmtId="2" fontId="89" fillId="0" borderId="0" xfId="0" applyNumberFormat="1" applyFont="1"/>
    <xf numFmtId="1" fontId="98" fillId="0" borderId="0" xfId="0" applyNumberFormat="1" applyFont="1" applyAlignment="1">
      <alignment horizontal="left"/>
    </xf>
    <xf numFmtId="2" fontId="97" fillId="0" borderId="0" xfId="13" applyNumberFormat="1" applyFont="1" applyAlignment="1" applyProtection="1">
      <alignment horizontal="right"/>
      <protection hidden="1"/>
    </xf>
    <xf numFmtId="2" fontId="86" fillId="0" borderId="0" xfId="0" applyNumberFormat="1" applyFont="1" applyAlignment="1">
      <alignment horizontal="center" vertical="center"/>
    </xf>
    <xf numFmtId="175" fontId="86" fillId="0" borderId="0" xfId="0" applyNumberFormat="1" applyFont="1" applyAlignment="1">
      <alignment horizontal="center" vertical="center"/>
    </xf>
    <xf numFmtId="2" fontId="87" fillId="0" borderId="38" xfId="3" applyNumberFormat="1" applyFont="1" applyFill="1" applyBorder="1" applyAlignment="1" applyProtection="1">
      <protection hidden="1"/>
    </xf>
    <xf numFmtId="1" fontId="79" fillId="0" borderId="38" xfId="13" applyNumberFormat="1" applyFont="1" applyBorder="1" applyAlignment="1" applyProtection="1">
      <alignment horizontal="center"/>
      <protection hidden="1"/>
    </xf>
    <xf numFmtId="0" fontId="77" fillId="0" borderId="37" xfId="13" applyFont="1" applyBorder="1" applyProtection="1">
      <protection hidden="1"/>
    </xf>
    <xf numFmtId="0" fontId="102" fillId="0" borderId="36" xfId="13" applyFont="1" applyBorder="1" applyAlignment="1" applyProtection="1">
      <alignment horizontal="right"/>
      <protection hidden="1"/>
    </xf>
    <xf numFmtId="2" fontId="95" fillId="0" borderId="0" xfId="13" applyNumberFormat="1" applyFont="1" applyAlignment="1" applyProtection="1">
      <alignment horizontal="center"/>
      <protection hidden="1"/>
    </xf>
    <xf numFmtId="2" fontId="104" fillId="0" borderId="0" xfId="13" applyNumberFormat="1" applyFont="1" applyAlignment="1" applyProtection="1">
      <alignment horizontal="center"/>
      <protection hidden="1"/>
    </xf>
    <xf numFmtId="0" fontId="84" fillId="0" borderId="0" xfId="0" applyFont="1"/>
    <xf numFmtId="2" fontId="77" fillId="0" borderId="37" xfId="13" applyNumberFormat="1" applyFont="1" applyBorder="1" applyProtection="1">
      <protection hidden="1"/>
    </xf>
    <xf numFmtId="0" fontId="79" fillId="0" borderId="38" xfId="0" applyFont="1" applyBorder="1"/>
    <xf numFmtId="0" fontId="103" fillId="0" borderId="0" xfId="0" applyFont="1"/>
    <xf numFmtId="0" fontId="106" fillId="0" borderId="37" xfId="13" applyFont="1" applyBorder="1" applyProtection="1">
      <protection hidden="1"/>
    </xf>
    <xf numFmtId="0" fontId="107" fillId="0" borderId="39" xfId="13" applyFont="1" applyBorder="1" applyProtection="1">
      <protection hidden="1"/>
    </xf>
    <xf numFmtId="0" fontId="107" fillId="0" borderId="36" xfId="13" applyFont="1" applyBorder="1" applyAlignment="1" applyProtection="1">
      <alignment horizontal="right"/>
      <protection hidden="1"/>
    </xf>
    <xf numFmtId="0" fontId="87" fillId="0" borderId="35" xfId="13" applyFont="1" applyBorder="1" applyProtection="1">
      <protection hidden="1"/>
    </xf>
    <xf numFmtId="10" fontId="101" fillId="0" borderId="2" xfId="13" applyNumberFormat="1" applyFont="1" applyBorder="1" applyAlignment="1" applyProtection="1">
      <alignment horizontal="right"/>
      <protection hidden="1"/>
    </xf>
    <xf numFmtId="175" fontId="102" fillId="0" borderId="6" xfId="16" applyNumberFormat="1" applyFont="1" applyFill="1" applyBorder="1" applyAlignment="1" applyProtection="1">
      <alignment horizontal="right"/>
      <protection hidden="1"/>
    </xf>
    <xf numFmtId="0" fontId="101" fillId="0" borderId="0" xfId="0" applyFont="1"/>
    <xf numFmtId="0" fontId="101" fillId="0" borderId="5" xfId="0" applyFont="1" applyBorder="1" applyAlignment="1">
      <alignment horizontal="right"/>
    </xf>
    <xf numFmtId="0" fontId="101" fillId="0" borderId="0" xfId="0" applyFont="1" applyAlignment="1">
      <alignment horizontal="right"/>
    </xf>
    <xf numFmtId="175" fontId="84" fillId="0" borderId="0" xfId="0" applyNumberFormat="1" applyFont="1"/>
    <xf numFmtId="0" fontId="84" fillId="0" borderId="0" xfId="0" applyFont="1" applyAlignment="1">
      <alignment horizontal="right"/>
    </xf>
    <xf numFmtId="2" fontId="74" fillId="0" borderId="0" xfId="63" applyNumberFormat="1" applyFont="1"/>
    <xf numFmtId="2" fontId="75" fillId="0" borderId="0" xfId="63" applyNumberFormat="1" applyFont="1"/>
    <xf numFmtId="0" fontId="77" fillId="0" borderId="35" xfId="0" applyFont="1" applyBorder="1" applyAlignment="1">
      <alignment horizontal="center"/>
    </xf>
    <xf numFmtId="0" fontId="77" fillId="0" borderId="2" xfId="0" applyFont="1" applyBorder="1" applyAlignment="1">
      <alignment horizontal="center"/>
    </xf>
    <xf numFmtId="0" fontId="77" fillId="0" borderId="6" xfId="0" applyFont="1" applyBorder="1" applyAlignment="1">
      <alignment horizontal="center"/>
    </xf>
    <xf numFmtId="0" fontId="103" fillId="0" borderId="0" xfId="10" applyFont="1"/>
    <xf numFmtId="179" fontId="103" fillId="0" borderId="0" xfId="10" applyNumberFormat="1" applyFont="1"/>
    <xf numFmtId="2" fontId="103" fillId="0" borderId="0" xfId="10" applyNumberFormat="1" applyFont="1"/>
    <xf numFmtId="2" fontId="89" fillId="0" borderId="0" xfId="10" applyNumberFormat="1" applyFont="1" applyAlignment="1">
      <alignment vertical="center"/>
    </xf>
    <xf numFmtId="2" fontId="89" fillId="0" borderId="0" xfId="10" applyNumberFormat="1" applyFont="1" applyAlignment="1">
      <alignment horizontal="right" vertical="center"/>
    </xf>
    <xf numFmtId="2" fontId="89" fillId="0" borderId="0" xfId="12" applyNumberFormat="1" applyFont="1"/>
    <xf numFmtId="2" fontId="98" fillId="0" borderId="0" xfId="10" applyNumberFormat="1" applyFont="1" applyAlignment="1">
      <alignment vertical="center"/>
    </xf>
    <xf numFmtId="0" fontId="86" fillId="0" borderId="0" xfId="14" applyFont="1"/>
    <xf numFmtId="2" fontId="86" fillId="0" borderId="0" xfId="14" applyNumberFormat="1" applyFont="1"/>
    <xf numFmtId="0" fontId="77" fillId="0" borderId="0" xfId="10" applyFont="1"/>
    <xf numFmtId="0" fontId="79" fillId="0" borderId="0" xfId="9" applyFont="1" applyAlignment="1" applyProtection="1">
      <alignment horizontal="left" vertical="center"/>
      <protection hidden="1"/>
    </xf>
    <xf numFmtId="0" fontId="77" fillId="0" borderId="0" xfId="9" applyFont="1" applyAlignment="1" applyProtection="1">
      <alignment horizontal="center"/>
      <protection hidden="1"/>
    </xf>
    <xf numFmtId="0" fontId="77" fillId="0" borderId="0" xfId="9" applyFont="1" applyAlignment="1" applyProtection="1">
      <alignment horizontal="left"/>
      <protection hidden="1"/>
    </xf>
    <xf numFmtId="0" fontId="77" fillId="0" borderId="2" xfId="10" applyFont="1" applyBorder="1"/>
    <xf numFmtId="0" fontId="77" fillId="0" borderId="0" xfId="0" applyFont="1" applyAlignment="1">
      <alignment horizontal="left" vertical="center" indent="6"/>
    </xf>
    <xf numFmtId="0" fontId="84" fillId="0" borderId="0" xfId="13" applyFont="1" applyAlignment="1" applyProtection="1">
      <alignment horizontal="center"/>
      <protection hidden="1"/>
    </xf>
    <xf numFmtId="173" fontId="77" fillId="0" borderId="0" xfId="8" applyNumberFormat="1" applyFont="1" applyFill="1" applyAlignment="1" applyProtection="1">
      <protection hidden="1"/>
    </xf>
    <xf numFmtId="0" fontId="77" fillId="0" borderId="0" xfId="84" applyFont="1"/>
    <xf numFmtId="175" fontId="108" fillId="0" borderId="0" xfId="3" applyNumberFormat="1" applyFont="1" applyFill="1" applyBorder="1" applyAlignment="1" applyProtection="1">
      <alignment horizontal="center"/>
      <protection hidden="1"/>
    </xf>
    <xf numFmtId="2" fontId="89" fillId="0" borderId="0" xfId="84" applyNumberFormat="1" applyFont="1"/>
    <xf numFmtId="169" fontId="108" fillId="0" borderId="0" xfId="3" applyFont="1" applyFill="1" applyBorder="1" applyAlignment="1" applyProtection="1">
      <alignment horizontal="center"/>
      <protection hidden="1"/>
    </xf>
    <xf numFmtId="173" fontId="108" fillId="0" borderId="0" xfId="8" applyNumberFormat="1" applyFont="1" applyFill="1" applyBorder="1" applyAlignment="1" applyProtection="1">
      <alignment horizontal="center"/>
      <protection hidden="1"/>
    </xf>
    <xf numFmtId="0" fontId="77" fillId="0" borderId="0" xfId="103" applyFont="1"/>
    <xf numFmtId="0" fontId="77" fillId="0" borderId="0" xfId="103" applyFont="1" applyAlignment="1">
      <alignment horizontal="center"/>
    </xf>
    <xf numFmtId="167" fontId="77" fillId="0" borderId="0" xfId="105" applyFont="1"/>
    <xf numFmtId="173" fontId="77" fillId="0" borderId="0" xfId="8" applyNumberFormat="1" applyFont="1"/>
    <xf numFmtId="0" fontId="77" fillId="0" borderId="38" xfId="84" applyFont="1" applyBorder="1"/>
    <xf numFmtId="0" fontId="77" fillId="0" borderId="0" xfId="97" applyFont="1"/>
    <xf numFmtId="2" fontId="89" fillId="0" borderId="0" xfId="63" applyNumberFormat="1" applyFont="1"/>
    <xf numFmtId="196" fontId="109" fillId="0" borderId="0" xfId="63" applyNumberFormat="1" applyFont="1" applyAlignment="1">
      <alignment horizontal="left"/>
    </xf>
    <xf numFmtId="0" fontId="79" fillId="0" borderId="37" xfId="84" applyFont="1" applyBorder="1"/>
    <xf numFmtId="0" fontId="79" fillId="0" borderId="39" xfId="84" applyFont="1" applyBorder="1"/>
    <xf numFmtId="0" fontId="78" fillId="63" borderId="38" xfId="0" applyFont="1" applyFill="1" applyBorder="1" applyAlignment="1">
      <alignment wrapText="1"/>
    </xf>
    <xf numFmtId="0" fontId="78" fillId="63" borderId="38" xfId="0" applyFont="1" applyFill="1" applyBorder="1"/>
    <xf numFmtId="2" fontId="75" fillId="64" borderId="0" xfId="12" applyNumberFormat="1" applyFont="1" applyFill="1"/>
    <xf numFmtId="2" fontId="74" fillId="64" borderId="0" xfId="12" applyNumberFormat="1" applyFont="1" applyFill="1"/>
    <xf numFmtId="0" fontId="77" fillId="64" borderId="2" xfId="10" applyFont="1" applyFill="1" applyBorder="1"/>
    <xf numFmtId="3" fontId="87" fillId="64" borderId="38" xfId="62" applyNumberFormat="1" applyFont="1" applyFill="1" applyBorder="1" applyAlignment="1" applyProtection="1">
      <alignment horizontal="left" wrapText="1"/>
      <protection hidden="1"/>
    </xf>
    <xf numFmtId="3" fontId="87" fillId="64" borderId="38" xfId="62" applyNumberFormat="1" applyFont="1" applyFill="1" applyBorder="1" applyAlignment="1" applyProtection="1">
      <alignment horizontal="left" vertical="top" wrapText="1"/>
      <protection hidden="1"/>
    </xf>
    <xf numFmtId="167" fontId="112" fillId="63" borderId="33" xfId="8" applyFont="1" applyFill="1" applyBorder="1" applyAlignment="1">
      <alignment horizontal="center" vertical="top" wrapText="1"/>
    </xf>
    <xf numFmtId="0" fontId="111" fillId="0" borderId="0" xfId="0" applyFont="1" applyAlignment="1">
      <alignment horizontal="center" vertical="center"/>
    </xf>
    <xf numFmtId="0" fontId="115" fillId="0" borderId="0" xfId="17" applyFont="1"/>
    <xf numFmtId="1" fontId="79" fillId="0" borderId="38" xfId="61" applyNumberFormat="1" applyFont="1" applyBorder="1" applyAlignment="1">
      <alignment horizontal="center"/>
    </xf>
    <xf numFmtId="2" fontId="116" fillId="0" borderId="0" xfId="0" applyNumberFormat="1" applyFont="1"/>
    <xf numFmtId="2" fontId="114" fillId="63" borderId="33" xfId="0" applyNumberFormat="1" applyFont="1" applyFill="1" applyBorder="1" applyAlignment="1">
      <alignment horizontal="center" vertical="top" wrapText="1"/>
    </xf>
    <xf numFmtId="0" fontId="111" fillId="0" borderId="0" xfId="0" applyFont="1" applyAlignment="1">
      <alignment horizontal="center"/>
    </xf>
    <xf numFmtId="2" fontId="117" fillId="0" borderId="0" xfId="13" applyNumberFormat="1" applyFont="1" applyAlignment="1" applyProtection="1">
      <alignment vertical="center"/>
      <protection locked="0"/>
    </xf>
    <xf numFmtId="2" fontId="122" fillId="0" borderId="0" xfId="13" applyNumberFormat="1" applyFont="1" applyAlignment="1" applyProtection="1">
      <alignment horizontal="center" wrapText="1"/>
      <protection hidden="1"/>
    </xf>
    <xf numFmtId="0" fontId="111" fillId="0" borderId="0" xfId="0" applyFont="1" applyAlignment="1">
      <alignment horizontal="center" wrapText="1"/>
    </xf>
    <xf numFmtId="2" fontId="121" fillId="63" borderId="37" xfId="13" applyNumberFormat="1" applyFont="1" applyFill="1" applyBorder="1" applyAlignment="1" applyProtection="1">
      <alignment horizontal="left" vertical="center" wrapText="1"/>
      <protection hidden="1"/>
    </xf>
    <xf numFmtId="2" fontId="121" fillId="63" borderId="38" xfId="3" applyNumberFormat="1" applyFont="1" applyFill="1" applyBorder="1" applyAlignment="1" applyProtection="1">
      <alignment vertical="center" wrapText="1"/>
      <protection hidden="1"/>
    </xf>
    <xf numFmtId="0" fontId="112" fillId="63" borderId="37" xfId="59" applyFont="1" applyFill="1" applyBorder="1" applyAlignment="1">
      <alignment horizontal="left" vertical="top" wrapText="1"/>
    </xf>
    <xf numFmtId="0" fontId="112" fillId="63" borderId="39" xfId="59" applyFont="1" applyFill="1" applyBorder="1" applyAlignment="1">
      <alignment horizontal="left" vertical="top" wrapText="1"/>
    </xf>
    <xf numFmtId="0" fontId="112" fillId="63" borderId="36" xfId="59" applyFont="1" applyFill="1" applyBorder="1" applyAlignment="1">
      <alignment horizontal="left" vertical="top" wrapText="1"/>
    </xf>
    <xf numFmtId="0" fontId="82" fillId="0" borderId="0" xfId="9" applyFont="1" applyAlignment="1" applyProtection="1">
      <alignment horizontal="left" vertical="center"/>
      <protection hidden="1"/>
    </xf>
    <xf numFmtId="2" fontId="112" fillId="63" borderId="33" xfId="0" applyNumberFormat="1" applyFont="1" applyFill="1" applyBorder="1" applyAlignment="1">
      <alignment horizontal="left" vertical="top" wrapText="1"/>
    </xf>
    <xf numFmtId="0" fontId="111" fillId="0" borderId="0" xfId="84" applyFont="1"/>
    <xf numFmtId="166" fontId="128" fillId="2" borderId="36" xfId="18" applyFont="1" applyFill="1" applyBorder="1" applyAlignment="1"/>
    <xf numFmtId="167" fontId="35" fillId="64" borderId="38" xfId="8" applyFont="1" applyFill="1" applyBorder="1" applyAlignment="1">
      <alignment horizontal="left"/>
    </xf>
    <xf numFmtId="0" fontId="129" fillId="0" borderId="0" xfId="63" applyFont="1"/>
    <xf numFmtId="178" fontId="129" fillId="0" borderId="2" xfId="6" applyNumberFormat="1" applyFont="1" applyFill="1" applyBorder="1" applyAlignment="1"/>
    <xf numFmtId="44" fontId="129" fillId="0" borderId="0" xfId="63" applyNumberFormat="1" applyFont="1"/>
    <xf numFmtId="9" fontId="35" fillId="64" borderId="38" xfId="16" applyFont="1" applyFill="1" applyBorder="1" applyAlignment="1">
      <alignment horizontal="center"/>
    </xf>
    <xf numFmtId="44" fontId="126" fillId="63" borderId="36" xfId="63" applyNumberFormat="1" applyFont="1" applyFill="1" applyBorder="1"/>
    <xf numFmtId="2" fontId="35" fillId="64" borderId="38" xfId="8" applyNumberFormat="1" applyFont="1" applyFill="1" applyBorder="1" applyAlignment="1">
      <alignment horizontal="center"/>
    </xf>
    <xf numFmtId="1" fontId="127" fillId="2" borderId="38" xfId="8" applyNumberFormat="1" applyFont="1" applyFill="1" applyBorder="1" applyAlignment="1">
      <alignment horizontal="center"/>
    </xf>
    <xf numFmtId="173" fontId="127" fillId="2" borderId="38" xfId="8" applyNumberFormat="1" applyFont="1" applyFill="1" applyBorder="1"/>
    <xf numFmtId="167" fontId="127" fillId="2" borderId="38" xfId="8" applyFont="1" applyFill="1" applyBorder="1"/>
    <xf numFmtId="166" fontId="35" fillId="0" borderId="38" xfId="18" applyFont="1" applyBorder="1"/>
    <xf numFmtId="166" fontId="35" fillId="0" borderId="38" xfId="89" applyNumberFormat="1" applyFont="1" applyBorder="1"/>
    <xf numFmtId="173" fontId="78" fillId="63" borderId="37" xfId="8" applyNumberFormat="1" applyFont="1" applyFill="1" applyBorder="1" applyAlignment="1">
      <alignment horizontal="left"/>
    </xf>
    <xf numFmtId="167" fontId="78" fillId="63" borderId="36" xfId="8" applyFont="1" applyFill="1" applyBorder="1"/>
    <xf numFmtId="49" fontId="80" fillId="0" borderId="37" xfId="63" applyNumberFormat="1" applyFont="1" applyBorder="1" applyAlignment="1">
      <alignment vertical="top"/>
    </xf>
    <xf numFmtId="0" fontId="77" fillId="0" borderId="39" xfId="63" applyFont="1" applyBorder="1"/>
    <xf numFmtId="49" fontId="79" fillId="0" borderId="39" xfId="63" applyNumberFormat="1" applyFont="1" applyBorder="1"/>
    <xf numFmtId="49" fontId="78" fillId="63" borderId="37" xfId="63" applyNumberFormat="1" applyFont="1" applyFill="1" applyBorder="1"/>
    <xf numFmtId="0" fontId="78" fillId="63" borderId="39" xfId="63" applyFont="1" applyFill="1" applyBorder="1"/>
    <xf numFmtId="173" fontId="78" fillId="63" borderId="38" xfId="8" applyNumberFormat="1" applyFont="1" applyFill="1" applyBorder="1" applyAlignment="1">
      <alignment vertical="top" wrapText="1"/>
    </xf>
    <xf numFmtId="173" fontId="78" fillId="63" borderId="38" xfId="8" applyNumberFormat="1" applyFont="1" applyFill="1" applyBorder="1" applyAlignment="1">
      <alignment horizontal="center" vertical="top" wrapText="1"/>
    </xf>
    <xf numFmtId="167" fontId="78" fillId="63" borderId="38" xfId="8" applyFont="1" applyFill="1" applyBorder="1" applyAlignment="1">
      <alignment horizontal="center" vertical="top" wrapText="1"/>
    </xf>
    <xf numFmtId="2" fontId="78" fillId="63" borderId="33" xfId="89" applyNumberFormat="1" applyFont="1" applyFill="1" applyBorder="1" applyAlignment="1">
      <alignment vertical="top" wrapText="1"/>
    </xf>
    <xf numFmtId="167" fontId="78" fillId="63" borderId="33" xfId="8" applyFont="1" applyFill="1" applyBorder="1" applyAlignment="1">
      <alignment horizontal="center" vertical="top" wrapText="1"/>
    </xf>
    <xf numFmtId="0" fontId="35" fillId="0" borderId="0" xfId="17" applyFont="1"/>
    <xf numFmtId="0" fontId="127" fillId="0" borderId="0" xfId="17" applyFont="1"/>
    <xf numFmtId="0" fontId="35" fillId="0" borderId="0" xfId="0" applyFont="1"/>
    <xf numFmtId="0" fontId="35" fillId="0" borderId="0" xfId="0" applyFont="1" applyAlignment="1">
      <alignment horizontal="center"/>
    </xf>
    <xf numFmtId="2" fontId="127" fillId="0" borderId="0" xfId="0" applyNumberFormat="1" applyFont="1" applyAlignment="1">
      <alignment horizontal="center"/>
    </xf>
    <xf numFmtId="2" fontId="130" fillId="0" borderId="0" xfId="0" applyNumberFormat="1" applyFont="1" applyAlignment="1">
      <alignment horizontal="center"/>
    </xf>
    <xf numFmtId="2" fontId="136" fillId="0" borderId="0" xfId="12" applyNumberFormat="1" applyFont="1" applyAlignment="1">
      <alignment horizontal="center"/>
    </xf>
    <xf numFmtId="174" fontId="35" fillId="0" borderId="4" xfId="0" applyNumberFormat="1" applyFont="1" applyBorder="1" applyAlignment="1">
      <alignment horizontal="center"/>
    </xf>
    <xf numFmtId="0" fontId="35" fillId="0" borderId="16" xfId="0" applyFont="1" applyBorder="1" applyAlignment="1">
      <alignment horizontal="center" wrapText="1"/>
    </xf>
    <xf numFmtId="0" fontId="35" fillId="2" borderId="16" xfId="0" applyFont="1" applyFill="1" applyBorder="1" applyAlignment="1">
      <alignment horizontal="center" wrapText="1"/>
    </xf>
    <xf numFmtId="0" fontId="133" fillId="0" borderId="16" xfId="59" applyFont="1" applyBorder="1" applyAlignment="1">
      <alignment horizontal="center" wrapText="1"/>
    </xf>
    <xf numFmtId="174" fontId="35" fillId="0" borderId="0" xfId="0" applyNumberFormat="1" applyFont="1" applyAlignment="1">
      <alignment horizontal="center"/>
    </xf>
    <xf numFmtId="43" fontId="132" fillId="0" borderId="38" xfId="8" applyNumberFormat="1" applyFont="1" applyFill="1" applyBorder="1" applyAlignment="1">
      <alignment horizontal="center"/>
    </xf>
    <xf numFmtId="1" fontId="133" fillId="0" borderId="38" xfId="0" applyNumberFormat="1" applyFont="1" applyBorder="1" applyAlignment="1">
      <alignment horizontal="center"/>
    </xf>
    <xf numFmtId="14" fontId="131" fillId="0" borderId="0" xfId="12" applyNumberFormat="1" applyFont="1" applyAlignment="1">
      <alignment horizontal="left"/>
    </xf>
    <xf numFmtId="177" fontId="35" fillId="64" borderId="38" xfId="11" applyNumberFormat="1" applyFont="1" applyFill="1" applyBorder="1" applyAlignment="1" applyProtection="1">
      <alignment vertical="center"/>
      <protection hidden="1"/>
    </xf>
    <xf numFmtId="179" fontId="137"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2" fontId="137" fillId="0" borderId="38" xfId="3" applyNumberFormat="1" applyFont="1" applyFill="1" applyBorder="1" applyAlignment="1" applyProtection="1">
      <protection hidden="1"/>
    </xf>
    <xf numFmtId="166" fontId="137" fillId="35" borderId="38" xfId="18" applyFont="1" applyFill="1" applyBorder="1" applyAlignment="1" applyProtection="1">
      <protection locked="0"/>
    </xf>
    <xf numFmtId="175" fontId="138" fillId="0" borderId="5" xfId="0" applyNumberFormat="1" applyFont="1" applyBorder="1" applyAlignment="1">
      <alignment horizontal="center" vertical="center"/>
    </xf>
    <xf numFmtId="166" fontId="137" fillId="65" borderId="38" xfId="18" applyFont="1" applyFill="1" applyBorder="1" applyAlignment="1" applyProtection="1">
      <protection locked="0"/>
    </xf>
    <xf numFmtId="179" fontId="127" fillId="0" borderId="38" xfId="3" applyNumberFormat="1" applyFont="1" applyFill="1" applyBorder="1" applyAlignment="1" applyProtection="1">
      <protection hidden="1"/>
    </xf>
    <xf numFmtId="169" fontId="137" fillId="0" borderId="38" xfId="3" applyFont="1" applyFill="1" applyBorder="1" applyAlignment="1" applyProtection="1">
      <protection hidden="1"/>
    </xf>
    <xf numFmtId="166" fontId="137" fillId="0" borderId="38" xfId="18" applyFont="1" applyFill="1" applyBorder="1" applyAlignment="1" applyProtection="1">
      <protection locked="0"/>
    </xf>
    <xf numFmtId="169" fontId="137" fillId="0" borderId="38" xfId="3" applyFont="1" applyFill="1" applyBorder="1" applyAlignment="1" applyProtection="1">
      <protection locked="0"/>
    </xf>
    <xf numFmtId="166" fontId="140" fillId="2" borderId="38" xfId="18" applyFont="1" applyFill="1" applyBorder="1" applyAlignment="1" applyProtection="1">
      <alignment horizontal="right"/>
      <protection locked="0"/>
    </xf>
    <xf numFmtId="175" fontId="132" fillId="0" borderId="5" xfId="0" applyNumberFormat="1" applyFont="1" applyBorder="1" applyAlignment="1">
      <alignment horizontal="center" vertical="center"/>
    </xf>
    <xf numFmtId="175" fontId="141" fillId="0" borderId="5" xfId="0" applyNumberFormat="1" applyFont="1" applyBorder="1" applyAlignment="1">
      <alignment horizontal="center" vertical="center"/>
    </xf>
    <xf numFmtId="175" fontId="35" fillId="0" borderId="5" xfId="0" applyNumberFormat="1" applyFont="1" applyBorder="1"/>
    <xf numFmtId="179" fontId="127"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42" fillId="0" borderId="38" xfId="5" applyNumberFormat="1" applyFont="1" applyFill="1" applyBorder="1" applyAlignment="1" applyProtection="1">
      <protection hidden="1"/>
    </xf>
    <xf numFmtId="179" fontId="132" fillId="0" borderId="0" xfId="0" applyNumberFormat="1" applyFont="1"/>
    <xf numFmtId="0" fontId="132" fillId="0" borderId="0" xfId="0" applyFont="1"/>
    <xf numFmtId="14" fontId="131" fillId="0" borderId="0" xfId="0" applyNumberFormat="1" applyFont="1" applyAlignment="1">
      <alignment horizontal="left"/>
    </xf>
    <xf numFmtId="166" fontId="35" fillId="0" borderId="37" xfId="18" applyFont="1" applyFill="1" applyBorder="1" applyAlignment="1" applyProtection="1">
      <protection hidden="1"/>
    </xf>
    <xf numFmtId="166" fontId="127" fillId="0" borderId="38" xfId="18" applyFont="1" applyBorder="1"/>
    <xf numFmtId="1" fontId="127" fillId="0" borderId="38" xfId="13" applyNumberFormat="1" applyFont="1" applyBorder="1" applyAlignment="1" applyProtection="1">
      <alignment horizontal="center"/>
      <protection hidden="1"/>
    </xf>
    <xf numFmtId="166" fontId="35" fillId="64" borderId="38" xfId="18" applyFont="1" applyFill="1" applyBorder="1"/>
    <xf numFmtId="2" fontId="35" fillId="0" borderId="37" xfId="13" applyNumberFormat="1" applyFont="1" applyBorder="1" applyProtection="1">
      <protection hidden="1"/>
    </xf>
    <xf numFmtId="44" fontId="35" fillId="65" borderId="36" xfId="66" applyFont="1" applyFill="1" applyBorder="1" applyAlignment="1" applyProtection="1">
      <protection locked="0"/>
    </xf>
    <xf numFmtId="14" fontId="131" fillId="0" borderId="0" xfId="63" applyNumberFormat="1" applyFont="1" applyAlignment="1">
      <alignment horizontal="left"/>
    </xf>
    <xf numFmtId="0" fontId="35" fillId="0" borderId="0" xfId="103" applyFont="1"/>
    <xf numFmtId="14" fontId="145" fillId="0" borderId="0" xfId="63" applyNumberFormat="1" applyFont="1" applyAlignment="1">
      <alignment horizontal="left"/>
    </xf>
    <xf numFmtId="0" fontId="137" fillId="0" borderId="33" xfId="62" applyFont="1" applyBorder="1" applyAlignment="1" applyProtection="1">
      <alignment horizontal="left" textRotation="90"/>
      <protection hidden="1"/>
    </xf>
    <xf numFmtId="175" fontId="137" fillId="64" borderId="33" xfId="65" applyNumberFormat="1" applyFont="1" applyFill="1" applyBorder="1" applyAlignment="1" applyProtection="1">
      <alignment horizontal="center"/>
      <protection hidden="1"/>
    </xf>
    <xf numFmtId="0" fontId="137" fillId="0" borderId="0" xfId="62" applyFont="1" applyAlignment="1" applyProtection="1">
      <alignment horizontal="left" textRotation="90"/>
      <protection hidden="1"/>
    </xf>
    <xf numFmtId="0" fontId="35" fillId="0" borderId="0" xfId="84" applyFont="1"/>
    <xf numFmtId="0" fontId="146" fillId="0" borderId="0" xfId="62" applyFont="1" applyAlignment="1" applyProtection="1">
      <alignment horizontal="left" textRotation="90"/>
      <protection hidden="1"/>
    </xf>
    <xf numFmtId="179" fontId="137" fillId="64" borderId="38" xfId="62" applyNumberFormat="1" applyFont="1" applyFill="1" applyBorder="1" applyAlignment="1" applyProtection="1">
      <alignment horizontal="center"/>
      <protection hidden="1"/>
    </xf>
    <xf numFmtId="179" fontId="137" fillId="2" borderId="38" xfId="62" applyNumberFormat="1" applyFont="1" applyFill="1" applyBorder="1" applyAlignment="1" applyProtection="1">
      <alignment horizontal="center"/>
      <protection hidden="1"/>
    </xf>
    <xf numFmtId="179" fontId="137" fillId="0" borderId="38" xfId="62" applyNumberFormat="1" applyFont="1" applyBorder="1" applyAlignment="1" applyProtection="1">
      <alignment horizontal="center"/>
      <protection hidden="1"/>
    </xf>
    <xf numFmtId="3" fontId="137" fillId="64" borderId="38" xfId="62" applyNumberFormat="1" applyFont="1" applyFill="1" applyBorder="1" applyAlignment="1" applyProtection="1">
      <alignment horizontal="center"/>
      <protection hidden="1"/>
    </xf>
    <xf numFmtId="166" fontId="35" fillId="0" borderId="38" xfId="102" applyFont="1" applyBorder="1"/>
    <xf numFmtId="180" fontId="35" fillId="0" borderId="38" xfId="84" applyNumberFormat="1" applyFont="1" applyBorder="1"/>
    <xf numFmtId="197" fontId="35" fillId="0" borderId="38" xfId="84" applyNumberFormat="1" applyFont="1" applyBorder="1"/>
    <xf numFmtId="166" fontId="35" fillId="0" borderId="38" xfId="84" applyNumberFormat="1" applyFont="1" applyBorder="1"/>
    <xf numFmtId="0" fontId="127" fillId="0" borderId="39" xfId="84" applyFont="1" applyBorder="1"/>
    <xf numFmtId="0" fontId="127" fillId="0" borderId="36" xfId="84" applyFont="1" applyBorder="1"/>
    <xf numFmtId="49" fontId="127" fillId="0" borderId="38" xfId="8" applyNumberFormat="1" applyFont="1" applyBorder="1" applyAlignment="1">
      <alignment horizontal="center"/>
    </xf>
    <xf numFmtId="166" fontId="127" fillId="0" borderId="38" xfId="84" applyNumberFormat="1" applyFont="1" applyBorder="1"/>
    <xf numFmtId="49" fontId="76" fillId="65" borderId="38" xfId="62" applyNumberFormat="1" applyFont="1" applyFill="1" applyBorder="1" applyAlignment="1" applyProtection="1">
      <alignment horizontal="left" vertical="top"/>
      <protection hidden="1"/>
    </xf>
    <xf numFmtId="2" fontId="78" fillId="63" borderId="38" xfId="89" applyNumberFormat="1" applyFont="1" applyFill="1" applyBorder="1" applyAlignment="1">
      <alignment vertical="top" wrapText="1"/>
    </xf>
    <xf numFmtId="2" fontId="77" fillId="0" borderId="38" xfId="0" applyNumberFormat="1" applyFont="1" applyBorder="1"/>
    <xf numFmtId="2" fontId="77" fillId="0" borderId="38" xfId="89" applyNumberFormat="1" applyFont="1" applyBorder="1"/>
    <xf numFmtId="0" fontId="83" fillId="0" borderId="38" xfId="0" applyFont="1" applyBorder="1"/>
    <xf numFmtId="0" fontId="79" fillId="0" borderId="38" xfId="89" applyFont="1" applyBorder="1"/>
    <xf numFmtId="166" fontId="35" fillId="2" borderId="38" xfId="18" applyFont="1" applyFill="1" applyBorder="1" applyAlignment="1">
      <alignment horizontal="center"/>
    </xf>
    <xf numFmtId="166" fontId="79" fillId="2" borderId="38" xfId="18" applyFont="1" applyFill="1" applyBorder="1"/>
    <xf numFmtId="166" fontId="127" fillId="2" borderId="38" xfId="18" applyFont="1" applyFill="1" applyBorder="1"/>
    <xf numFmtId="1" fontId="110" fillId="0" borderId="37" xfId="0" applyNumberFormat="1" applyFont="1" applyBorder="1" applyAlignment="1">
      <alignment horizontal="left" vertical="center"/>
    </xf>
    <xf numFmtId="1" fontId="110" fillId="0" borderId="39" xfId="0" applyNumberFormat="1" applyFont="1" applyBorder="1" applyAlignment="1">
      <alignment horizontal="left" vertical="center"/>
    </xf>
    <xf numFmtId="1" fontId="135" fillId="0" borderId="39" xfId="0" applyNumberFormat="1" applyFont="1" applyBorder="1" applyAlignment="1">
      <alignment horizontal="center" vertical="center" wrapText="1"/>
    </xf>
    <xf numFmtId="1" fontId="110" fillId="0" borderId="36" xfId="0" applyNumberFormat="1" applyFont="1" applyBorder="1" applyAlignment="1">
      <alignment horizontal="center" vertical="center" wrapText="1"/>
    </xf>
    <xf numFmtId="2" fontId="112" fillId="63" borderId="38" xfId="0" applyNumberFormat="1" applyFont="1" applyFill="1" applyBorder="1" applyAlignment="1">
      <alignment horizontal="left" vertical="center" wrapText="1"/>
    </xf>
    <xf numFmtId="1" fontId="112" fillId="63" borderId="38" xfId="0" applyNumberFormat="1" applyFont="1" applyFill="1" applyBorder="1" applyAlignment="1">
      <alignment horizontal="center" vertical="center" wrapText="1"/>
    </xf>
    <xf numFmtId="9" fontId="125" fillId="64" borderId="38" xfId="61" applyNumberFormat="1" applyFont="1" applyFill="1" applyBorder="1" applyAlignment="1">
      <alignment horizontal="center" vertical="center"/>
    </xf>
    <xf numFmtId="0" fontId="112" fillId="63" borderId="38" xfId="0" applyFont="1" applyFill="1" applyBorder="1" applyAlignment="1">
      <alignment horizontal="left" vertical="center" wrapText="1"/>
    </xf>
    <xf numFmtId="2" fontId="112" fillId="63" borderId="38" xfId="0" applyNumberFormat="1" applyFont="1" applyFill="1" applyBorder="1" applyAlignment="1">
      <alignment horizontal="center" vertical="center" wrapText="1"/>
    </xf>
    <xf numFmtId="1" fontId="113" fillId="0" borderId="38" xfId="0" applyNumberFormat="1" applyFont="1" applyBorder="1" applyAlignment="1">
      <alignment horizontal="center" vertical="center" wrapText="1"/>
    </xf>
    <xf numFmtId="0" fontId="77" fillId="2" borderId="38" xfId="0" applyFont="1" applyFill="1" applyBorder="1" applyAlignment="1">
      <alignment vertical="center"/>
    </xf>
    <xf numFmtId="173" fontId="127" fillId="64" borderId="38" xfId="8" applyNumberFormat="1" applyFont="1" applyFill="1" applyBorder="1" applyAlignment="1">
      <alignment horizontal="center"/>
    </xf>
    <xf numFmtId="173" fontId="35" fillId="0" borderId="38" xfId="8" applyNumberFormat="1" applyFont="1" applyFill="1" applyBorder="1" applyAlignment="1">
      <alignment horizontal="center" vertical="center"/>
    </xf>
    <xf numFmtId="0" fontId="77" fillId="0" borderId="38" xfId="0" applyFont="1" applyBorder="1" applyAlignment="1">
      <alignment horizontal="center" vertical="center"/>
    </xf>
    <xf numFmtId="0" fontId="77" fillId="0" borderId="38" xfId="0" applyFont="1" applyBorder="1" applyAlignment="1">
      <alignment vertical="center"/>
    </xf>
    <xf numFmtId="0" fontId="79" fillId="0" borderId="38" xfId="0" applyFont="1" applyBorder="1" applyAlignment="1">
      <alignment vertical="center"/>
    </xf>
    <xf numFmtId="0" fontId="127" fillId="0" borderId="38" xfId="0" applyFont="1" applyBorder="1"/>
    <xf numFmtId="0" fontId="134" fillId="0" borderId="38" xfId="17" applyFont="1" applyBorder="1" applyAlignment="1">
      <alignment horizontal="left"/>
    </xf>
    <xf numFmtId="173" fontId="127" fillId="0" borderId="38" xfId="8" applyNumberFormat="1" applyFont="1" applyFill="1" applyBorder="1" applyAlignment="1">
      <alignment horizontal="center" vertical="center"/>
    </xf>
    <xf numFmtId="0" fontId="79" fillId="0" borderId="38" xfId="0" applyFont="1" applyBorder="1" applyAlignment="1">
      <alignment horizontal="center" vertical="center"/>
    </xf>
    <xf numFmtId="1" fontId="112" fillId="63" borderId="38" xfId="0" applyNumberFormat="1" applyFont="1" applyFill="1" applyBorder="1" applyAlignment="1">
      <alignment horizontal="left"/>
    </xf>
    <xf numFmtId="1" fontId="112" fillId="63" borderId="38" xfId="0" applyNumberFormat="1" applyFont="1" applyFill="1" applyBorder="1" applyAlignment="1">
      <alignment horizontal="center"/>
    </xf>
    <xf numFmtId="9" fontId="128" fillId="63" borderId="33" xfId="16" applyFont="1" applyFill="1" applyBorder="1" applyAlignment="1">
      <alignment horizontal="center" vertical="top" wrapText="1"/>
    </xf>
    <xf numFmtId="0" fontId="112" fillId="63" borderId="33" xfId="0" applyFont="1" applyFill="1" applyBorder="1" applyAlignment="1">
      <alignment horizontal="left" vertical="top" wrapText="1"/>
    </xf>
    <xf numFmtId="182" fontId="112" fillId="63" borderId="33" xfId="8" applyNumberFormat="1" applyFont="1" applyFill="1" applyBorder="1" applyAlignment="1">
      <alignment horizontal="left" vertical="top" wrapText="1"/>
    </xf>
    <xf numFmtId="167" fontId="114" fillId="63" borderId="33" xfId="8" applyFont="1" applyFill="1" applyBorder="1" applyAlignment="1">
      <alignment horizontal="center" vertical="top" wrapText="1"/>
    </xf>
    <xf numFmtId="1" fontId="77" fillId="0" borderId="38" xfId="0" applyNumberFormat="1" applyFont="1" applyBorder="1" applyAlignment="1">
      <alignment horizontal="center"/>
    </xf>
    <xf numFmtId="174" fontId="35" fillId="0" borderId="38" xfId="0" applyNumberFormat="1" applyFont="1" applyBorder="1" applyAlignment="1">
      <alignment horizontal="center"/>
    </xf>
    <xf numFmtId="1" fontId="129" fillId="0" borderId="38" xfId="0" applyNumberFormat="1" applyFont="1" applyBorder="1" applyAlignment="1">
      <alignment horizontal="center"/>
    </xf>
    <xf numFmtId="1" fontId="132" fillId="0" borderId="38" xfId="8" applyNumberFormat="1" applyFont="1" applyFill="1" applyBorder="1" applyAlignment="1">
      <alignment horizontal="center"/>
    </xf>
    <xf numFmtId="2" fontId="84" fillId="0" borderId="38" xfId="8" applyNumberFormat="1" applyFont="1" applyFill="1" applyBorder="1" applyAlignment="1">
      <alignment horizontal="center"/>
    </xf>
    <xf numFmtId="49" fontId="132" fillId="0" borderId="38" xfId="8" applyNumberFormat="1" applyFont="1" applyFill="1" applyBorder="1" applyAlignment="1">
      <alignment horizontal="center"/>
    </xf>
    <xf numFmtId="173" fontId="132" fillId="0" borderId="38" xfId="8" applyNumberFormat="1" applyFont="1" applyFill="1" applyBorder="1" applyAlignment="1">
      <alignment horizontal="center"/>
    </xf>
    <xf numFmtId="0" fontId="77" fillId="0" borderId="36" xfId="0" applyFont="1" applyBorder="1"/>
    <xf numFmtId="0" fontId="77" fillId="0" borderId="33" xfId="0" applyFont="1" applyBorder="1"/>
    <xf numFmtId="2" fontId="118" fillId="63" borderId="37" xfId="13" applyNumberFormat="1" applyFont="1" applyFill="1" applyBorder="1" applyAlignment="1" applyProtection="1">
      <alignment horizontal="left" vertical="center"/>
      <protection hidden="1"/>
    </xf>
    <xf numFmtId="2" fontId="90" fillId="63" borderId="39" xfId="11" applyNumberFormat="1" applyFont="1" applyFill="1" applyBorder="1" applyProtection="1">
      <protection hidden="1"/>
    </xf>
    <xf numFmtId="2" fontId="90" fillId="63" borderId="36" xfId="11" applyNumberFormat="1" applyFont="1" applyFill="1" applyBorder="1" applyProtection="1">
      <protection hidden="1"/>
    </xf>
    <xf numFmtId="2" fontId="77" fillId="0" borderId="37" xfId="11" applyNumberFormat="1" applyFont="1" applyBorder="1" applyProtection="1">
      <protection hidden="1"/>
    </xf>
    <xf numFmtId="2" fontId="77" fillId="0" borderId="36" xfId="11" applyNumberFormat="1" applyFont="1" applyBorder="1" applyProtection="1">
      <protection hidden="1"/>
    </xf>
    <xf numFmtId="0" fontId="79" fillId="0" borderId="37" xfId="0" applyFont="1" applyBorder="1"/>
    <xf numFmtId="0" fontId="79" fillId="0" borderId="36" xfId="0" applyFont="1" applyBorder="1"/>
    <xf numFmtId="177" fontId="127" fillId="0" borderId="38" xfId="11" applyNumberFormat="1" applyFont="1" applyBorder="1" applyAlignment="1" applyProtection="1">
      <alignment vertical="center"/>
      <protection hidden="1"/>
    </xf>
    <xf numFmtId="177" fontId="35" fillId="0" borderId="38" xfId="11" applyNumberFormat="1" applyFont="1" applyBorder="1" applyAlignment="1" applyProtection="1">
      <alignment vertical="center"/>
      <protection hidden="1"/>
    </xf>
    <xf numFmtId="10" fontId="127" fillId="0" borderId="36" xfId="0" applyNumberFormat="1" applyFont="1" applyBorder="1"/>
    <xf numFmtId="2" fontId="79" fillId="0" borderId="38" xfId="11" applyNumberFormat="1" applyFont="1" applyBorder="1" applyAlignment="1" applyProtection="1">
      <alignment horizontal="center"/>
      <protection hidden="1"/>
    </xf>
    <xf numFmtId="179" fontId="137" fillId="0" borderId="38" xfId="13" applyNumberFormat="1" applyFont="1" applyBorder="1" applyAlignment="1" applyProtection="1">
      <alignment horizontal="left" vertical="center"/>
      <protection hidden="1"/>
    </xf>
    <xf numFmtId="166" fontId="137" fillId="64" borderId="38" xfId="18" applyFont="1" applyFill="1" applyBorder="1" applyAlignment="1" applyProtection="1">
      <alignment horizontal="right" vertical="center"/>
      <protection hidden="1"/>
    </xf>
    <xf numFmtId="0" fontId="77" fillId="0" borderId="37" xfId="11" applyFont="1" applyBorder="1" applyAlignment="1" applyProtection="1">
      <alignment vertical="center"/>
      <protection hidden="1"/>
    </xf>
    <xf numFmtId="10" fontId="35" fillId="64" borderId="38" xfId="11" applyNumberFormat="1" applyFont="1" applyFill="1" applyBorder="1" applyAlignment="1" applyProtection="1">
      <alignment vertical="center"/>
      <protection hidden="1"/>
    </xf>
    <xf numFmtId="0" fontId="77" fillId="0" borderId="39" xfId="0" applyFont="1" applyBorder="1"/>
    <xf numFmtId="0" fontId="79" fillId="0" borderId="37" xfId="13" applyFont="1" applyBorder="1" applyAlignment="1" applyProtection="1">
      <alignment vertical="center"/>
      <protection hidden="1"/>
    </xf>
    <xf numFmtId="0" fontId="79" fillId="0" borderId="39" xfId="0" applyFont="1" applyBorder="1"/>
    <xf numFmtId="10" fontId="127" fillId="0" borderId="38" xfId="16" applyNumberFormat="1" applyFont="1" applyFill="1" applyBorder="1" applyAlignment="1"/>
    <xf numFmtId="0" fontId="118" fillId="63" borderId="37" xfId="13" applyFont="1" applyFill="1" applyBorder="1" applyAlignment="1" applyProtection="1">
      <alignment horizontal="left" vertical="center"/>
      <protection hidden="1"/>
    </xf>
    <xf numFmtId="0" fontId="119" fillId="63" borderId="39" xfId="13" applyFont="1" applyFill="1" applyBorder="1" applyAlignment="1" applyProtection="1">
      <alignment horizontal="left" vertical="center"/>
      <protection hidden="1"/>
    </xf>
    <xf numFmtId="9" fontId="120" fillId="63" borderId="36" xfId="13" applyNumberFormat="1" applyFont="1" applyFill="1" applyBorder="1" applyAlignment="1" applyProtection="1">
      <alignment vertical="center"/>
      <protection hidden="1"/>
    </xf>
    <xf numFmtId="0" fontId="112" fillId="63" borderId="38" xfId="13" applyFont="1" applyFill="1" applyBorder="1" applyAlignment="1" applyProtection="1">
      <alignment horizontal="left" vertical="center"/>
      <protection hidden="1"/>
    </xf>
    <xf numFmtId="0" fontId="87" fillId="0" borderId="38" xfId="13" applyFont="1" applyBorder="1" applyAlignment="1" applyProtection="1">
      <alignment horizontal="left" vertical="center"/>
      <protection hidden="1"/>
    </xf>
    <xf numFmtId="2" fontId="137" fillId="2" borderId="38" xfId="13" applyNumberFormat="1" applyFont="1" applyFill="1" applyBorder="1" applyAlignment="1" applyProtection="1">
      <alignment horizontal="right" vertical="center"/>
      <protection hidden="1"/>
    </xf>
    <xf numFmtId="0" fontId="79" fillId="0" borderId="38" xfId="13" applyFont="1" applyBorder="1" applyAlignment="1" applyProtection="1">
      <alignment vertical="center"/>
      <protection hidden="1"/>
    </xf>
    <xf numFmtId="2" fontId="127" fillId="0" borderId="38" xfId="13" applyNumberFormat="1" applyFont="1" applyBorder="1" applyAlignment="1" applyProtection="1">
      <alignment vertical="center"/>
      <protection hidden="1"/>
    </xf>
    <xf numFmtId="0" fontId="91" fillId="0" borderId="38" xfId="13" applyFont="1" applyBorder="1" applyAlignment="1" applyProtection="1">
      <alignment vertical="center"/>
      <protection hidden="1"/>
    </xf>
    <xf numFmtId="0" fontId="35" fillId="0" borderId="38" xfId="0" applyFont="1" applyBorder="1" applyAlignment="1">
      <alignment vertical="center"/>
    </xf>
    <xf numFmtId="2" fontId="137" fillId="64" borderId="38" xfId="13" applyNumberFormat="1" applyFont="1" applyFill="1" applyBorder="1" applyAlignment="1" applyProtection="1">
      <alignment horizontal="right" vertical="center"/>
      <protection hidden="1"/>
    </xf>
    <xf numFmtId="0" fontId="92" fillId="0" borderId="38" xfId="13" applyFont="1" applyBorder="1" applyAlignment="1" applyProtection="1">
      <alignment vertical="center"/>
      <protection hidden="1"/>
    </xf>
    <xf numFmtId="0" fontId="77" fillId="0" borderId="38" xfId="13" applyFont="1" applyBorder="1" applyAlignment="1" applyProtection="1">
      <alignment vertical="center"/>
      <protection hidden="1"/>
    </xf>
    <xf numFmtId="10" fontId="137" fillId="0" borderId="38" xfId="16" applyNumberFormat="1" applyFont="1" applyFill="1" applyBorder="1" applyAlignment="1" applyProtection="1">
      <alignment vertical="center"/>
      <protection hidden="1"/>
    </xf>
    <xf numFmtId="10" fontId="127" fillId="0" borderId="38" xfId="16" applyNumberFormat="1" applyFont="1" applyFill="1" applyBorder="1" applyAlignment="1" applyProtection="1">
      <alignment vertical="center"/>
      <protection hidden="1"/>
    </xf>
    <xf numFmtId="2" fontId="121" fillId="63" borderId="39" xfId="13" applyNumberFormat="1" applyFont="1" applyFill="1" applyBorder="1" applyAlignment="1" applyProtection="1">
      <alignment horizontal="center" wrapText="1"/>
      <protection hidden="1"/>
    </xf>
    <xf numFmtId="2" fontId="121" fillId="63" borderId="36" xfId="13" applyNumberFormat="1" applyFont="1" applyFill="1" applyBorder="1" applyAlignment="1" applyProtection="1">
      <alignment horizontal="right" wrapText="1"/>
      <protection hidden="1"/>
    </xf>
    <xf numFmtId="2" fontId="99" fillId="0" borderId="39" xfId="3" applyNumberFormat="1" applyFont="1" applyFill="1" applyBorder="1" applyAlignment="1" applyProtection="1">
      <alignment horizontal="center" vertical="center"/>
      <protection hidden="1"/>
    </xf>
    <xf numFmtId="2" fontId="99" fillId="0" borderId="36" xfId="3" applyNumberFormat="1" applyFont="1" applyFill="1" applyBorder="1" applyAlignment="1" applyProtection="1">
      <alignment horizontal="right" vertical="center"/>
      <protection hidden="1"/>
    </xf>
    <xf numFmtId="175" fontId="138" fillId="0" borderId="41" xfId="0" applyNumberFormat="1" applyFont="1" applyBorder="1" applyAlignment="1">
      <alignment horizontal="center" vertical="center"/>
    </xf>
    <xf numFmtId="2" fontId="100" fillId="0" borderId="39" xfId="3" applyNumberFormat="1" applyFont="1" applyFill="1" applyBorder="1" applyAlignment="1" applyProtection="1">
      <alignment horizontal="left" vertical="center"/>
      <protection hidden="1"/>
    </xf>
    <xf numFmtId="2" fontId="94" fillId="0" borderId="36" xfId="3" applyNumberFormat="1" applyFont="1" applyFill="1" applyBorder="1" applyAlignment="1" applyProtection="1">
      <alignment horizontal="right" vertical="center"/>
      <protection hidden="1"/>
    </xf>
    <xf numFmtId="10" fontId="101" fillId="0" borderId="36" xfId="16" applyNumberFormat="1" applyFont="1" applyFill="1" applyBorder="1" applyAlignment="1" applyProtection="1">
      <alignment horizontal="right"/>
      <protection hidden="1"/>
    </xf>
    <xf numFmtId="0" fontId="79" fillId="0" borderId="37" xfId="13" applyFont="1" applyBorder="1" applyProtection="1">
      <protection hidden="1"/>
    </xf>
    <xf numFmtId="0" fontId="103" fillId="0" borderId="39" xfId="13" applyFont="1" applyBorder="1" applyProtection="1">
      <protection hidden="1"/>
    </xf>
    <xf numFmtId="0" fontId="103" fillId="0" borderId="36" xfId="13" applyFont="1" applyBorder="1" applyAlignment="1" applyProtection="1">
      <alignment horizontal="right"/>
      <protection hidden="1"/>
    </xf>
    <xf numFmtId="0" fontId="101" fillId="0" borderId="39" xfId="13" applyFont="1" applyBorder="1" applyAlignment="1" applyProtection="1">
      <alignment horizontal="right"/>
      <protection hidden="1"/>
    </xf>
    <xf numFmtId="0" fontId="101" fillId="0" borderId="36" xfId="13" applyFont="1" applyBorder="1" applyAlignment="1" applyProtection="1">
      <alignment horizontal="right"/>
      <protection hidden="1"/>
    </xf>
    <xf numFmtId="0" fontId="87" fillId="0" borderId="37" xfId="13" applyFont="1" applyBorder="1" applyProtection="1">
      <protection hidden="1"/>
    </xf>
    <xf numFmtId="0" fontId="102" fillId="0" borderId="39" xfId="13" applyFont="1" applyBorder="1" applyAlignment="1" applyProtection="1">
      <alignment horizontal="center"/>
      <protection hidden="1"/>
    </xf>
    <xf numFmtId="175" fontId="139" fillId="0" borderId="38" xfId="16" applyNumberFormat="1" applyFont="1" applyFill="1" applyBorder="1" applyAlignment="1" applyProtection="1">
      <alignment horizontal="center"/>
      <protection hidden="1"/>
    </xf>
    <xf numFmtId="0" fontId="84" fillId="0" borderId="37" xfId="13" applyFont="1" applyBorder="1" applyProtection="1">
      <protection hidden="1"/>
    </xf>
    <xf numFmtId="10" fontId="101" fillId="0" borderId="39" xfId="13" applyNumberFormat="1" applyFont="1" applyBorder="1" applyAlignment="1" applyProtection="1">
      <alignment horizontal="right"/>
      <protection hidden="1"/>
    </xf>
    <xf numFmtId="175" fontId="102" fillId="0" borderId="36" xfId="16" applyNumberFormat="1" applyFont="1" applyFill="1" applyBorder="1" applyAlignment="1" applyProtection="1">
      <alignment horizontal="right"/>
      <protection hidden="1"/>
    </xf>
    <xf numFmtId="9" fontId="137" fillId="64" borderId="38" xfId="16" applyFont="1" applyFill="1" applyBorder="1" applyAlignment="1" applyProtection="1">
      <alignment horizontal="center"/>
      <protection hidden="1"/>
    </xf>
    <xf numFmtId="0" fontId="105" fillId="0" borderId="39" xfId="13" applyFont="1" applyBorder="1" applyAlignment="1" applyProtection="1">
      <alignment horizontal="center"/>
      <protection hidden="1"/>
    </xf>
    <xf numFmtId="169" fontId="102" fillId="0" borderId="39" xfId="13" applyNumberFormat="1" applyFont="1" applyBorder="1" applyAlignment="1" applyProtection="1">
      <alignment horizontal="center"/>
      <protection hidden="1"/>
    </xf>
    <xf numFmtId="165" fontId="102" fillId="0" borderId="39" xfId="13" applyNumberFormat="1" applyFont="1" applyBorder="1" applyAlignment="1" applyProtection="1">
      <alignment horizontal="center"/>
      <protection hidden="1"/>
    </xf>
    <xf numFmtId="9" fontId="127" fillId="0" borderId="38" xfId="0" applyNumberFormat="1" applyFont="1" applyBorder="1" applyAlignment="1">
      <alignment horizontal="center"/>
    </xf>
    <xf numFmtId="9" fontId="127" fillId="61" borderId="38" xfId="65" applyFont="1" applyFill="1" applyBorder="1" applyAlignment="1">
      <alignment horizontal="center"/>
    </xf>
    <xf numFmtId="0" fontId="77" fillId="64" borderId="37" xfId="13" applyFont="1" applyFill="1" applyBorder="1" applyProtection="1">
      <protection hidden="1"/>
    </xf>
    <xf numFmtId="0" fontId="102" fillId="64" borderId="39" xfId="13" applyFont="1" applyFill="1" applyBorder="1" applyAlignment="1" applyProtection="1">
      <alignment horizontal="center"/>
      <protection hidden="1"/>
    </xf>
    <xf numFmtId="0" fontId="102" fillId="64" borderId="36" xfId="13" applyFont="1" applyFill="1" applyBorder="1" applyAlignment="1" applyProtection="1">
      <alignment horizontal="right"/>
      <protection hidden="1"/>
    </xf>
    <xf numFmtId="167" fontId="102" fillId="0" borderId="36" xfId="8" applyFont="1" applyFill="1" applyBorder="1" applyAlignment="1" applyProtection="1">
      <alignment horizontal="right"/>
      <protection hidden="1"/>
    </xf>
    <xf numFmtId="10" fontId="102" fillId="0" borderId="36" xfId="16" applyNumberFormat="1" applyFont="1" applyFill="1" applyBorder="1" applyAlignment="1" applyProtection="1">
      <alignment horizontal="right"/>
      <protection hidden="1"/>
    </xf>
    <xf numFmtId="10" fontId="102" fillId="64" borderId="36" xfId="16" applyNumberFormat="1" applyFont="1" applyFill="1" applyBorder="1" applyAlignment="1" applyProtection="1">
      <alignment horizontal="right"/>
      <protection hidden="1"/>
    </xf>
    <xf numFmtId="0" fontId="102" fillId="0" borderId="39" xfId="13" applyFont="1" applyBorder="1" applyProtection="1">
      <protection hidden="1"/>
    </xf>
    <xf numFmtId="169" fontId="103" fillId="0" borderId="39" xfId="13" applyNumberFormat="1" applyFont="1" applyBorder="1" applyProtection="1">
      <protection hidden="1"/>
    </xf>
    <xf numFmtId="169" fontId="102" fillId="0" borderId="36" xfId="13" applyNumberFormat="1" applyFont="1" applyBorder="1" applyAlignment="1" applyProtection="1">
      <alignment horizontal="right"/>
      <protection hidden="1"/>
    </xf>
    <xf numFmtId="0" fontId="103" fillId="0" borderId="41" xfId="0" applyFont="1" applyBorder="1" applyAlignment="1">
      <alignment horizontal="right"/>
    </xf>
    <xf numFmtId="0" fontId="88" fillId="0" borderId="37" xfId="13" applyFont="1" applyBorder="1" applyProtection="1">
      <protection hidden="1"/>
    </xf>
    <xf numFmtId="169" fontId="101" fillId="0" borderId="39" xfId="13" applyNumberFormat="1" applyFont="1" applyBorder="1" applyProtection="1">
      <protection hidden="1"/>
    </xf>
    <xf numFmtId="169" fontId="101" fillId="0" borderId="36" xfId="13" applyNumberFormat="1" applyFont="1" applyBorder="1" applyAlignment="1" applyProtection="1">
      <alignment horizontal="right"/>
      <protection hidden="1"/>
    </xf>
    <xf numFmtId="2" fontId="119" fillId="63" borderId="37" xfId="13" applyNumberFormat="1" applyFont="1" applyFill="1" applyBorder="1" applyAlignment="1" applyProtection="1">
      <alignment horizontal="left" vertical="center" wrapText="1"/>
      <protection hidden="1"/>
    </xf>
    <xf numFmtId="175" fontId="86" fillId="0" borderId="41" xfId="0" applyNumberFormat="1" applyFont="1" applyBorder="1" applyAlignment="1">
      <alignment horizontal="center" vertical="center"/>
    </xf>
    <xf numFmtId="166" fontId="127" fillId="0" borderId="38" xfId="18" applyFont="1" applyBorder="1" applyAlignment="1">
      <alignment horizontal="center"/>
    </xf>
    <xf numFmtId="0" fontId="112" fillId="63" borderId="38" xfId="59" applyFont="1" applyFill="1" applyBorder="1" applyAlignment="1">
      <alignment horizontal="left" vertical="top" wrapText="1"/>
    </xf>
    <xf numFmtId="0" fontId="35" fillId="0" borderId="38" xfId="0" applyFont="1" applyBorder="1" applyAlignment="1">
      <alignment horizontal="center"/>
    </xf>
    <xf numFmtId="167" fontId="35" fillId="0" borderId="38" xfId="8" applyFont="1" applyBorder="1"/>
    <xf numFmtId="166" fontId="35" fillId="0" borderId="38" xfId="18" applyFont="1" applyFill="1" applyBorder="1"/>
    <xf numFmtId="167" fontId="127" fillId="0" borderId="38" xfId="8" applyFont="1" applyBorder="1"/>
    <xf numFmtId="0" fontId="119" fillId="63" borderId="37" xfId="9" applyFont="1" applyFill="1" applyBorder="1" applyAlignment="1" applyProtection="1">
      <alignment horizontal="left" vertical="center"/>
      <protection hidden="1"/>
    </xf>
    <xf numFmtId="0" fontId="120" fillId="63" borderId="39" xfId="10" applyFont="1" applyFill="1" applyBorder="1"/>
    <xf numFmtId="0" fontId="123" fillId="63" borderId="39" xfId="10" applyFont="1" applyFill="1" applyBorder="1"/>
    <xf numFmtId="0" fontId="123" fillId="63" borderId="36" xfId="10" applyFont="1" applyFill="1" applyBorder="1"/>
    <xf numFmtId="0" fontId="77" fillId="0" borderId="37" xfId="9" applyFont="1" applyBorder="1" applyAlignment="1" applyProtection="1">
      <alignment horizontal="left"/>
      <protection hidden="1"/>
    </xf>
    <xf numFmtId="0" fontId="77" fillId="0" borderId="36" xfId="9" applyFont="1" applyBorder="1" applyAlignment="1" applyProtection="1">
      <alignment horizontal="left"/>
      <protection hidden="1"/>
    </xf>
    <xf numFmtId="0" fontId="77" fillId="0" borderId="38" xfId="9" applyFont="1" applyBorder="1" applyAlignment="1" applyProtection="1">
      <alignment horizontal="left"/>
      <protection hidden="1"/>
    </xf>
    <xf numFmtId="0" fontId="35" fillId="0" borderId="38" xfId="9" applyFont="1" applyBorder="1" applyAlignment="1" applyProtection="1">
      <alignment horizontal="center"/>
      <protection hidden="1"/>
    </xf>
    <xf numFmtId="0" fontId="77" fillId="0" borderId="38" xfId="10" applyFont="1" applyBorder="1"/>
    <xf numFmtId="179" fontId="144" fillId="64" borderId="38" xfId="10" applyNumberFormat="1" applyFont="1" applyFill="1" applyBorder="1"/>
    <xf numFmtId="0" fontId="77" fillId="64" borderId="38" xfId="10" applyFont="1" applyFill="1" applyBorder="1"/>
    <xf numFmtId="0" fontId="90" fillId="63" borderId="39" xfId="10" applyFont="1" applyFill="1" applyBorder="1"/>
    <xf numFmtId="0" fontId="90" fillId="63" borderId="36" xfId="10" applyFont="1" applyFill="1" applyBorder="1"/>
    <xf numFmtId="0" fontId="77" fillId="0" borderId="39" xfId="9" applyFont="1" applyBorder="1" applyAlignment="1" applyProtection="1">
      <alignment horizontal="left" vertical="top"/>
      <protection hidden="1"/>
    </xf>
    <xf numFmtId="0" fontId="77" fillId="0" borderId="36" xfId="9" applyFont="1" applyBorder="1" applyAlignment="1" applyProtection="1">
      <alignment horizontal="center" vertical="top"/>
      <protection hidden="1"/>
    </xf>
    <xf numFmtId="0" fontId="77" fillId="64" borderId="39" xfId="10" applyFont="1" applyFill="1" applyBorder="1"/>
    <xf numFmtId="0" fontId="77" fillId="64" borderId="37" xfId="10" applyFont="1" applyFill="1" applyBorder="1"/>
    <xf numFmtId="0" fontId="77" fillId="0" borderId="39" xfId="10" applyFont="1" applyBorder="1"/>
    <xf numFmtId="0" fontId="77" fillId="0" borderId="38" xfId="9" applyFont="1" applyBorder="1" applyAlignment="1" applyProtection="1">
      <alignment horizontal="left" vertical="center"/>
      <protection hidden="1"/>
    </xf>
    <xf numFmtId="0" fontId="77" fillId="0" borderId="37" xfId="9" applyFont="1" applyBorder="1" applyAlignment="1" applyProtection="1">
      <alignment horizontal="left" vertical="center"/>
      <protection hidden="1"/>
    </xf>
    <xf numFmtId="0" fontId="77" fillId="0" borderId="38" xfId="9" applyFont="1" applyBorder="1" applyAlignment="1" applyProtection="1">
      <alignment horizontal="left" wrapText="1"/>
      <protection hidden="1"/>
    </xf>
    <xf numFmtId="0" fontId="77" fillId="0" borderId="36" xfId="9" applyFont="1" applyBorder="1" applyAlignment="1" applyProtection="1">
      <alignment horizontal="left" wrapText="1"/>
      <protection hidden="1"/>
    </xf>
    <xf numFmtId="0" fontId="77" fillId="0" borderId="38" xfId="9" applyFont="1" applyBorder="1" applyAlignment="1" applyProtection="1">
      <alignment horizontal="right"/>
      <protection hidden="1"/>
    </xf>
    <xf numFmtId="173" fontId="112" fillId="63" borderId="33" xfId="8" applyNumberFormat="1" applyFont="1" applyFill="1" applyBorder="1" applyAlignment="1">
      <alignment vertical="top" wrapText="1"/>
    </xf>
    <xf numFmtId="0" fontId="77" fillId="0" borderId="38" xfId="103" applyFont="1" applyBorder="1" applyAlignment="1">
      <alignment vertical="top" wrapText="1"/>
    </xf>
    <xf numFmtId="44" fontId="35" fillId="65" borderId="38" xfId="66" applyFont="1" applyFill="1" applyBorder="1" applyAlignment="1" applyProtection="1">
      <protection locked="0"/>
    </xf>
    <xf numFmtId="0" fontId="77" fillId="0" borderId="38" xfId="103" applyFont="1" applyBorder="1" applyAlignment="1">
      <alignment vertical="top"/>
    </xf>
    <xf numFmtId="2" fontId="112" fillId="63" borderId="33" xfId="84" applyNumberFormat="1" applyFont="1" applyFill="1" applyBorder="1" applyAlignment="1">
      <alignment horizontal="left" vertical="top" wrapText="1"/>
    </xf>
    <xf numFmtId="2" fontId="112" fillId="63" borderId="33" xfId="84" applyNumberFormat="1" applyFont="1" applyFill="1" applyBorder="1" applyAlignment="1">
      <alignment vertical="top" wrapText="1"/>
    </xf>
    <xf numFmtId="2" fontId="77" fillId="0" borderId="38" xfId="84" applyNumberFormat="1" applyFont="1" applyBorder="1"/>
    <xf numFmtId="166" fontId="35" fillId="0" borderId="38" xfId="18" applyFont="1" applyBorder="1" applyAlignment="1">
      <alignment horizontal="center" vertical="top" wrapText="1"/>
    </xf>
    <xf numFmtId="44" fontId="35" fillId="0" borderId="38" xfId="66" applyFont="1" applyBorder="1" applyAlignment="1">
      <alignment vertical="top" wrapText="1"/>
    </xf>
    <xf numFmtId="49" fontId="35" fillId="0" borderId="38" xfId="103" applyNumberFormat="1" applyFont="1" applyBorder="1" applyAlignment="1">
      <alignment horizontal="center" vertical="top" wrapText="1"/>
    </xf>
    <xf numFmtId="0" fontId="77" fillId="2" borderId="38" xfId="84" applyFont="1" applyFill="1" applyBorder="1"/>
    <xf numFmtId="0" fontId="77" fillId="2" borderId="38" xfId="89" applyFont="1" applyFill="1" applyBorder="1"/>
    <xf numFmtId="2" fontId="79" fillId="2" borderId="37" xfId="84" applyNumberFormat="1" applyFont="1" applyFill="1" applyBorder="1" applyAlignment="1">
      <alignment vertical="top" wrapText="1"/>
    </xf>
    <xf numFmtId="2" fontId="79" fillId="2" borderId="36" xfId="84" applyNumberFormat="1" applyFont="1" applyFill="1" applyBorder="1" applyAlignment="1">
      <alignment vertical="top" wrapText="1"/>
    </xf>
    <xf numFmtId="2" fontId="79" fillId="2" borderId="39" xfId="84" applyNumberFormat="1" applyFont="1" applyFill="1" applyBorder="1" applyAlignment="1">
      <alignment vertical="top" wrapText="1"/>
    </xf>
    <xf numFmtId="3" fontId="127" fillId="2" borderId="39" xfId="8" applyNumberFormat="1" applyFont="1" applyFill="1" applyBorder="1" applyAlignment="1">
      <alignment horizontal="center" vertical="top" wrapText="1"/>
    </xf>
    <xf numFmtId="2" fontId="127" fillId="2" borderId="36" xfId="84" applyNumberFormat="1" applyFont="1" applyFill="1" applyBorder="1" applyAlignment="1">
      <alignment vertical="top" wrapText="1"/>
    </xf>
    <xf numFmtId="180" fontId="127" fillId="2" borderId="37" xfId="84" applyNumberFormat="1" applyFont="1" applyFill="1" applyBorder="1" applyAlignment="1">
      <alignment vertical="top" wrapText="1"/>
    </xf>
    <xf numFmtId="2" fontId="127" fillId="2" borderId="39" xfId="84" applyNumberFormat="1" applyFont="1" applyFill="1" applyBorder="1" applyAlignment="1">
      <alignment vertical="top" wrapText="1"/>
    </xf>
    <xf numFmtId="180" fontId="127" fillId="2" borderId="36" xfId="84" applyNumberFormat="1" applyFont="1" applyFill="1" applyBorder="1" applyAlignment="1">
      <alignment vertical="top" wrapText="1"/>
    </xf>
    <xf numFmtId="3" fontId="35" fillId="2" borderId="38" xfId="8" applyNumberFormat="1" applyFont="1" applyFill="1" applyBorder="1" applyAlignment="1">
      <alignment horizontal="center"/>
    </xf>
    <xf numFmtId="3" fontId="127" fillId="2" borderId="38" xfId="8" applyNumberFormat="1" applyFont="1" applyFill="1" applyBorder="1" applyAlignment="1">
      <alignment horizontal="center"/>
    </xf>
    <xf numFmtId="4" fontId="35" fillId="2" borderId="38" xfId="8" applyNumberFormat="1" applyFont="1" applyFill="1" applyBorder="1" applyAlignment="1">
      <alignment horizontal="center"/>
    </xf>
    <xf numFmtId="4" fontId="127" fillId="2" borderId="38" xfId="8" applyNumberFormat="1" applyFont="1" applyFill="1" applyBorder="1" applyAlignment="1">
      <alignment horizontal="center"/>
    </xf>
    <xf numFmtId="0" fontId="7" fillId="0" borderId="0" xfId="0" applyFont="1"/>
    <xf numFmtId="9" fontId="77" fillId="0" borderId="0" xfId="0" applyNumberFormat="1" applyFont="1"/>
    <xf numFmtId="166" fontId="77" fillId="0" borderId="0" xfId="18" applyFont="1"/>
    <xf numFmtId="9" fontId="77" fillId="0" borderId="0" xfId="16" applyFont="1"/>
    <xf numFmtId="44" fontId="77" fillId="0" borderId="0" xfId="0" applyNumberFormat="1" applyFont="1"/>
    <xf numFmtId="49" fontId="76" fillId="65" borderId="38" xfId="9" applyNumberFormat="1" applyFont="1" applyFill="1" applyBorder="1" applyAlignment="1" applyProtection="1">
      <alignment horizontal="left" vertical="top"/>
      <protection hidden="1"/>
    </xf>
    <xf numFmtId="0" fontId="79" fillId="64" borderId="38" xfId="13" applyFont="1" applyFill="1" applyBorder="1" applyProtection="1">
      <protection hidden="1"/>
    </xf>
    <xf numFmtId="166" fontId="35" fillId="0" borderId="38" xfId="18" applyFont="1" applyFill="1" applyBorder="1" applyAlignment="1" applyProtection="1">
      <protection hidden="1"/>
    </xf>
    <xf numFmtId="166" fontId="137" fillId="2" borderId="38" xfId="18" applyFont="1" applyFill="1" applyBorder="1" applyAlignment="1" applyProtection="1">
      <alignment horizontal="center"/>
      <protection hidden="1"/>
    </xf>
    <xf numFmtId="9" fontId="129" fillId="64" borderId="38" xfId="16" applyFont="1" applyFill="1" applyBorder="1" applyAlignment="1" applyProtection="1">
      <alignment horizontal="center"/>
      <protection hidden="1"/>
    </xf>
    <xf numFmtId="9" fontId="133" fillId="64" borderId="38" xfId="16" applyFont="1" applyFill="1" applyBorder="1" applyAlignment="1" applyProtection="1">
      <alignment horizontal="center"/>
      <protection hidden="1"/>
    </xf>
    <xf numFmtId="173" fontId="80" fillId="0" borderId="0" xfId="8" applyNumberFormat="1" applyFont="1" applyAlignment="1">
      <alignment horizontal="left"/>
    </xf>
    <xf numFmtId="173" fontId="80" fillId="0" borderId="0" xfId="8" applyNumberFormat="1" applyFont="1" applyAlignment="1">
      <alignment horizontal="left" vertical="top"/>
    </xf>
    <xf numFmtId="180" fontId="76" fillId="65" borderId="38" xfId="18" applyNumberFormat="1" applyFont="1" applyFill="1" applyBorder="1" applyAlignment="1" applyProtection="1">
      <alignment horizontal="left" vertical="top"/>
      <protection hidden="1"/>
    </xf>
    <xf numFmtId="10" fontId="133" fillId="64" borderId="38" xfId="16" applyNumberFormat="1" applyFont="1" applyFill="1" applyBorder="1" applyAlignment="1" applyProtection="1">
      <alignment horizontal="center"/>
      <protection hidden="1"/>
    </xf>
    <xf numFmtId="49" fontId="77" fillId="0" borderId="38" xfId="0" applyNumberFormat="1" applyFont="1" applyBorder="1"/>
    <xf numFmtId="49" fontId="77" fillId="0" borderId="0" xfId="0" applyNumberFormat="1" applyFont="1"/>
    <xf numFmtId="175" fontId="77" fillId="0" borderId="0" xfId="0" applyNumberFormat="1" applyFont="1"/>
    <xf numFmtId="9" fontId="127" fillId="0" borderId="0" xfId="0" applyNumberFormat="1" applyFont="1" applyAlignment="1">
      <alignment horizontal="center"/>
    </xf>
    <xf numFmtId="167" fontId="79" fillId="2" borderId="38" xfId="8" applyFont="1" applyFill="1" applyBorder="1" applyAlignment="1">
      <alignment horizontal="center"/>
    </xf>
    <xf numFmtId="44" fontId="77" fillId="0" borderId="0" xfId="89" applyNumberFormat="1" applyFont="1"/>
    <xf numFmtId="2" fontId="35" fillId="0" borderId="38" xfId="0" applyNumberFormat="1" applyFont="1" applyBorder="1" applyAlignment="1">
      <alignment horizontal="center"/>
    </xf>
    <xf numFmtId="2" fontId="35" fillId="0" borderId="36" xfId="0" applyNumberFormat="1" applyFont="1" applyBorder="1" applyAlignment="1">
      <alignment horizontal="center"/>
    </xf>
    <xf numFmtId="2" fontId="35" fillId="0" borderId="16" xfId="0" applyNumberFormat="1" applyFont="1" applyBorder="1" applyAlignment="1">
      <alignment horizontal="center" wrapText="1"/>
    </xf>
    <xf numFmtId="2" fontId="133" fillId="0" borderId="16" xfId="59" applyNumberFormat="1" applyFont="1" applyBorder="1" applyAlignment="1">
      <alignment horizontal="center" wrapText="1"/>
    </xf>
    <xf numFmtId="1" fontId="79" fillId="0" borderId="0" xfId="61" applyNumberFormat="1" applyFont="1" applyAlignment="1">
      <alignment horizontal="center"/>
    </xf>
    <xf numFmtId="167" fontId="77" fillId="0" borderId="0" xfId="8" applyFont="1" applyAlignment="1">
      <alignment horizontal="right" wrapText="1"/>
    </xf>
    <xf numFmtId="2" fontId="112" fillId="63" borderId="37" xfId="0" applyNumberFormat="1" applyFont="1" applyFill="1" applyBorder="1" applyAlignment="1">
      <alignment horizontal="center" vertical="center" wrapText="1"/>
    </xf>
    <xf numFmtId="2" fontId="112" fillId="63" borderId="39" xfId="0" applyNumberFormat="1" applyFont="1" applyFill="1" applyBorder="1" applyAlignment="1">
      <alignment horizontal="center" vertical="center" wrapText="1"/>
    </xf>
    <xf numFmtId="2" fontId="112" fillId="63" borderId="36" xfId="0" applyNumberFormat="1" applyFont="1" applyFill="1" applyBorder="1" applyAlignment="1">
      <alignment horizontal="center" vertical="center" wrapText="1"/>
    </xf>
    <xf numFmtId="0" fontId="81" fillId="2" borderId="0" xfId="0" applyFont="1" applyFill="1"/>
    <xf numFmtId="0" fontId="80" fillId="2" borderId="0" xfId="0" applyFont="1" applyFill="1"/>
    <xf numFmtId="1" fontId="80" fillId="2" borderId="0" xfId="0" applyNumberFormat="1" applyFont="1" applyFill="1" applyAlignment="1">
      <alignment horizontal="center"/>
    </xf>
    <xf numFmtId="0" fontId="76" fillId="2" borderId="0" xfId="0" applyFont="1" applyFill="1"/>
    <xf numFmtId="0" fontId="79" fillId="2" borderId="0" xfId="0" applyFont="1" applyFill="1"/>
    <xf numFmtId="1" fontId="79" fillId="2" borderId="0" xfId="0" applyNumberFormat="1" applyFont="1" applyFill="1" applyAlignment="1">
      <alignment horizontal="center"/>
    </xf>
    <xf numFmtId="2" fontId="147" fillId="2" borderId="0" xfId="63" applyNumberFormat="1" applyFont="1" applyFill="1"/>
    <xf numFmtId="3" fontId="35" fillId="2" borderId="38" xfId="8" applyNumberFormat="1" applyFont="1" applyFill="1" applyBorder="1" applyAlignment="1">
      <alignment horizontal="center" vertical="top" wrapText="1"/>
    </xf>
    <xf numFmtId="167" fontId="77" fillId="2" borderId="0" xfId="8" applyFont="1" applyFill="1"/>
    <xf numFmtId="180" fontId="77" fillId="2" borderId="38" xfId="8" applyNumberFormat="1" applyFont="1" applyFill="1" applyBorder="1" applyAlignment="1">
      <alignment horizontal="center"/>
    </xf>
    <xf numFmtId="173" fontId="77" fillId="0" borderId="0" xfId="8" applyNumberFormat="1" applyFont="1" applyAlignment="1">
      <alignment horizontal="right"/>
    </xf>
    <xf numFmtId="173" fontId="81" fillId="2" borderId="0" xfId="8" applyNumberFormat="1" applyFont="1" applyFill="1" applyAlignment="1">
      <alignment horizontal="right"/>
    </xf>
    <xf numFmtId="173" fontId="77" fillId="2" borderId="0" xfId="8" applyNumberFormat="1" applyFont="1" applyFill="1" applyAlignment="1">
      <alignment horizontal="right"/>
    </xf>
    <xf numFmtId="0" fontId="79" fillId="0" borderId="0" xfId="89" applyFont="1" applyAlignment="1">
      <alignment horizontal="right"/>
    </xf>
    <xf numFmtId="167" fontId="81" fillId="2" borderId="0" xfId="8" applyFont="1" applyFill="1" applyAlignment="1">
      <alignment horizontal="right"/>
    </xf>
    <xf numFmtId="167" fontId="77" fillId="2" borderId="0" xfId="8" applyFont="1" applyFill="1" applyAlignment="1">
      <alignment horizontal="right"/>
    </xf>
    <xf numFmtId="166" fontId="35" fillId="0" borderId="38" xfId="18" applyFont="1" applyFill="1" applyBorder="1" applyAlignment="1">
      <alignment horizontal="center"/>
    </xf>
    <xf numFmtId="167" fontId="77" fillId="0" borderId="0" xfId="8" applyFont="1" applyFill="1"/>
    <xf numFmtId="173" fontId="78" fillId="63" borderId="37" xfId="8" applyNumberFormat="1" applyFont="1" applyFill="1" applyBorder="1" applyAlignment="1">
      <alignment horizontal="center" vertical="top"/>
    </xf>
    <xf numFmtId="173" fontId="78" fillId="62" borderId="39" xfId="8" applyNumberFormat="1" applyFont="1" applyFill="1" applyBorder="1" applyAlignment="1">
      <alignment horizontal="center" vertical="top"/>
    </xf>
    <xf numFmtId="173" fontId="78" fillId="62" borderId="36" xfId="8" applyNumberFormat="1" applyFont="1" applyFill="1" applyBorder="1" applyAlignment="1">
      <alignment horizontal="center" vertical="top"/>
    </xf>
    <xf numFmtId="173" fontId="78" fillId="63" borderId="37" xfId="8" applyNumberFormat="1" applyFont="1" applyFill="1" applyBorder="1" applyAlignment="1">
      <alignment horizontal="center"/>
    </xf>
    <xf numFmtId="173" fontId="78" fillId="62" borderId="39" xfId="8" applyNumberFormat="1" applyFont="1" applyFill="1" applyBorder="1" applyAlignment="1">
      <alignment horizontal="center"/>
    </xf>
    <xf numFmtId="173" fontId="78" fillId="62" borderId="36" xfId="8" applyNumberFormat="1" applyFont="1" applyFill="1" applyBorder="1" applyAlignment="1">
      <alignment horizontal="center"/>
    </xf>
    <xf numFmtId="167" fontId="114" fillId="63" borderId="34" xfId="8" applyFont="1" applyFill="1" applyBorder="1" applyAlignment="1">
      <alignment horizontal="center" vertical="top" wrapText="1"/>
    </xf>
    <xf numFmtId="167" fontId="114" fillId="62" borderId="40" xfId="8" applyFont="1" applyFill="1" applyBorder="1" applyAlignment="1">
      <alignment horizontal="center" vertical="top" wrapText="1"/>
    </xf>
    <xf numFmtId="167" fontId="114" fillId="62" borderId="41" xfId="8" applyFont="1" applyFill="1" applyBorder="1" applyAlignment="1">
      <alignment horizontal="center" vertical="top" wrapText="1"/>
    </xf>
    <xf numFmtId="167" fontId="114" fillId="62" borderId="35" xfId="8" applyFont="1" applyFill="1" applyBorder="1" applyAlignment="1">
      <alignment horizontal="center" vertical="top" wrapText="1"/>
    </xf>
    <xf numFmtId="167" fontId="114" fillId="62" borderId="2" xfId="8" applyFont="1" applyFill="1" applyBorder="1" applyAlignment="1">
      <alignment horizontal="center" vertical="top" wrapText="1"/>
    </xf>
    <xf numFmtId="167" fontId="114" fillId="62" borderId="6" xfId="8" applyFont="1" applyFill="1" applyBorder="1" applyAlignment="1">
      <alignment horizontal="center" vertical="top" wrapText="1"/>
    </xf>
    <xf numFmtId="49" fontId="112" fillId="63" borderId="37" xfId="63" applyNumberFormat="1" applyFont="1" applyFill="1" applyBorder="1" applyAlignment="1">
      <alignment horizontal="left" vertical="top" wrapText="1"/>
    </xf>
    <xf numFmtId="49" fontId="112" fillId="62" borderId="39" xfId="63" applyNumberFormat="1" applyFont="1" applyFill="1" applyBorder="1" applyAlignment="1">
      <alignment horizontal="left" vertical="top" wrapText="1"/>
    </xf>
    <xf numFmtId="49" fontId="112" fillId="62" borderId="36" xfId="63" applyNumberFormat="1" applyFont="1" applyFill="1" applyBorder="1" applyAlignment="1">
      <alignment horizontal="left" vertical="top" wrapText="1"/>
    </xf>
    <xf numFmtId="0" fontId="77" fillId="0" borderId="37" xfId="0" applyFont="1" applyBorder="1" applyAlignment="1">
      <alignment horizontal="left"/>
    </xf>
    <xf numFmtId="0" fontId="77" fillId="0" borderId="36" xfId="0" applyFont="1" applyBorder="1" applyAlignment="1">
      <alignment horizontal="left"/>
    </xf>
    <xf numFmtId="0" fontId="79" fillId="0" borderId="37" xfId="13" applyFont="1" applyBorder="1" applyAlignment="1" applyProtection="1">
      <alignment horizontal="left" vertical="center"/>
      <protection hidden="1"/>
    </xf>
    <xf numFmtId="0" fontId="79" fillId="0" borderId="36" xfId="13" applyFont="1" applyBorder="1" applyAlignment="1" applyProtection="1">
      <alignment horizontal="left" vertical="center"/>
      <protection hidden="1"/>
    </xf>
    <xf numFmtId="2" fontId="121" fillId="63" borderId="37" xfId="13" applyNumberFormat="1" applyFont="1" applyFill="1" applyBorder="1" applyAlignment="1" applyProtection="1">
      <alignment horizontal="center" vertical="center" wrapText="1"/>
      <protection hidden="1"/>
    </xf>
    <xf numFmtId="2" fontId="121" fillId="63" borderId="39" xfId="13" applyNumberFormat="1" applyFont="1" applyFill="1" applyBorder="1" applyAlignment="1" applyProtection="1">
      <alignment horizontal="center" vertical="center" wrapText="1"/>
      <protection hidden="1"/>
    </xf>
    <xf numFmtId="2" fontId="121" fillId="63" borderId="36" xfId="13" applyNumberFormat="1" applyFont="1" applyFill="1" applyBorder="1" applyAlignment="1" applyProtection="1">
      <alignment horizontal="center" vertical="center" wrapText="1"/>
      <protection hidden="1"/>
    </xf>
    <xf numFmtId="2" fontId="121" fillId="63" borderId="37" xfId="13" applyNumberFormat="1" applyFont="1" applyFill="1" applyBorder="1" applyAlignment="1" applyProtection="1">
      <alignment horizontal="left" vertical="center" wrapText="1"/>
      <protection hidden="1"/>
    </xf>
    <xf numFmtId="2" fontId="121" fillId="63" borderId="39" xfId="13" applyNumberFormat="1" applyFont="1" applyFill="1" applyBorder="1" applyAlignment="1" applyProtection="1">
      <alignment horizontal="left" vertical="center" wrapText="1"/>
      <protection hidden="1"/>
    </xf>
    <xf numFmtId="2" fontId="121" fillId="63" borderId="36" xfId="13" applyNumberFormat="1" applyFont="1" applyFill="1" applyBorder="1" applyAlignment="1" applyProtection="1">
      <alignment horizontal="left" vertical="center" wrapText="1"/>
      <protection hidden="1"/>
    </xf>
    <xf numFmtId="2" fontId="121" fillId="63" borderId="37" xfId="3" applyNumberFormat="1" applyFont="1" applyFill="1" applyBorder="1" applyAlignment="1" applyProtection="1">
      <alignment horizontal="center" vertical="center" wrapText="1"/>
      <protection hidden="1"/>
    </xf>
    <xf numFmtId="0" fontId="112" fillId="62" borderId="36" xfId="0" applyFont="1" applyFill="1" applyBorder="1" applyAlignment="1">
      <alignment horizontal="center" vertical="center" wrapText="1"/>
    </xf>
    <xf numFmtId="0" fontId="77" fillId="0" borderId="0" xfId="0" applyFont="1" applyAlignment="1">
      <alignment horizontal="left" vertical="top" wrapText="1"/>
    </xf>
    <xf numFmtId="2" fontId="121" fillId="63" borderId="38" xfId="13" applyNumberFormat="1" applyFont="1" applyFill="1" applyBorder="1" applyAlignment="1" applyProtection="1">
      <alignment horizontal="center" vertical="center" wrapText="1"/>
      <protection hidden="1"/>
    </xf>
    <xf numFmtId="2" fontId="121" fillId="62" borderId="38" xfId="13" applyNumberFormat="1" applyFont="1" applyFill="1" applyBorder="1" applyAlignment="1" applyProtection="1">
      <alignment horizontal="center" vertical="center" wrapText="1"/>
      <protection hidden="1"/>
    </xf>
    <xf numFmtId="0" fontId="77" fillId="0" borderId="37" xfId="9" applyFont="1" applyBorder="1" applyAlignment="1" applyProtection="1">
      <alignment horizontal="center"/>
      <protection hidden="1"/>
    </xf>
    <xf numFmtId="0" fontId="77" fillId="0" borderId="39" xfId="9" applyFont="1" applyBorder="1" applyAlignment="1" applyProtection="1">
      <alignment horizontal="center"/>
      <protection hidden="1"/>
    </xf>
    <xf numFmtId="0" fontId="77" fillId="0" borderId="36" xfId="9" applyFont="1" applyBorder="1" applyAlignment="1" applyProtection="1">
      <alignment horizontal="center"/>
      <protection hidden="1"/>
    </xf>
    <xf numFmtId="166" fontId="35" fillId="2" borderId="38" xfId="18" applyFont="1" applyFill="1" applyBorder="1"/>
    <xf numFmtId="10" fontId="143" fillId="2" borderId="38" xfId="16" applyNumberFormat="1" applyFont="1" applyFill="1" applyBorder="1" applyAlignment="1" applyProtection="1">
      <alignment horizontal="right"/>
      <protection hidden="1"/>
    </xf>
    <xf numFmtId="0" fontId="137" fillId="64" borderId="38" xfId="3" applyNumberFormat="1" applyFont="1" applyFill="1" applyBorder="1" applyAlignment="1" applyProtection="1">
      <protection hidden="1"/>
    </xf>
    <xf numFmtId="9" fontId="139" fillId="0" borderId="38" xfId="16" applyFont="1" applyFill="1" applyBorder="1" applyAlignment="1" applyProtection="1">
      <alignment horizontal="center"/>
      <protection hidden="1"/>
    </xf>
    <xf numFmtId="2" fontId="97" fillId="64" borderId="0" xfId="13" applyNumberFormat="1" applyFont="1" applyFill="1" applyAlignment="1" applyProtection="1">
      <alignment horizontal="center"/>
      <protection hidden="1"/>
    </xf>
    <xf numFmtId="0" fontId="137" fillId="65" borderId="38" xfId="18" applyNumberFormat="1" applyFont="1" applyFill="1" applyBorder="1" applyAlignment="1" applyProtection="1">
      <protection locked="0"/>
    </xf>
    <xf numFmtId="2" fontId="75" fillId="0" borderId="0" xfId="12" applyNumberFormat="1" applyFont="1" applyFill="1"/>
    <xf numFmtId="2" fontId="74" fillId="0" borderId="0" xfId="12" applyNumberFormat="1" applyFont="1" applyFill="1"/>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9">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26669</xdr:rowOff>
    </xdr:from>
    <xdr:to>
      <xdr:col>16</xdr:col>
      <xdr:colOff>135255</xdr:colOff>
      <xdr:row>49</xdr:row>
      <xdr:rowOff>76200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88694"/>
          <a:ext cx="11172825" cy="7174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100" b="1">
              <a:solidFill>
                <a:schemeClr val="dk1"/>
              </a:solidFill>
              <a:effectLst/>
              <a:latin typeface="Georgia" panose="02040502050405020303" pitchFamily="18" charset="0"/>
              <a:ea typeface="+mn-ea"/>
              <a:cs typeface="+mn-cs"/>
            </a:rPr>
            <a:t>Algemeen</a:t>
          </a:r>
        </a:p>
        <a:p>
          <a:pPr marL="0" lvl="0" indent="0"/>
          <a:r>
            <a:rPr lang="nl-NL" sz="11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100" b="0">
            <a:solidFill>
              <a:schemeClr val="dk1"/>
            </a:solidFill>
            <a:effectLst/>
            <a:latin typeface="Georgia" panose="02040502050405020303" pitchFamily="18" charset="0"/>
            <a:ea typeface="+mn-ea"/>
            <a:cs typeface="+mn-cs"/>
          </a:endParaRPr>
        </a:p>
        <a:p>
          <a:pPr lvl="0"/>
          <a:r>
            <a:rPr lang="nl-NL" sz="11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Prijsniveau</a:t>
          </a:r>
        </a:p>
        <a:p>
          <a:r>
            <a:rPr lang="nl-NL" sz="1100" b="0">
              <a:solidFill>
                <a:schemeClr val="dk1"/>
              </a:solidFill>
              <a:effectLst/>
              <a:latin typeface="Georgia" panose="02040502050405020303" pitchFamily="18" charset="0"/>
              <a:ea typeface="+mn-ea"/>
              <a:cs typeface="+mn-cs"/>
            </a:rPr>
            <a:t>Het loon- en </a:t>
          </a:r>
          <a:r>
            <a:rPr lang="nl-NL" sz="1100" b="0">
              <a:solidFill>
                <a:sysClr val="windowText" lastClr="000000"/>
              </a:solidFill>
              <a:effectLst/>
              <a:latin typeface="Georgia" panose="02040502050405020303" pitchFamily="18" charset="0"/>
              <a:ea typeface="+mn-ea"/>
              <a:cs typeface="+mn-cs"/>
            </a:rPr>
            <a:t>prijspeil van 1 januari 2026 is het uitgangspunt </a:t>
          </a:r>
          <a:r>
            <a:rPr lang="nl-NL" sz="11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Ruimtestaat</a:t>
          </a:r>
        </a:p>
        <a:p>
          <a:r>
            <a:rPr lang="nl-NL" sz="11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Contractjaarprijs</a:t>
          </a:r>
        </a:p>
        <a:p>
          <a:r>
            <a:rPr lang="nl-NL" sz="1100" b="0">
              <a:solidFill>
                <a:schemeClr val="dk1"/>
              </a:solidFill>
              <a:effectLst/>
              <a:latin typeface="Georgia" panose="02040502050405020303" pitchFamily="18" charset="0"/>
              <a:ea typeface="+mn-ea"/>
              <a:cs typeface="+mn-cs"/>
            </a:rPr>
            <a:t>De contractjaarprijs is opgebouwd uit alle componenten die zijn opgenomen in het calculatiemodel met uitzondering </a:t>
          </a:r>
          <a:r>
            <a:rPr lang="nl-NL" sz="1100" b="0">
              <a:solidFill>
                <a:sysClr val="windowText" lastClr="000000"/>
              </a:solidFill>
              <a:effectLst/>
              <a:latin typeface="Georgia" panose="02040502050405020303" pitchFamily="18" charset="0"/>
              <a:ea typeface="+mn-ea"/>
              <a:cs typeface="+mn-cs"/>
            </a:rPr>
            <a:t>van de afroepprijzen.</a:t>
          </a:r>
          <a:endParaRPr lang="nl-NL" sz="1100" b="1">
            <a:solidFill>
              <a:sysClr val="windowText" lastClr="000000"/>
            </a:solidFill>
            <a:effectLst/>
            <a:latin typeface="Georgia" panose="02040502050405020303" pitchFamily="18" charset="0"/>
            <a:ea typeface="+mn-ea"/>
            <a:cs typeface="+mn-cs"/>
          </a:endParaRP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Uurtarieven</a:t>
          </a:r>
        </a:p>
        <a:p>
          <a:pPr marL="0" indent="0"/>
          <a:r>
            <a:rPr lang="nl-NL" sz="11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100" b="0">
              <a:solidFill>
                <a:schemeClr val="dk1"/>
              </a:solidFill>
              <a:effectLst/>
              <a:latin typeface="Georgia" panose="02040502050405020303" pitchFamily="18" charset="0"/>
              <a:ea typeface="+mn-ea"/>
              <a:cs typeface="+mn-cs"/>
            </a:rPr>
            <a:t> </a:t>
          </a:r>
        </a:p>
        <a:p>
          <a:pPr marL="0" indent="0"/>
          <a:r>
            <a:rPr lang="nl-NL" sz="11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a:t>
          </a:r>
        </a:p>
        <a:p>
          <a:pPr marL="0" indent="0"/>
          <a:endParaRPr lang="nl-NL" sz="1100" b="1">
            <a:solidFill>
              <a:schemeClr val="dk1"/>
            </a:solidFill>
            <a:effectLst/>
            <a:latin typeface="Georgia" panose="02040502050405020303" pitchFamily="18" charset="0"/>
            <a:ea typeface="+mn-ea"/>
            <a:cs typeface="+mn-cs"/>
          </a:endParaRPr>
        </a:p>
        <a:p>
          <a:pPr lvl="0"/>
          <a:r>
            <a:rPr lang="nl-NL" sz="1100" b="1">
              <a:solidFill>
                <a:sysClr val="windowText" lastClr="000000"/>
              </a:solidFill>
              <a:effectLst/>
              <a:latin typeface="Georgia" panose="02040502050405020303" pitchFamily="18" charset="0"/>
              <a:ea typeface="+mn-ea"/>
              <a:cs typeface="+mn-cs"/>
            </a:rPr>
            <a:t>Machinekosten</a:t>
          </a:r>
        </a:p>
        <a:p>
          <a:pPr lvl="0"/>
          <a:r>
            <a:rPr lang="nl-NL" sz="1100" b="0">
              <a:solidFill>
                <a:sysClr val="windowText" lastClr="000000"/>
              </a:solidFill>
              <a:effectLst/>
              <a:latin typeface="Georgia" panose="02040502050405020303" pitchFamily="18" charset="0"/>
              <a:ea typeface="+mn-ea"/>
              <a:cs typeface="+mn-cs"/>
            </a:rPr>
            <a:t>Bij een investering in machines van meer dan € 500,- per machine (netto aanschafprijs, excl. btw) worden deze machines niet verdisconteerd in het uurtarief maar als separaat investeringsvoorstel ingediend conform het calculatiemodel. Hieronder vallen bijvoorbeeld veegmachines en schrob-/zuigautomaten.</a:t>
          </a:r>
          <a:endParaRPr lang="nl-NL" sz="1100">
            <a:solidFill>
              <a:sysClr val="windowText" lastClr="000000"/>
            </a:solidFill>
            <a:effectLst/>
            <a:latin typeface="Georgia" panose="02040502050405020303" pitchFamily="18" charset="0"/>
          </a:endParaRPr>
        </a:p>
        <a:p>
          <a:r>
            <a:rPr lang="nl-NL" sz="1100" b="0">
              <a:solidFill>
                <a:sysClr val="windowText" lastClr="000000"/>
              </a:solidFill>
              <a:effectLst/>
              <a:latin typeface="Georgia" panose="02040502050405020303" pitchFamily="18" charset="0"/>
              <a:ea typeface="+mn-ea"/>
              <a:cs typeface="+mn-cs"/>
            </a:rPr>
            <a:t> </a:t>
          </a:r>
          <a:r>
            <a:rPr lang="nl-NL" sz="110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Voor investering in machines gelden de navolgende voorschriften:</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Investeringskosten kunnen uitsluitend in rekening worden gebracht indien de opdrachtgever vooraf goedkeuring heeft gegeven aan een gespecificeerd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investeringsvoorstel van de dienstverlener.</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I</a:t>
          </a:r>
          <a:r>
            <a:rPr lang="nl-NL" sz="1100">
              <a:solidFill>
                <a:sysClr val="windowText" lastClr="000000"/>
              </a:solidFill>
              <a:effectLst/>
              <a:latin typeface="Georgia" panose="02040502050405020303" pitchFamily="18" charset="0"/>
              <a:ea typeface="+mn-ea"/>
              <a:cs typeface="+mn-cs"/>
            </a:rPr>
            <a:t>nvesteringsvoorstellen zijn gespecificeerd naar aanschafkosten, onderhoudskosten, afschrijvingstermijn, renteverlies en verzekeringskosten.</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A</a:t>
          </a:r>
          <a:r>
            <a:rPr lang="nl-NL" sz="1100">
              <a:solidFill>
                <a:sysClr val="windowText" lastClr="000000"/>
              </a:solidFill>
              <a:effectLst/>
              <a:latin typeface="Georgia" panose="02040502050405020303" pitchFamily="18" charset="0"/>
              <a:ea typeface="+mn-ea"/>
              <a:cs typeface="+mn-cs"/>
            </a:rPr>
            <a:t>lle slijtvaste en niet slijtvaste onderdelen van machines zijn opgenomen in het onderhouds- en investeringsplan.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Kosten voor het gebruik van borstels, filters, etc. zijn voor rekening van de dienstverlener.</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a:t>
          </a:r>
        </a:p>
        <a:p>
          <a:r>
            <a:rPr lang="nl-NL" sz="1100" b="0">
              <a:solidFill>
                <a:sysClr val="windowText" lastClr="000000"/>
              </a:solidFill>
              <a:effectLst/>
              <a:latin typeface="Georgia" panose="02040502050405020303" pitchFamily="18" charset="0"/>
              <a:ea typeface="+mn-ea"/>
              <a:cs typeface="+mn-cs"/>
            </a:rPr>
            <a:t>Gezien de hoogte van de investeringen in combinatie met de technische en economische levensduur van machines geldt een gemiddelde afschrijvingstermijn van 5 jaar. </a:t>
          </a:r>
          <a:endParaRPr lang="nl-NL" sz="1100" b="1">
            <a:solidFill>
              <a:sysClr val="windowText" lastClr="000000"/>
            </a:solidFill>
            <a:effectLst/>
            <a:latin typeface="Georgia" panose="02040502050405020303" pitchFamily="18" charset="0"/>
            <a:ea typeface="+mn-ea"/>
            <a:cs typeface="+mn-cs"/>
          </a:endParaRPr>
        </a:p>
        <a:p>
          <a:endParaRPr lang="nl-NL" sz="1100">
            <a:solidFill>
              <a:sysClr val="windowText" lastClr="000000"/>
            </a:solidFill>
            <a:effectLst/>
            <a:latin typeface="Georgia" panose="02040502050405020303" pitchFamily="18" charset="0"/>
          </a:endParaRPr>
        </a:p>
        <a:p>
          <a:pPr eaLnBrk="1" fontAlgn="auto" latinLnBrk="0" hangingPunct="1"/>
          <a:r>
            <a:rPr lang="nl-NL" sz="1100" b="0">
              <a:solidFill>
                <a:sysClr val="windowText" lastClr="000000"/>
              </a:solidFill>
              <a:effectLst/>
              <a:latin typeface="Georgia" panose="02040502050405020303" pitchFamily="18" charset="0"/>
              <a:ea typeface="+mn-ea"/>
              <a:cs typeface="+mn-cs"/>
            </a:rPr>
            <a:t>Indien de machine(s) op het tijdstip van start contractdatum nog niet beschikbaar zijn, maakt de dienstverlener dit kenbaar in haar inschrijving en draagt zij op eigen kosten zorg voor tijdelijke inzet van kwalitatief gelijkwaardige machines. </a:t>
          </a:r>
          <a:endParaRPr lang="nl-NL" sz="1100">
            <a:solidFill>
              <a:sysClr val="windowText" lastClr="000000"/>
            </a:solidFill>
            <a:effectLst/>
            <a:latin typeface="Georgia" panose="02040502050405020303" pitchFamily="18" charset="0"/>
          </a:endParaRPr>
        </a:p>
        <a:p>
          <a:endParaRPr lang="nl-NL"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295612</xdr:colOff>
      <xdr:row>25</xdr:row>
      <xdr:rowOff>82475</xdr:rowOff>
    </xdr:from>
    <xdr:to>
      <xdr:col>8</xdr:col>
      <xdr:colOff>751131</xdr:colOff>
      <xdr:row>32</xdr:row>
      <xdr:rowOff>160692</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90141" y="6929269"/>
          <a:ext cx="3593166" cy="12548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Georgia" panose="02040502050405020303" pitchFamily="18"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53763</xdr:colOff>
      <xdr:row>4</xdr:row>
      <xdr:rowOff>21167</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669106" y="59691"/>
          <a:ext cx="6619240" cy="659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Gegevens/Excel/Calc/AZR/AZR%20psychiatrie.xls" TargetMode="External"/><Relationship Id="rId1" Type="http://schemas.openxmlformats.org/officeDocument/2006/relationships/externalLinkPath" Target="/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 val="Tabellen"/>
      <sheetName val="Stamtabel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atir_xls2"/>
      <sheetName val="Omreken"/>
      <sheetName val="atir_xls3"/>
    </sheetNames>
    <sheetDataSet>
      <sheetData sheetId="0" refreshError="1"/>
      <sheetData sheetId="1" refreshError="1"/>
      <sheetData sheetId="2" refreshError="1"/>
      <sheetData sheetId="3" refreshError="1"/>
      <sheetData sheetId="4"/>
      <sheetData sheetId="5"/>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dimension ref="A1:M4"/>
  <sheetViews>
    <sheetView showGridLines="0" workbookViewId="0">
      <pane ySplit="4" topLeftCell="A5" activePane="bottomLeft" state="frozen"/>
      <selection pane="bottomLeft" activeCell="B4" sqref="B4"/>
    </sheetView>
  </sheetViews>
  <sheetFormatPr defaultRowHeight="12.6"/>
  <cols>
    <col min="1" max="1" width="27.6640625" customWidth="1"/>
  </cols>
  <sheetData>
    <row r="1" spans="1:13" ht="15.6">
      <c r="A1" s="38" t="s">
        <v>1</v>
      </c>
      <c r="B1" s="39" t="str">
        <f>'2-Kosten per locatie'!B3</f>
        <v>SED organisatie</v>
      </c>
    </row>
    <row r="2" spans="1:13" ht="15.6">
      <c r="A2" s="38" t="s">
        <v>2</v>
      </c>
      <c r="B2" s="39" t="str">
        <f ca="1">MID(CELL("bestandsnaam",$B$11),SEARCH("]",CELL("bestandsnaam",$B$11),1)+1,256)</f>
        <v>1-Uitgangspunten</v>
      </c>
    </row>
    <row r="3" spans="1:13" ht="15.6">
      <c r="A3" s="38" t="s">
        <v>3</v>
      </c>
      <c r="B3" s="39" t="str">
        <f>'2-Kosten per locatie'!B5</f>
        <v>Perceel 2</v>
      </c>
    </row>
    <row r="4" spans="1:13" ht="15.6">
      <c r="A4" s="38" t="s">
        <v>4</v>
      </c>
      <c r="B4" s="39" t="s">
        <v>477</v>
      </c>
      <c r="G4" s="37"/>
      <c r="H4" s="37"/>
      <c r="I4" s="37"/>
      <c r="J4" s="37"/>
      <c r="K4" s="37"/>
      <c r="L4" s="37"/>
      <c r="M4" s="37"/>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pageSetUpPr fitToPage="1"/>
  </sheetPr>
  <dimension ref="A1:Z56"/>
  <sheetViews>
    <sheetView showGridLines="0" tabSelected="1" zoomScale="85" zoomScaleNormal="85" zoomScaleSheetLayoutView="50" zoomScalePageLayoutView="50" workbookViewId="0">
      <pane ySplit="12" topLeftCell="A39" activePane="bottomLeft" state="frozen"/>
      <selection activeCell="B1" sqref="B1"/>
      <selection pane="bottomLeft" activeCell="H7" sqref="H7"/>
    </sheetView>
  </sheetViews>
  <sheetFormatPr defaultColWidth="13.6640625" defaultRowHeight="13.2"/>
  <cols>
    <col min="1" max="1" width="46.109375" style="187" customWidth="1"/>
    <col min="2" max="2" width="29.109375" style="188" customWidth="1"/>
    <col min="3" max="3" width="36.88671875" style="188" customWidth="1"/>
    <col min="4" max="4" width="12.109375" style="187" customWidth="1"/>
    <col min="5" max="5" width="24.33203125" style="189" customWidth="1"/>
    <col min="6" max="6" width="16.109375" style="190" customWidth="1"/>
    <col min="7" max="7" width="13.6640625" style="189" customWidth="1"/>
    <col min="8" max="8" width="15.88671875" style="189" customWidth="1"/>
    <col min="9" max="247" width="13.6640625" style="28"/>
    <col min="248" max="248" width="22.109375" style="28" customWidth="1"/>
    <col min="249" max="255" width="13.6640625" style="28" customWidth="1"/>
    <col min="256" max="256" width="15.88671875" style="28" customWidth="1"/>
    <col min="257" max="257" width="16.5546875" style="28" bestFit="1" customWidth="1"/>
    <col min="258" max="258" width="13.6640625" style="28" customWidth="1"/>
    <col min="259" max="259" width="17.109375" style="28" bestFit="1" customWidth="1"/>
    <col min="260" max="260" width="4" style="28" customWidth="1"/>
    <col min="261" max="261" width="13.6640625" style="28" customWidth="1"/>
    <col min="262" max="503" width="13.6640625" style="28"/>
    <col min="504" max="504" width="22.109375" style="28" customWidth="1"/>
    <col min="505" max="511" width="13.6640625" style="28" customWidth="1"/>
    <col min="512" max="512" width="15.88671875" style="28" customWidth="1"/>
    <col min="513" max="513" width="16.5546875" style="28" bestFit="1" customWidth="1"/>
    <col min="514" max="514" width="13.6640625" style="28" customWidth="1"/>
    <col min="515" max="515" width="17.109375" style="28" bestFit="1" customWidth="1"/>
    <col min="516" max="516" width="4" style="28" customWidth="1"/>
    <col min="517" max="517" width="13.6640625" style="28" customWidth="1"/>
    <col min="518" max="759" width="13.6640625" style="28"/>
    <col min="760" max="760" width="22.109375" style="28" customWidth="1"/>
    <col min="761" max="767" width="13.6640625" style="28" customWidth="1"/>
    <col min="768" max="768" width="15.88671875" style="28" customWidth="1"/>
    <col min="769" max="769" width="16.5546875" style="28" bestFit="1" customWidth="1"/>
    <col min="770" max="770" width="13.6640625" style="28" customWidth="1"/>
    <col min="771" max="771" width="17.109375" style="28" bestFit="1" customWidth="1"/>
    <col min="772" max="772" width="4" style="28" customWidth="1"/>
    <col min="773" max="773" width="13.6640625" style="28" customWidth="1"/>
    <col min="774" max="1015" width="13.6640625" style="28"/>
    <col min="1016" max="1016" width="22.109375" style="28" customWidth="1"/>
    <col min="1017" max="1023" width="13.6640625" style="28" customWidth="1"/>
    <col min="1024" max="1024" width="15.88671875" style="28" customWidth="1"/>
    <col min="1025" max="1025" width="16.5546875" style="28" bestFit="1" customWidth="1"/>
    <col min="1026" max="1026" width="13.6640625" style="28" customWidth="1"/>
    <col min="1027" max="1027" width="17.109375" style="28" bestFit="1" customWidth="1"/>
    <col min="1028" max="1028" width="4" style="28" customWidth="1"/>
    <col min="1029" max="1029" width="13.6640625" style="28" customWidth="1"/>
    <col min="1030" max="1271" width="13.6640625" style="28"/>
    <col min="1272" max="1272" width="22.109375" style="28" customWidth="1"/>
    <col min="1273" max="1279" width="13.6640625" style="28" customWidth="1"/>
    <col min="1280" max="1280" width="15.88671875" style="28" customWidth="1"/>
    <col min="1281" max="1281" width="16.5546875" style="28" bestFit="1" customWidth="1"/>
    <col min="1282" max="1282" width="13.6640625" style="28" customWidth="1"/>
    <col min="1283" max="1283" width="17.109375" style="28" bestFit="1" customWidth="1"/>
    <col min="1284" max="1284" width="4" style="28" customWidth="1"/>
    <col min="1285" max="1285" width="13.6640625" style="28" customWidth="1"/>
    <col min="1286" max="1527" width="13.6640625" style="28"/>
    <col min="1528" max="1528" width="22.109375" style="28" customWidth="1"/>
    <col min="1529" max="1535" width="13.6640625" style="28" customWidth="1"/>
    <col min="1536" max="1536" width="15.88671875" style="28" customWidth="1"/>
    <col min="1537" max="1537" width="16.5546875" style="28" bestFit="1" customWidth="1"/>
    <col min="1538" max="1538" width="13.6640625" style="28" customWidth="1"/>
    <col min="1539" max="1539" width="17.109375" style="28" bestFit="1" customWidth="1"/>
    <col min="1540" max="1540" width="4" style="28" customWidth="1"/>
    <col min="1541" max="1541" width="13.6640625" style="28" customWidth="1"/>
    <col min="1542" max="1783" width="13.6640625" style="28"/>
    <col min="1784" max="1784" width="22.109375" style="28" customWidth="1"/>
    <col min="1785" max="1791" width="13.6640625" style="28" customWidth="1"/>
    <col min="1792" max="1792" width="15.88671875" style="28" customWidth="1"/>
    <col min="1793" max="1793" width="16.5546875" style="28" bestFit="1" customWidth="1"/>
    <col min="1794" max="1794" width="13.6640625" style="28" customWidth="1"/>
    <col min="1795" max="1795" width="17.109375" style="28" bestFit="1" customWidth="1"/>
    <col min="1796" max="1796" width="4" style="28" customWidth="1"/>
    <col min="1797" max="1797" width="13.6640625" style="28" customWidth="1"/>
    <col min="1798" max="2039" width="13.6640625" style="28"/>
    <col min="2040" max="2040" width="22.109375" style="28" customWidth="1"/>
    <col min="2041" max="2047" width="13.6640625" style="28" customWidth="1"/>
    <col min="2048" max="2048" width="15.88671875" style="28" customWidth="1"/>
    <col min="2049" max="2049" width="16.5546875" style="28" bestFit="1" customWidth="1"/>
    <col min="2050" max="2050" width="13.6640625" style="28" customWidth="1"/>
    <col min="2051" max="2051" width="17.109375" style="28" bestFit="1" customWidth="1"/>
    <col min="2052" max="2052" width="4" style="28" customWidth="1"/>
    <col min="2053" max="2053" width="13.6640625" style="28" customWidth="1"/>
    <col min="2054" max="2295" width="13.6640625" style="28"/>
    <col min="2296" max="2296" width="22.109375" style="28" customWidth="1"/>
    <col min="2297" max="2303" width="13.6640625" style="28" customWidth="1"/>
    <col min="2304" max="2304" width="15.88671875" style="28" customWidth="1"/>
    <col min="2305" max="2305" width="16.5546875" style="28" bestFit="1" customWidth="1"/>
    <col min="2306" max="2306" width="13.6640625" style="28" customWidth="1"/>
    <col min="2307" max="2307" width="17.109375" style="28" bestFit="1" customWidth="1"/>
    <col min="2308" max="2308" width="4" style="28" customWidth="1"/>
    <col min="2309" max="2309" width="13.6640625" style="28" customWidth="1"/>
    <col min="2310" max="2551" width="13.6640625" style="28"/>
    <col min="2552" max="2552" width="22.109375" style="28" customWidth="1"/>
    <col min="2553" max="2559" width="13.6640625" style="28" customWidth="1"/>
    <col min="2560" max="2560" width="15.88671875" style="28" customWidth="1"/>
    <col min="2561" max="2561" width="16.5546875" style="28" bestFit="1" customWidth="1"/>
    <col min="2562" max="2562" width="13.6640625" style="28" customWidth="1"/>
    <col min="2563" max="2563" width="17.109375" style="28" bestFit="1" customWidth="1"/>
    <col min="2564" max="2564" width="4" style="28" customWidth="1"/>
    <col min="2565" max="2565" width="13.6640625" style="28" customWidth="1"/>
    <col min="2566" max="2807" width="13.6640625" style="28"/>
    <col min="2808" max="2808" width="22.109375" style="28" customWidth="1"/>
    <col min="2809" max="2815" width="13.6640625" style="28" customWidth="1"/>
    <col min="2816" max="2816" width="15.88671875" style="28" customWidth="1"/>
    <col min="2817" max="2817" width="16.5546875" style="28" bestFit="1" customWidth="1"/>
    <col min="2818" max="2818" width="13.6640625" style="28" customWidth="1"/>
    <col min="2819" max="2819" width="17.109375" style="28" bestFit="1" customWidth="1"/>
    <col min="2820" max="2820" width="4" style="28" customWidth="1"/>
    <col min="2821" max="2821" width="13.6640625" style="28" customWidth="1"/>
    <col min="2822" max="3063" width="13.6640625" style="28"/>
    <col min="3064" max="3064" width="22.109375" style="28" customWidth="1"/>
    <col min="3065" max="3071" width="13.6640625" style="28" customWidth="1"/>
    <col min="3072" max="3072" width="15.88671875" style="28" customWidth="1"/>
    <col min="3073" max="3073" width="16.5546875" style="28" bestFit="1" customWidth="1"/>
    <col min="3074" max="3074" width="13.6640625" style="28" customWidth="1"/>
    <col min="3075" max="3075" width="17.109375" style="28" bestFit="1" customWidth="1"/>
    <col min="3076" max="3076" width="4" style="28" customWidth="1"/>
    <col min="3077" max="3077" width="13.6640625" style="28" customWidth="1"/>
    <col min="3078" max="3319" width="13.6640625" style="28"/>
    <col min="3320" max="3320" width="22.109375" style="28" customWidth="1"/>
    <col min="3321" max="3327" width="13.6640625" style="28" customWidth="1"/>
    <col min="3328" max="3328" width="15.88671875" style="28" customWidth="1"/>
    <col min="3329" max="3329" width="16.5546875" style="28" bestFit="1" customWidth="1"/>
    <col min="3330" max="3330" width="13.6640625" style="28" customWidth="1"/>
    <col min="3331" max="3331" width="17.109375" style="28" bestFit="1" customWidth="1"/>
    <col min="3332" max="3332" width="4" style="28" customWidth="1"/>
    <col min="3333" max="3333" width="13.6640625" style="28" customWidth="1"/>
    <col min="3334" max="3575" width="13.6640625" style="28"/>
    <col min="3576" max="3576" width="22.109375" style="28" customWidth="1"/>
    <col min="3577" max="3583" width="13.6640625" style="28" customWidth="1"/>
    <col min="3584" max="3584" width="15.88671875" style="28" customWidth="1"/>
    <col min="3585" max="3585" width="16.5546875" style="28" bestFit="1" customWidth="1"/>
    <col min="3586" max="3586" width="13.6640625" style="28" customWidth="1"/>
    <col min="3587" max="3587" width="17.109375" style="28" bestFit="1" customWidth="1"/>
    <col min="3588" max="3588" width="4" style="28" customWidth="1"/>
    <col min="3589" max="3589" width="13.6640625" style="28" customWidth="1"/>
    <col min="3590" max="3831" width="13.6640625" style="28"/>
    <col min="3832" max="3832" width="22.109375" style="28" customWidth="1"/>
    <col min="3833" max="3839" width="13.6640625" style="28" customWidth="1"/>
    <col min="3840" max="3840" width="15.88671875" style="28" customWidth="1"/>
    <col min="3841" max="3841" width="16.5546875" style="28" bestFit="1" customWidth="1"/>
    <col min="3842" max="3842" width="13.6640625" style="28" customWidth="1"/>
    <col min="3843" max="3843" width="17.109375" style="28" bestFit="1" customWidth="1"/>
    <col min="3844" max="3844" width="4" style="28" customWidth="1"/>
    <col min="3845" max="3845" width="13.6640625" style="28" customWidth="1"/>
    <col min="3846" max="4087" width="13.6640625" style="28"/>
    <col min="4088" max="4088" width="22.109375" style="28" customWidth="1"/>
    <col min="4089" max="4095" width="13.6640625" style="28" customWidth="1"/>
    <col min="4096" max="4096" width="15.88671875" style="28" customWidth="1"/>
    <col min="4097" max="4097" width="16.5546875" style="28" bestFit="1" customWidth="1"/>
    <col min="4098" max="4098" width="13.6640625" style="28" customWidth="1"/>
    <col min="4099" max="4099" width="17.109375" style="28" bestFit="1" customWidth="1"/>
    <col min="4100" max="4100" width="4" style="28" customWidth="1"/>
    <col min="4101" max="4101" width="13.6640625" style="28" customWidth="1"/>
    <col min="4102" max="4343" width="13.6640625" style="28"/>
    <col min="4344" max="4344" width="22.109375" style="28" customWidth="1"/>
    <col min="4345" max="4351" width="13.6640625" style="28" customWidth="1"/>
    <col min="4352" max="4352" width="15.88671875" style="28" customWidth="1"/>
    <col min="4353" max="4353" width="16.5546875" style="28" bestFit="1" customWidth="1"/>
    <col min="4354" max="4354" width="13.6640625" style="28" customWidth="1"/>
    <col min="4355" max="4355" width="17.109375" style="28" bestFit="1" customWidth="1"/>
    <col min="4356" max="4356" width="4" style="28" customWidth="1"/>
    <col min="4357" max="4357" width="13.6640625" style="28" customWidth="1"/>
    <col min="4358" max="4599" width="13.6640625" style="28"/>
    <col min="4600" max="4600" width="22.109375" style="28" customWidth="1"/>
    <col min="4601" max="4607" width="13.6640625" style="28" customWidth="1"/>
    <col min="4608" max="4608" width="15.88671875" style="28" customWidth="1"/>
    <col min="4609" max="4609" width="16.5546875" style="28" bestFit="1" customWidth="1"/>
    <col min="4610" max="4610" width="13.6640625" style="28" customWidth="1"/>
    <col min="4611" max="4611" width="17.109375" style="28" bestFit="1" customWidth="1"/>
    <col min="4612" max="4612" width="4" style="28" customWidth="1"/>
    <col min="4613" max="4613" width="13.6640625" style="28" customWidth="1"/>
    <col min="4614" max="4855" width="13.6640625" style="28"/>
    <col min="4856" max="4856" width="22.109375" style="28" customWidth="1"/>
    <col min="4857" max="4863" width="13.6640625" style="28" customWidth="1"/>
    <col min="4864" max="4864" width="15.88671875" style="28" customWidth="1"/>
    <col min="4865" max="4865" width="16.5546875" style="28" bestFit="1" customWidth="1"/>
    <col min="4866" max="4866" width="13.6640625" style="28" customWidth="1"/>
    <col min="4867" max="4867" width="17.109375" style="28" bestFit="1" customWidth="1"/>
    <col min="4868" max="4868" width="4" style="28" customWidth="1"/>
    <col min="4869" max="4869" width="13.6640625" style="28" customWidth="1"/>
    <col min="4870" max="5111" width="13.6640625" style="28"/>
    <col min="5112" max="5112" width="22.109375" style="28" customWidth="1"/>
    <col min="5113" max="5119" width="13.6640625" style="28" customWidth="1"/>
    <col min="5120" max="5120" width="15.88671875" style="28" customWidth="1"/>
    <col min="5121" max="5121" width="16.5546875" style="28" bestFit="1" customWidth="1"/>
    <col min="5122" max="5122" width="13.6640625" style="28" customWidth="1"/>
    <col min="5123" max="5123" width="17.109375" style="28" bestFit="1" customWidth="1"/>
    <col min="5124" max="5124" width="4" style="28" customWidth="1"/>
    <col min="5125" max="5125" width="13.6640625" style="28" customWidth="1"/>
    <col min="5126" max="5367" width="13.6640625" style="28"/>
    <col min="5368" max="5368" width="22.109375" style="28" customWidth="1"/>
    <col min="5369" max="5375" width="13.6640625" style="28" customWidth="1"/>
    <col min="5376" max="5376" width="15.88671875" style="28" customWidth="1"/>
    <col min="5377" max="5377" width="16.5546875" style="28" bestFit="1" customWidth="1"/>
    <col min="5378" max="5378" width="13.6640625" style="28" customWidth="1"/>
    <col min="5379" max="5379" width="17.109375" style="28" bestFit="1" customWidth="1"/>
    <col min="5380" max="5380" width="4" style="28" customWidth="1"/>
    <col min="5381" max="5381" width="13.6640625" style="28" customWidth="1"/>
    <col min="5382" max="5623" width="13.6640625" style="28"/>
    <col min="5624" max="5624" width="22.109375" style="28" customWidth="1"/>
    <col min="5625" max="5631" width="13.6640625" style="28" customWidth="1"/>
    <col min="5632" max="5632" width="15.88671875" style="28" customWidth="1"/>
    <col min="5633" max="5633" width="16.5546875" style="28" bestFit="1" customWidth="1"/>
    <col min="5634" max="5634" width="13.6640625" style="28" customWidth="1"/>
    <col min="5635" max="5635" width="17.109375" style="28" bestFit="1" customWidth="1"/>
    <col min="5636" max="5636" width="4" style="28" customWidth="1"/>
    <col min="5637" max="5637" width="13.6640625" style="28" customWidth="1"/>
    <col min="5638" max="5879" width="13.6640625" style="28"/>
    <col min="5880" max="5880" width="22.109375" style="28" customWidth="1"/>
    <col min="5881" max="5887" width="13.6640625" style="28" customWidth="1"/>
    <col min="5888" max="5888" width="15.88671875" style="28" customWidth="1"/>
    <col min="5889" max="5889" width="16.5546875" style="28" bestFit="1" customWidth="1"/>
    <col min="5890" max="5890" width="13.6640625" style="28" customWidth="1"/>
    <col min="5891" max="5891" width="17.109375" style="28" bestFit="1" customWidth="1"/>
    <col min="5892" max="5892" width="4" style="28" customWidth="1"/>
    <col min="5893" max="5893" width="13.6640625" style="28" customWidth="1"/>
    <col min="5894" max="6135" width="13.6640625" style="28"/>
    <col min="6136" max="6136" width="22.109375" style="28" customWidth="1"/>
    <col min="6137" max="6143" width="13.6640625" style="28" customWidth="1"/>
    <col min="6144" max="6144" width="15.88671875" style="28" customWidth="1"/>
    <col min="6145" max="6145" width="16.5546875" style="28" bestFit="1" customWidth="1"/>
    <col min="6146" max="6146" width="13.6640625" style="28" customWidth="1"/>
    <col min="6147" max="6147" width="17.109375" style="28" bestFit="1" customWidth="1"/>
    <col min="6148" max="6148" width="4" style="28" customWidth="1"/>
    <col min="6149" max="6149" width="13.6640625" style="28" customWidth="1"/>
    <col min="6150" max="6391" width="13.6640625" style="28"/>
    <col min="6392" max="6392" width="22.109375" style="28" customWidth="1"/>
    <col min="6393" max="6399" width="13.6640625" style="28" customWidth="1"/>
    <col min="6400" max="6400" width="15.88671875" style="28" customWidth="1"/>
    <col min="6401" max="6401" width="16.5546875" style="28" bestFit="1" customWidth="1"/>
    <col min="6402" max="6402" width="13.6640625" style="28" customWidth="1"/>
    <col min="6403" max="6403" width="17.109375" style="28" bestFit="1" customWidth="1"/>
    <col min="6404" max="6404" width="4" style="28" customWidth="1"/>
    <col min="6405" max="6405" width="13.6640625" style="28" customWidth="1"/>
    <col min="6406" max="6647" width="13.6640625" style="28"/>
    <col min="6648" max="6648" width="22.109375" style="28" customWidth="1"/>
    <col min="6649" max="6655" width="13.6640625" style="28" customWidth="1"/>
    <col min="6656" max="6656" width="15.88671875" style="28" customWidth="1"/>
    <col min="6657" max="6657" width="16.5546875" style="28" bestFit="1" customWidth="1"/>
    <col min="6658" max="6658" width="13.6640625" style="28" customWidth="1"/>
    <col min="6659" max="6659" width="17.109375" style="28" bestFit="1" customWidth="1"/>
    <col min="6660" max="6660" width="4" style="28" customWidth="1"/>
    <col min="6661" max="6661" width="13.6640625" style="28" customWidth="1"/>
    <col min="6662" max="6903" width="13.6640625" style="28"/>
    <col min="6904" max="6904" width="22.109375" style="28" customWidth="1"/>
    <col min="6905" max="6911" width="13.6640625" style="28" customWidth="1"/>
    <col min="6912" max="6912" width="15.88671875" style="28" customWidth="1"/>
    <col min="6913" max="6913" width="16.5546875" style="28" bestFit="1" customWidth="1"/>
    <col min="6914" max="6914" width="13.6640625" style="28" customWidth="1"/>
    <col min="6915" max="6915" width="17.109375" style="28" bestFit="1" customWidth="1"/>
    <col min="6916" max="6916" width="4" style="28" customWidth="1"/>
    <col min="6917" max="6917" width="13.6640625" style="28" customWidth="1"/>
    <col min="6918" max="7159" width="13.6640625" style="28"/>
    <col min="7160" max="7160" width="22.109375" style="28" customWidth="1"/>
    <col min="7161" max="7167" width="13.6640625" style="28" customWidth="1"/>
    <col min="7168" max="7168" width="15.88671875" style="28" customWidth="1"/>
    <col min="7169" max="7169" width="16.5546875" style="28" bestFit="1" customWidth="1"/>
    <col min="7170" max="7170" width="13.6640625" style="28" customWidth="1"/>
    <col min="7171" max="7171" width="17.109375" style="28" bestFit="1" customWidth="1"/>
    <col min="7172" max="7172" width="4" style="28" customWidth="1"/>
    <col min="7173" max="7173" width="13.6640625" style="28" customWidth="1"/>
    <col min="7174" max="7415" width="13.6640625" style="28"/>
    <col min="7416" max="7416" width="22.109375" style="28" customWidth="1"/>
    <col min="7417" max="7423" width="13.6640625" style="28" customWidth="1"/>
    <col min="7424" max="7424" width="15.88671875" style="28" customWidth="1"/>
    <col min="7425" max="7425" width="16.5546875" style="28" bestFit="1" customWidth="1"/>
    <col min="7426" max="7426" width="13.6640625" style="28" customWidth="1"/>
    <col min="7427" max="7427" width="17.109375" style="28" bestFit="1" customWidth="1"/>
    <col min="7428" max="7428" width="4" style="28" customWidth="1"/>
    <col min="7429" max="7429" width="13.6640625" style="28" customWidth="1"/>
    <col min="7430" max="7671" width="13.6640625" style="28"/>
    <col min="7672" max="7672" width="22.109375" style="28" customWidth="1"/>
    <col min="7673" max="7679" width="13.6640625" style="28" customWidth="1"/>
    <col min="7680" max="7680" width="15.88671875" style="28" customWidth="1"/>
    <col min="7681" max="7681" width="16.5546875" style="28" bestFit="1" customWidth="1"/>
    <col min="7682" max="7682" width="13.6640625" style="28" customWidth="1"/>
    <col min="7683" max="7683" width="17.109375" style="28" bestFit="1" customWidth="1"/>
    <col min="7684" max="7684" width="4" style="28" customWidth="1"/>
    <col min="7685" max="7685" width="13.6640625" style="28" customWidth="1"/>
    <col min="7686" max="7927" width="13.6640625" style="28"/>
    <col min="7928" max="7928" width="22.109375" style="28" customWidth="1"/>
    <col min="7929" max="7935" width="13.6640625" style="28" customWidth="1"/>
    <col min="7936" max="7936" width="15.88671875" style="28" customWidth="1"/>
    <col min="7937" max="7937" width="16.5546875" style="28" bestFit="1" customWidth="1"/>
    <col min="7938" max="7938" width="13.6640625" style="28" customWidth="1"/>
    <col min="7939" max="7939" width="17.109375" style="28" bestFit="1" customWidth="1"/>
    <col min="7940" max="7940" width="4" style="28" customWidth="1"/>
    <col min="7941" max="7941" width="13.6640625" style="28" customWidth="1"/>
    <col min="7942" max="8183" width="13.6640625" style="28"/>
    <col min="8184" max="8184" width="22.109375" style="28" customWidth="1"/>
    <col min="8185" max="8191" width="13.6640625" style="28" customWidth="1"/>
    <col min="8192" max="8192" width="15.88671875" style="28" customWidth="1"/>
    <col min="8193" max="8193" width="16.5546875" style="28" bestFit="1" customWidth="1"/>
    <col min="8194" max="8194" width="13.6640625" style="28" customWidth="1"/>
    <col min="8195" max="8195" width="17.109375" style="28" bestFit="1" customWidth="1"/>
    <col min="8196" max="8196" width="4" style="28" customWidth="1"/>
    <col min="8197" max="8197" width="13.6640625" style="28" customWidth="1"/>
    <col min="8198" max="8439" width="13.6640625" style="28"/>
    <col min="8440" max="8440" width="22.109375" style="28" customWidth="1"/>
    <col min="8441" max="8447" width="13.6640625" style="28" customWidth="1"/>
    <col min="8448" max="8448" width="15.88671875" style="28" customWidth="1"/>
    <col min="8449" max="8449" width="16.5546875" style="28" bestFit="1" customWidth="1"/>
    <col min="8450" max="8450" width="13.6640625" style="28" customWidth="1"/>
    <col min="8451" max="8451" width="17.109375" style="28" bestFit="1" customWidth="1"/>
    <col min="8452" max="8452" width="4" style="28" customWidth="1"/>
    <col min="8453" max="8453" width="13.6640625" style="28" customWidth="1"/>
    <col min="8454" max="8695" width="13.6640625" style="28"/>
    <col min="8696" max="8696" width="22.109375" style="28" customWidth="1"/>
    <col min="8697" max="8703" width="13.6640625" style="28" customWidth="1"/>
    <col min="8704" max="8704" width="15.88671875" style="28" customWidth="1"/>
    <col min="8705" max="8705" width="16.5546875" style="28" bestFit="1" customWidth="1"/>
    <col min="8706" max="8706" width="13.6640625" style="28" customWidth="1"/>
    <col min="8707" max="8707" width="17.109375" style="28" bestFit="1" customWidth="1"/>
    <col min="8708" max="8708" width="4" style="28" customWidth="1"/>
    <col min="8709" max="8709" width="13.6640625" style="28" customWidth="1"/>
    <col min="8710" max="8951" width="13.6640625" style="28"/>
    <col min="8952" max="8952" width="22.109375" style="28" customWidth="1"/>
    <col min="8953" max="8959" width="13.6640625" style="28" customWidth="1"/>
    <col min="8960" max="8960" width="15.88671875" style="28" customWidth="1"/>
    <col min="8961" max="8961" width="16.5546875" style="28" bestFit="1" customWidth="1"/>
    <col min="8962" max="8962" width="13.6640625" style="28" customWidth="1"/>
    <col min="8963" max="8963" width="17.109375" style="28" bestFit="1" customWidth="1"/>
    <col min="8964" max="8964" width="4" style="28" customWidth="1"/>
    <col min="8965" max="8965" width="13.6640625" style="28" customWidth="1"/>
    <col min="8966" max="9207" width="13.6640625" style="28"/>
    <col min="9208" max="9208" width="22.109375" style="28" customWidth="1"/>
    <col min="9209" max="9215" width="13.6640625" style="28" customWidth="1"/>
    <col min="9216" max="9216" width="15.88671875" style="28" customWidth="1"/>
    <col min="9217" max="9217" width="16.5546875" style="28" bestFit="1" customWidth="1"/>
    <col min="9218" max="9218" width="13.6640625" style="28" customWidth="1"/>
    <col min="9219" max="9219" width="17.109375" style="28" bestFit="1" customWidth="1"/>
    <col min="9220" max="9220" width="4" style="28" customWidth="1"/>
    <col min="9221" max="9221" width="13.6640625" style="28" customWidth="1"/>
    <col min="9222" max="9463" width="13.6640625" style="28"/>
    <col min="9464" max="9464" width="22.109375" style="28" customWidth="1"/>
    <col min="9465" max="9471" width="13.6640625" style="28" customWidth="1"/>
    <col min="9472" max="9472" width="15.88671875" style="28" customWidth="1"/>
    <col min="9473" max="9473" width="16.5546875" style="28" bestFit="1" customWidth="1"/>
    <col min="9474" max="9474" width="13.6640625" style="28" customWidth="1"/>
    <col min="9475" max="9475" width="17.109375" style="28" bestFit="1" customWidth="1"/>
    <col min="9476" max="9476" width="4" style="28" customWidth="1"/>
    <col min="9477" max="9477" width="13.6640625" style="28" customWidth="1"/>
    <col min="9478" max="9719" width="13.6640625" style="28"/>
    <col min="9720" max="9720" width="22.109375" style="28" customWidth="1"/>
    <col min="9721" max="9727" width="13.6640625" style="28" customWidth="1"/>
    <col min="9728" max="9728" width="15.88671875" style="28" customWidth="1"/>
    <col min="9729" max="9729" width="16.5546875" style="28" bestFit="1" customWidth="1"/>
    <col min="9730" max="9730" width="13.6640625" style="28" customWidth="1"/>
    <col min="9731" max="9731" width="17.109375" style="28" bestFit="1" customWidth="1"/>
    <col min="9732" max="9732" width="4" style="28" customWidth="1"/>
    <col min="9733" max="9733" width="13.6640625" style="28" customWidth="1"/>
    <col min="9734" max="9975" width="13.6640625" style="28"/>
    <col min="9976" max="9976" width="22.109375" style="28" customWidth="1"/>
    <col min="9977" max="9983" width="13.6640625" style="28" customWidth="1"/>
    <col min="9984" max="9984" width="15.88671875" style="28" customWidth="1"/>
    <col min="9985" max="9985" width="16.5546875" style="28" bestFit="1" customWidth="1"/>
    <col min="9986" max="9986" width="13.6640625" style="28" customWidth="1"/>
    <col min="9987" max="9987" width="17.109375" style="28" bestFit="1" customWidth="1"/>
    <col min="9988" max="9988" width="4" style="28" customWidth="1"/>
    <col min="9989" max="9989" width="13.6640625" style="28" customWidth="1"/>
    <col min="9990" max="10231" width="13.6640625" style="28"/>
    <col min="10232" max="10232" width="22.109375" style="28" customWidth="1"/>
    <col min="10233" max="10239" width="13.6640625" style="28" customWidth="1"/>
    <col min="10240" max="10240" width="15.88671875" style="28" customWidth="1"/>
    <col min="10241" max="10241" width="16.5546875" style="28" bestFit="1" customWidth="1"/>
    <col min="10242" max="10242" width="13.6640625" style="28" customWidth="1"/>
    <col min="10243" max="10243" width="17.109375" style="28" bestFit="1" customWidth="1"/>
    <col min="10244" max="10244" width="4" style="28" customWidth="1"/>
    <col min="10245" max="10245" width="13.6640625" style="28" customWidth="1"/>
    <col min="10246" max="10487" width="13.6640625" style="28"/>
    <col min="10488" max="10488" width="22.109375" style="28" customWidth="1"/>
    <col min="10489" max="10495" width="13.6640625" style="28" customWidth="1"/>
    <col min="10496" max="10496" width="15.88671875" style="28" customWidth="1"/>
    <col min="10497" max="10497" width="16.5546875" style="28" bestFit="1" customWidth="1"/>
    <col min="10498" max="10498" width="13.6640625" style="28" customWidth="1"/>
    <col min="10499" max="10499" width="17.109375" style="28" bestFit="1" customWidth="1"/>
    <col min="10500" max="10500" width="4" style="28" customWidth="1"/>
    <col min="10501" max="10501" width="13.6640625" style="28" customWidth="1"/>
    <col min="10502" max="10743" width="13.6640625" style="28"/>
    <col min="10744" max="10744" width="22.109375" style="28" customWidth="1"/>
    <col min="10745" max="10751" width="13.6640625" style="28" customWidth="1"/>
    <col min="10752" max="10752" width="15.88671875" style="28" customWidth="1"/>
    <col min="10753" max="10753" width="16.5546875" style="28" bestFit="1" customWidth="1"/>
    <col min="10754" max="10754" width="13.6640625" style="28" customWidth="1"/>
    <col min="10755" max="10755" width="17.109375" style="28" bestFit="1" customWidth="1"/>
    <col min="10756" max="10756" width="4" style="28" customWidth="1"/>
    <col min="10757" max="10757" width="13.6640625" style="28" customWidth="1"/>
    <col min="10758" max="10999" width="13.6640625" style="28"/>
    <col min="11000" max="11000" width="22.109375" style="28" customWidth="1"/>
    <col min="11001" max="11007" width="13.6640625" style="28" customWidth="1"/>
    <col min="11008" max="11008" width="15.88671875" style="28" customWidth="1"/>
    <col min="11009" max="11009" width="16.5546875" style="28" bestFit="1" customWidth="1"/>
    <col min="11010" max="11010" width="13.6640625" style="28" customWidth="1"/>
    <col min="11011" max="11011" width="17.109375" style="28" bestFit="1" customWidth="1"/>
    <col min="11012" max="11012" width="4" style="28" customWidth="1"/>
    <col min="11013" max="11013" width="13.6640625" style="28" customWidth="1"/>
    <col min="11014" max="11255" width="13.6640625" style="28"/>
    <col min="11256" max="11256" width="22.109375" style="28" customWidth="1"/>
    <col min="11257" max="11263" width="13.6640625" style="28" customWidth="1"/>
    <col min="11264" max="11264" width="15.88671875" style="28" customWidth="1"/>
    <col min="11265" max="11265" width="16.5546875" style="28" bestFit="1" customWidth="1"/>
    <col min="11266" max="11266" width="13.6640625" style="28" customWidth="1"/>
    <col min="11267" max="11267" width="17.109375" style="28" bestFit="1" customWidth="1"/>
    <col min="11268" max="11268" width="4" style="28" customWidth="1"/>
    <col min="11269" max="11269" width="13.6640625" style="28" customWidth="1"/>
    <col min="11270" max="11511" width="13.6640625" style="28"/>
    <col min="11512" max="11512" width="22.109375" style="28" customWidth="1"/>
    <col min="11513" max="11519" width="13.6640625" style="28" customWidth="1"/>
    <col min="11520" max="11520" width="15.88671875" style="28" customWidth="1"/>
    <col min="11521" max="11521" width="16.5546875" style="28" bestFit="1" customWidth="1"/>
    <col min="11522" max="11522" width="13.6640625" style="28" customWidth="1"/>
    <col min="11523" max="11523" width="17.109375" style="28" bestFit="1" customWidth="1"/>
    <col min="11524" max="11524" width="4" style="28" customWidth="1"/>
    <col min="11525" max="11525" width="13.6640625" style="28" customWidth="1"/>
    <col min="11526" max="11767" width="13.6640625" style="28"/>
    <col min="11768" max="11768" width="22.109375" style="28" customWidth="1"/>
    <col min="11769" max="11775" width="13.6640625" style="28" customWidth="1"/>
    <col min="11776" max="11776" width="15.88671875" style="28" customWidth="1"/>
    <col min="11777" max="11777" width="16.5546875" style="28" bestFit="1" customWidth="1"/>
    <col min="11778" max="11778" width="13.6640625" style="28" customWidth="1"/>
    <col min="11779" max="11779" width="17.109375" style="28" bestFit="1" customWidth="1"/>
    <col min="11780" max="11780" width="4" style="28" customWidth="1"/>
    <col min="11781" max="11781" width="13.6640625" style="28" customWidth="1"/>
    <col min="11782" max="12023" width="13.6640625" style="28"/>
    <col min="12024" max="12024" width="22.109375" style="28" customWidth="1"/>
    <col min="12025" max="12031" width="13.6640625" style="28" customWidth="1"/>
    <col min="12032" max="12032" width="15.88671875" style="28" customWidth="1"/>
    <col min="12033" max="12033" width="16.5546875" style="28" bestFit="1" customWidth="1"/>
    <col min="12034" max="12034" width="13.6640625" style="28" customWidth="1"/>
    <col min="12035" max="12035" width="17.109375" style="28" bestFit="1" customWidth="1"/>
    <col min="12036" max="12036" width="4" style="28" customWidth="1"/>
    <col min="12037" max="12037" width="13.6640625" style="28" customWidth="1"/>
    <col min="12038" max="12279" width="13.6640625" style="28"/>
    <col min="12280" max="12280" width="22.109375" style="28" customWidth="1"/>
    <col min="12281" max="12287" width="13.6640625" style="28" customWidth="1"/>
    <col min="12288" max="12288" width="15.88671875" style="28" customWidth="1"/>
    <col min="12289" max="12289" width="16.5546875" style="28" bestFit="1" customWidth="1"/>
    <col min="12290" max="12290" width="13.6640625" style="28" customWidth="1"/>
    <col min="12291" max="12291" width="17.109375" style="28" bestFit="1" customWidth="1"/>
    <col min="12292" max="12292" width="4" style="28" customWidth="1"/>
    <col min="12293" max="12293" width="13.6640625" style="28" customWidth="1"/>
    <col min="12294" max="12535" width="13.6640625" style="28"/>
    <col min="12536" max="12536" width="22.109375" style="28" customWidth="1"/>
    <col min="12537" max="12543" width="13.6640625" style="28" customWidth="1"/>
    <col min="12544" max="12544" width="15.88671875" style="28" customWidth="1"/>
    <col min="12545" max="12545" width="16.5546875" style="28" bestFit="1" customWidth="1"/>
    <col min="12546" max="12546" width="13.6640625" style="28" customWidth="1"/>
    <col min="12547" max="12547" width="17.109375" style="28" bestFit="1" customWidth="1"/>
    <col min="12548" max="12548" width="4" style="28" customWidth="1"/>
    <col min="12549" max="12549" width="13.6640625" style="28" customWidth="1"/>
    <col min="12550" max="12791" width="13.6640625" style="28"/>
    <col min="12792" max="12792" width="22.109375" style="28" customWidth="1"/>
    <col min="12793" max="12799" width="13.6640625" style="28" customWidth="1"/>
    <col min="12800" max="12800" width="15.88671875" style="28" customWidth="1"/>
    <col min="12801" max="12801" width="16.5546875" style="28" bestFit="1" customWidth="1"/>
    <col min="12802" max="12802" width="13.6640625" style="28" customWidth="1"/>
    <col min="12803" max="12803" width="17.109375" style="28" bestFit="1" customWidth="1"/>
    <col min="12804" max="12804" width="4" style="28" customWidth="1"/>
    <col min="12805" max="12805" width="13.6640625" style="28" customWidth="1"/>
    <col min="12806" max="13047" width="13.6640625" style="28"/>
    <col min="13048" max="13048" width="22.109375" style="28" customWidth="1"/>
    <col min="13049" max="13055" width="13.6640625" style="28" customWidth="1"/>
    <col min="13056" max="13056" width="15.88671875" style="28" customWidth="1"/>
    <col min="13057" max="13057" width="16.5546875" style="28" bestFit="1" customWidth="1"/>
    <col min="13058" max="13058" width="13.6640625" style="28" customWidth="1"/>
    <col min="13059" max="13059" width="17.109375" style="28" bestFit="1" customWidth="1"/>
    <col min="13060" max="13060" width="4" style="28" customWidth="1"/>
    <col min="13061" max="13061" width="13.6640625" style="28" customWidth="1"/>
    <col min="13062" max="13303" width="13.6640625" style="28"/>
    <col min="13304" max="13304" width="22.109375" style="28" customWidth="1"/>
    <col min="13305" max="13311" width="13.6640625" style="28" customWidth="1"/>
    <col min="13312" max="13312" width="15.88671875" style="28" customWidth="1"/>
    <col min="13313" max="13313" width="16.5546875" style="28" bestFit="1" customWidth="1"/>
    <col min="13314" max="13314" width="13.6640625" style="28" customWidth="1"/>
    <col min="13315" max="13315" width="17.109375" style="28" bestFit="1" customWidth="1"/>
    <col min="13316" max="13316" width="4" style="28" customWidth="1"/>
    <col min="13317" max="13317" width="13.6640625" style="28" customWidth="1"/>
    <col min="13318" max="13559" width="13.6640625" style="28"/>
    <col min="13560" max="13560" width="22.109375" style="28" customWidth="1"/>
    <col min="13561" max="13567" width="13.6640625" style="28" customWidth="1"/>
    <col min="13568" max="13568" width="15.88671875" style="28" customWidth="1"/>
    <col min="13569" max="13569" width="16.5546875" style="28" bestFit="1" customWidth="1"/>
    <col min="13570" max="13570" width="13.6640625" style="28" customWidth="1"/>
    <col min="13571" max="13571" width="17.109375" style="28" bestFit="1" customWidth="1"/>
    <col min="13572" max="13572" width="4" style="28" customWidth="1"/>
    <col min="13573" max="13573" width="13.6640625" style="28" customWidth="1"/>
    <col min="13574" max="13815" width="13.6640625" style="28"/>
    <col min="13816" max="13816" width="22.109375" style="28" customWidth="1"/>
    <col min="13817" max="13823" width="13.6640625" style="28" customWidth="1"/>
    <col min="13824" max="13824" width="15.88671875" style="28" customWidth="1"/>
    <col min="13825" max="13825" width="16.5546875" style="28" bestFit="1" customWidth="1"/>
    <col min="13826" max="13826" width="13.6640625" style="28" customWidth="1"/>
    <col min="13827" max="13827" width="17.109375" style="28" bestFit="1" customWidth="1"/>
    <col min="13828" max="13828" width="4" style="28" customWidth="1"/>
    <col min="13829" max="13829" width="13.6640625" style="28" customWidth="1"/>
    <col min="13830" max="14071" width="13.6640625" style="28"/>
    <col min="14072" max="14072" width="22.109375" style="28" customWidth="1"/>
    <col min="14073" max="14079" width="13.6640625" style="28" customWidth="1"/>
    <col min="14080" max="14080" width="15.88671875" style="28" customWidth="1"/>
    <col min="14081" max="14081" width="16.5546875" style="28" bestFit="1" customWidth="1"/>
    <col min="14082" max="14082" width="13.6640625" style="28" customWidth="1"/>
    <col min="14083" max="14083" width="17.109375" style="28" bestFit="1" customWidth="1"/>
    <col min="14084" max="14084" width="4" style="28" customWidth="1"/>
    <col min="14085" max="14085" width="13.6640625" style="28" customWidth="1"/>
    <col min="14086" max="14327" width="13.6640625" style="28"/>
    <col min="14328" max="14328" width="22.109375" style="28" customWidth="1"/>
    <col min="14329" max="14335" width="13.6640625" style="28" customWidth="1"/>
    <col min="14336" max="14336" width="15.88671875" style="28" customWidth="1"/>
    <col min="14337" max="14337" width="16.5546875" style="28" bestFit="1" customWidth="1"/>
    <col min="14338" max="14338" width="13.6640625" style="28" customWidth="1"/>
    <col min="14339" max="14339" width="17.109375" style="28" bestFit="1" customWidth="1"/>
    <col min="14340" max="14340" width="4" style="28" customWidth="1"/>
    <col min="14341" max="14341" width="13.6640625" style="28" customWidth="1"/>
    <col min="14342" max="14583" width="13.6640625" style="28"/>
    <col min="14584" max="14584" width="22.109375" style="28" customWidth="1"/>
    <col min="14585" max="14591" width="13.6640625" style="28" customWidth="1"/>
    <col min="14592" max="14592" width="15.88671875" style="28" customWidth="1"/>
    <col min="14593" max="14593" width="16.5546875" style="28" bestFit="1" customWidth="1"/>
    <col min="14594" max="14594" width="13.6640625" style="28" customWidth="1"/>
    <col min="14595" max="14595" width="17.109375" style="28" bestFit="1" customWidth="1"/>
    <col min="14596" max="14596" width="4" style="28" customWidth="1"/>
    <col min="14597" max="14597" width="13.6640625" style="28" customWidth="1"/>
    <col min="14598" max="14839" width="13.6640625" style="28"/>
    <col min="14840" max="14840" width="22.109375" style="28" customWidth="1"/>
    <col min="14841" max="14847" width="13.6640625" style="28" customWidth="1"/>
    <col min="14848" max="14848" width="15.88671875" style="28" customWidth="1"/>
    <col min="14849" max="14849" width="16.5546875" style="28" bestFit="1" customWidth="1"/>
    <col min="14850" max="14850" width="13.6640625" style="28" customWidth="1"/>
    <col min="14851" max="14851" width="17.109375" style="28" bestFit="1" customWidth="1"/>
    <col min="14852" max="14852" width="4" style="28" customWidth="1"/>
    <col min="14853" max="14853" width="13.6640625" style="28" customWidth="1"/>
    <col min="14854" max="15095" width="13.6640625" style="28"/>
    <col min="15096" max="15096" width="22.109375" style="28" customWidth="1"/>
    <col min="15097" max="15103" width="13.6640625" style="28" customWidth="1"/>
    <col min="15104" max="15104" width="15.88671875" style="28" customWidth="1"/>
    <col min="15105" max="15105" width="16.5546875" style="28" bestFit="1" customWidth="1"/>
    <col min="15106" max="15106" width="13.6640625" style="28" customWidth="1"/>
    <col min="15107" max="15107" width="17.109375" style="28" bestFit="1" customWidth="1"/>
    <col min="15108" max="15108" width="4" style="28" customWidth="1"/>
    <col min="15109" max="15109" width="13.6640625" style="28" customWidth="1"/>
    <col min="15110" max="15351" width="13.6640625" style="28"/>
    <col min="15352" max="15352" width="22.109375" style="28" customWidth="1"/>
    <col min="15353" max="15359" width="13.6640625" style="28" customWidth="1"/>
    <col min="15360" max="15360" width="15.88671875" style="28" customWidth="1"/>
    <col min="15361" max="15361" width="16.5546875" style="28" bestFit="1" customWidth="1"/>
    <col min="15362" max="15362" width="13.6640625" style="28" customWidth="1"/>
    <col min="15363" max="15363" width="17.109375" style="28" bestFit="1" customWidth="1"/>
    <col min="15364" max="15364" width="4" style="28" customWidth="1"/>
    <col min="15365" max="15365" width="13.6640625" style="28" customWidth="1"/>
    <col min="15366" max="15607" width="13.6640625" style="28"/>
    <col min="15608" max="15608" width="22.109375" style="28" customWidth="1"/>
    <col min="15609" max="15615" width="13.6640625" style="28" customWidth="1"/>
    <col min="15616" max="15616" width="15.88671875" style="28" customWidth="1"/>
    <col min="15617" max="15617" width="16.5546875" style="28" bestFit="1" customWidth="1"/>
    <col min="15618" max="15618" width="13.6640625" style="28" customWidth="1"/>
    <col min="15619" max="15619" width="17.109375" style="28" bestFit="1" customWidth="1"/>
    <col min="15620" max="15620" width="4" style="28" customWidth="1"/>
    <col min="15621" max="15621" width="13.6640625" style="28" customWidth="1"/>
    <col min="15622" max="15863" width="13.6640625" style="28"/>
    <col min="15864" max="15864" width="22.109375" style="28" customWidth="1"/>
    <col min="15865" max="15871" width="13.6640625" style="28" customWidth="1"/>
    <col min="15872" max="15872" width="15.88671875" style="28" customWidth="1"/>
    <col min="15873" max="15873" width="16.5546875" style="28" bestFit="1" customWidth="1"/>
    <col min="15874" max="15874" width="13.6640625" style="28" customWidth="1"/>
    <col min="15875" max="15875" width="17.109375" style="28" bestFit="1" customWidth="1"/>
    <col min="15876" max="15876" width="4" style="28" customWidth="1"/>
    <col min="15877" max="15877" width="13.6640625" style="28" customWidth="1"/>
    <col min="15878" max="16119" width="13.6640625" style="28"/>
    <col min="16120" max="16120" width="22.109375" style="28" customWidth="1"/>
    <col min="16121" max="16127" width="13.6640625" style="28" customWidth="1"/>
    <col min="16128" max="16128" width="15.88671875" style="28" customWidth="1"/>
    <col min="16129" max="16129" width="16.5546875" style="28" bestFit="1" customWidth="1"/>
    <col min="16130" max="16130" width="13.6640625" style="28" customWidth="1"/>
    <col min="16131" max="16131" width="17.109375" style="28" bestFit="1" customWidth="1"/>
    <col min="16132" max="16132" width="4" style="28" customWidth="1"/>
    <col min="16133" max="16133" width="13.6640625" style="28" customWidth="1"/>
    <col min="16134" max="16384" width="13.6640625" style="28"/>
  </cols>
  <sheetData>
    <row r="1" spans="1:26" s="22" customFormat="1">
      <c r="A1" s="487" t="s">
        <v>5</v>
      </c>
      <c r="B1" s="180"/>
      <c r="C1" s="180"/>
      <c r="D1" s="103"/>
      <c r="E1" s="103"/>
      <c r="F1" s="181"/>
      <c r="G1" s="103"/>
      <c r="H1" s="103"/>
    </row>
    <row r="2" spans="1:26" s="22" customFormat="1" ht="16.2">
      <c r="A2" s="103"/>
      <c r="B2" s="180"/>
      <c r="C2" s="180"/>
      <c r="D2" s="182"/>
      <c r="E2" s="457" t="s">
        <v>254</v>
      </c>
      <c r="F2" s="457" t="s">
        <v>255</v>
      </c>
      <c r="G2" s="182"/>
      <c r="H2" s="103"/>
    </row>
    <row r="3" spans="1:26" s="22" customFormat="1" ht="15.6">
      <c r="A3" s="38" t="str">
        <f>'2-Kosten per locatie'!A3</f>
        <v>Naam opdrachtgever</v>
      </c>
      <c r="B3" s="161" t="str">
        <f>'2-Kosten per locatie'!B3</f>
        <v>SED organisatie</v>
      </c>
      <c r="C3" s="517"/>
      <c r="D3" s="182"/>
      <c r="E3" s="458" t="s">
        <v>256</v>
      </c>
      <c r="F3" s="459"/>
      <c r="G3" s="182"/>
      <c r="H3" s="103"/>
    </row>
    <row r="4" spans="1:26" s="22" customFormat="1" ht="15.6">
      <c r="A4" s="38" t="str">
        <f>'2-Kosten per locatie'!A4</f>
        <v>Calculatie onderdeel</v>
      </c>
      <c r="B4" s="161" t="str">
        <f ca="1">MID(CELL("bestandsnaam",$C$9),SEARCH("]",CELL("bestandsnaam",$C$9),1)+1,256)</f>
        <v>10-Glasbewassing</v>
      </c>
      <c r="C4" s="161"/>
      <c r="D4" s="182"/>
      <c r="E4" s="458" t="s">
        <v>257</v>
      </c>
      <c r="F4" s="459"/>
      <c r="G4" s="182"/>
      <c r="H4" s="103"/>
    </row>
    <row r="5" spans="1:26" s="22" customFormat="1" ht="15.6">
      <c r="A5" s="38" t="str">
        <f>'2-Kosten per locatie'!A5</f>
        <v>Gebouw/plaats</v>
      </c>
      <c r="B5" s="161" t="str">
        <f>'2-Kosten per locatie'!B5</f>
        <v>Perceel 2</v>
      </c>
      <c r="C5" s="161"/>
      <c r="D5" s="182"/>
      <c r="E5" s="460" t="s">
        <v>258</v>
      </c>
      <c r="F5" s="459"/>
      <c r="G5" s="182"/>
      <c r="H5" s="183"/>
      <c r="J5" s="24"/>
      <c r="K5" s="23"/>
      <c r="L5" s="24"/>
      <c r="M5" s="24"/>
      <c r="N5" s="23"/>
      <c r="O5" s="25"/>
      <c r="P5" s="24"/>
      <c r="Q5" s="23"/>
      <c r="R5" s="24"/>
      <c r="S5" s="24"/>
      <c r="T5" s="23"/>
      <c r="U5" s="24"/>
      <c r="V5" s="24"/>
      <c r="W5" s="23"/>
      <c r="X5" s="24"/>
      <c r="Y5" s="24"/>
      <c r="Z5" s="23"/>
    </row>
    <row r="6" spans="1:26" s="22" customFormat="1" ht="17.25" customHeight="1">
      <c r="A6" s="38" t="str">
        <f>'2-Kosten per locatie'!A6</f>
        <v>Referentie nummer</v>
      </c>
      <c r="B6" s="161">
        <f>'2-Kosten per locatie'!B6</f>
        <v>0</v>
      </c>
      <c r="C6" s="161"/>
      <c r="D6" s="182"/>
      <c r="E6" s="182"/>
      <c r="F6" s="182"/>
      <c r="G6" s="182"/>
      <c r="H6" s="183"/>
      <c r="J6" s="26"/>
      <c r="K6" s="27"/>
      <c r="L6" s="24"/>
      <c r="M6" s="26"/>
      <c r="N6" s="27"/>
      <c r="O6" s="25"/>
      <c r="P6" s="26"/>
      <c r="Q6" s="27"/>
      <c r="R6" s="24"/>
      <c r="S6" s="26"/>
      <c r="T6" s="27"/>
      <c r="U6" s="24"/>
      <c r="V6" s="26"/>
      <c r="W6" s="27"/>
      <c r="X6" s="24"/>
      <c r="Y6" s="26"/>
      <c r="Z6" s="27"/>
    </row>
    <row r="7" spans="1:26" s="22" customFormat="1" ht="17.25" customHeight="1">
      <c r="A7" s="38" t="str">
        <f>'2-Kosten per locatie'!A7</f>
        <v>Naam dienstverlener</v>
      </c>
      <c r="B7" s="161">
        <f>'2-Kosten per locatie'!B7</f>
        <v>0</v>
      </c>
      <c r="C7" s="125"/>
      <c r="D7" s="182"/>
      <c r="E7" s="182"/>
      <c r="F7" s="182"/>
      <c r="G7" s="182"/>
      <c r="H7" s="183"/>
    </row>
    <row r="8" spans="1:26" s="22" customFormat="1" ht="17.25" customHeight="1">
      <c r="A8" s="38" t="str">
        <f>'2-Kosten per locatie'!A8</f>
        <v>Prijspeil</v>
      </c>
      <c r="B8" s="290">
        <f>'2-Kosten per locatie'!B8</f>
        <v>46023</v>
      </c>
      <c r="C8" s="48"/>
      <c r="D8" s="182"/>
      <c r="E8" s="182"/>
      <c r="F8" s="182"/>
      <c r="G8" s="182"/>
      <c r="H8" s="183"/>
    </row>
    <row r="9" spans="1:26" s="22" customFormat="1" ht="17.25" customHeight="1">
      <c r="A9" s="182"/>
      <c r="B9" s="182"/>
      <c r="C9" s="182"/>
      <c r="D9" s="182"/>
      <c r="E9" s="182"/>
      <c r="F9" s="182"/>
      <c r="G9" s="182"/>
      <c r="H9" s="183"/>
    </row>
    <row r="10" spans="1:26" s="22" customFormat="1" ht="17.25" customHeight="1">
      <c r="A10" s="182"/>
      <c r="B10" s="182"/>
      <c r="C10" s="182"/>
      <c r="D10" s="182"/>
      <c r="E10" s="182"/>
      <c r="F10" s="182"/>
      <c r="G10" s="182"/>
      <c r="H10" s="183"/>
    </row>
    <row r="11" spans="1:26" s="22" customFormat="1" ht="15.6">
      <c r="A11" s="184"/>
      <c r="B11" s="182"/>
      <c r="C11" s="182"/>
      <c r="D11" s="185"/>
      <c r="E11" s="182"/>
      <c r="F11" s="186"/>
      <c r="G11" s="185"/>
      <c r="H11" s="183"/>
    </row>
    <row r="12" spans="1:26" s="29" customFormat="1" ht="43.5" customHeight="1">
      <c r="A12" s="461" t="s">
        <v>23</v>
      </c>
      <c r="B12" s="462" t="s">
        <v>254</v>
      </c>
      <c r="C12" s="462" t="s">
        <v>259</v>
      </c>
      <c r="D12" s="457" t="s">
        <v>260</v>
      </c>
      <c r="E12" s="462" t="s">
        <v>261</v>
      </c>
      <c r="F12" s="462" t="s">
        <v>262</v>
      </c>
      <c r="G12" s="462" t="s">
        <v>263</v>
      </c>
      <c r="H12" s="462" t="s">
        <v>264</v>
      </c>
    </row>
    <row r="13" spans="1:26">
      <c r="A13" s="463" t="s">
        <v>303</v>
      </c>
      <c r="B13" s="458" t="s">
        <v>256</v>
      </c>
      <c r="C13" s="458"/>
      <c r="D13" s="518">
        <v>40</v>
      </c>
      <c r="E13" s="464">
        <f>VLOOKUP(B13,$E$3:$F$10,2,FALSE)</f>
        <v>0</v>
      </c>
      <c r="F13" s="465">
        <f>(D13*E13)</f>
        <v>0</v>
      </c>
      <c r="G13" s="466" t="s">
        <v>467</v>
      </c>
      <c r="H13" s="465">
        <f t="shared" ref="H13:H54" si="0">G13*F13</f>
        <v>0</v>
      </c>
    </row>
    <row r="14" spans="1:26">
      <c r="A14" s="463" t="s">
        <v>303</v>
      </c>
      <c r="B14" s="458" t="s">
        <v>257</v>
      </c>
      <c r="C14" s="458"/>
      <c r="D14" s="518">
        <v>40</v>
      </c>
      <c r="E14" s="464">
        <f>VLOOKUP(B14,$E$3:$F$10,2,FALSE)</f>
        <v>0</v>
      </c>
      <c r="F14" s="465">
        <f t="shared" ref="F14:F54" si="1">(D14*E14)</f>
        <v>0</v>
      </c>
      <c r="G14" s="466" t="s">
        <v>467</v>
      </c>
      <c r="H14" s="465">
        <f t="shared" si="0"/>
        <v>0</v>
      </c>
    </row>
    <row r="15" spans="1:26">
      <c r="A15" s="463" t="s">
        <v>303</v>
      </c>
      <c r="B15" s="458" t="s">
        <v>258</v>
      </c>
      <c r="C15" s="458" t="s">
        <v>468</v>
      </c>
      <c r="D15" s="518">
        <v>20</v>
      </c>
      <c r="E15" s="464">
        <f t="shared" ref="E15:E54" si="2">VLOOKUP(B15,$E$3:$F$10,2,FALSE)</f>
        <v>0</v>
      </c>
      <c r="F15" s="465">
        <f t="shared" si="1"/>
        <v>0</v>
      </c>
      <c r="G15" s="466" t="s">
        <v>467</v>
      </c>
      <c r="H15" s="465">
        <f t="shared" si="0"/>
        <v>0</v>
      </c>
    </row>
    <row r="16" spans="1:26">
      <c r="A16" s="191" t="s">
        <v>300</v>
      </c>
      <c r="B16" s="460" t="s">
        <v>256</v>
      </c>
      <c r="C16" s="460"/>
      <c r="D16" s="518">
        <v>100</v>
      </c>
      <c r="E16" s="464">
        <f t="shared" si="2"/>
        <v>0</v>
      </c>
      <c r="F16" s="465">
        <f t="shared" si="1"/>
        <v>0</v>
      </c>
      <c r="G16" s="466" t="s">
        <v>467</v>
      </c>
      <c r="H16" s="465">
        <f t="shared" si="0"/>
        <v>0</v>
      </c>
    </row>
    <row r="17" spans="1:8">
      <c r="A17" s="191" t="s">
        <v>300</v>
      </c>
      <c r="B17" s="460" t="s">
        <v>257</v>
      </c>
      <c r="C17" s="460"/>
      <c r="D17" s="518">
        <v>100</v>
      </c>
      <c r="E17" s="464">
        <f t="shared" si="2"/>
        <v>0</v>
      </c>
      <c r="F17" s="465">
        <f t="shared" si="1"/>
        <v>0</v>
      </c>
      <c r="G17" s="466" t="s">
        <v>467</v>
      </c>
      <c r="H17" s="465">
        <f t="shared" si="0"/>
        <v>0</v>
      </c>
    </row>
    <row r="18" spans="1:8">
      <c r="A18" s="191" t="s">
        <v>300</v>
      </c>
      <c r="B18" s="460" t="s">
        <v>258</v>
      </c>
      <c r="C18" s="458" t="s">
        <v>468</v>
      </c>
      <c r="D18" s="518">
        <v>20</v>
      </c>
      <c r="E18" s="464">
        <f t="shared" si="2"/>
        <v>0</v>
      </c>
      <c r="F18" s="465">
        <f t="shared" si="1"/>
        <v>0</v>
      </c>
      <c r="G18" s="466" t="s">
        <v>467</v>
      </c>
      <c r="H18" s="465">
        <f t="shared" si="0"/>
        <v>0</v>
      </c>
    </row>
    <row r="19" spans="1:8">
      <c r="A19" s="191" t="s">
        <v>282</v>
      </c>
      <c r="B19" s="458" t="s">
        <v>256</v>
      </c>
      <c r="C19" s="458"/>
      <c r="D19" s="518">
        <v>40</v>
      </c>
      <c r="E19" s="464">
        <f t="shared" si="2"/>
        <v>0</v>
      </c>
      <c r="F19" s="465">
        <f t="shared" si="1"/>
        <v>0</v>
      </c>
      <c r="G19" s="466" t="s">
        <v>467</v>
      </c>
      <c r="H19" s="465">
        <f t="shared" si="0"/>
        <v>0</v>
      </c>
    </row>
    <row r="20" spans="1:8">
      <c r="A20" s="191" t="s">
        <v>282</v>
      </c>
      <c r="B20" s="458" t="s">
        <v>257</v>
      </c>
      <c r="C20" s="458"/>
      <c r="D20" s="518">
        <v>40</v>
      </c>
      <c r="E20" s="464">
        <f t="shared" si="2"/>
        <v>0</v>
      </c>
      <c r="F20" s="465">
        <f t="shared" si="1"/>
        <v>0</v>
      </c>
      <c r="G20" s="466" t="s">
        <v>467</v>
      </c>
      <c r="H20" s="465">
        <f t="shared" si="0"/>
        <v>0</v>
      </c>
    </row>
    <row r="21" spans="1:8">
      <c r="A21" s="191" t="s">
        <v>282</v>
      </c>
      <c r="B21" s="458" t="s">
        <v>258</v>
      </c>
      <c r="C21" s="458" t="s">
        <v>468</v>
      </c>
      <c r="D21" s="518">
        <v>20</v>
      </c>
      <c r="E21" s="464">
        <f t="shared" si="2"/>
        <v>0</v>
      </c>
      <c r="F21" s="465">
        <f t="shared" si="1"/>
        <v>0</v>
      </c>
      <c r="G21" s="466" t="s">
        <v>467</v>
      </c>
      <c r="H21" s="465">
        <f t="shared" si="0"/>
        <v>0</v>
      </c>
    </row>
    <row r="22" spans="1:8">
      <c r="A22" s="191" t="s">
        <v>290</v>
      </c>
      <c r="B22" s="460" t="s">
        <v>256</v>
      </c>
      <c r="C22" s="460"/>
      <c r="D22" s="518">
        <v>40</v>
      </c>
      <c r="E22" s="464">
        <f t="shared" si="2"/>
        <v>0</v>
      </c>
      <c r="F22" s="465">
        <f t="shared" si="1"/>
        <v>0</v>
      </c>
      <c r="G22" s="466" t="s">
        <v>467</v>
      </c>
      <c r="H22" s="465">
        <f t="shared" si="0"/>
        <v>0</v>
      </c>
    </row>
    <row r="23" spans="1:8">
      <c r="A23" s="191" t="s">
        <v>290</v>
      </c>
      <c r="B23" s="460" t="s">
        <v>257</v>
      </c>
      <c r="C23" s="460"/>
      <c r="D23" s="518">
        <v>40</v>
      </c>
      <c r="E23" s="464">
        <f t="shared" si="2"/>
        <v>0</v>
      </c>
      <c r="F23" s="465">
        <f t="shared" si="1"/>
        <v>0</v>
      </c>
      <c r="G23" s="466" t="s">
        <v>467</v>
      </c>
      <c r="H23" s="465">
        <f t="shared" si="0"/>
        <v>0</v>
      </c>
    </row>
    <row r="24" spans="1:8">
      <c r="A24" s="191" t="s">
        <v>290</v>
      </c>
      <c r="B24" s="460" t="s">
        <v>258</v>
      </c>
      <c r="C24" s="458" t="s">
        <v>468</v>
      </c>
      <c r="D24" s="518">
        <v>20</v>
      </c>
      <c r="E24" s="464">
        <f t="shared" si="2"/>
        <v>0</v>
      </c>
      <c r="F24" s="465">
        <f t="shared" si="1"/>
        <v>0</v>
      </c>
      <c r="G24" s="466" t="s">
        <v>467</v>
      </c>
      <c r="H24" s="465">
        <f t="shared" si="0"/>
        <v>0</v>
      </c>
    </row>
    <row r="25" spans="1:8">
      <c r="A25" s="191" t="s">
        <v>280</v>
      </c>
      <c r="B25" s="458" t="s">
        <v>256</v>
      </c>
      <c r="C25" s="458"/>
      <c r="D25" s="518">
        <v>40</v>
      </c>
      <c r="E25" s="464">
        <f t="shared" si="2"/>
        <v>0</v>
      </c>
      <c r="F25" s="465">
        <f t="shared" si="1"/>
        <v>0</v>
      </c>
      <c r="G25" s="466" t="s">
        <v>467</v>
      </c>
      <c r="H25" s="465">
        <f t="shared" si="0"/>
        <v>0</v>
      </c>
    </row>
    <row r="26" spans="1:8">
      <c r="A26" s="191" t="s">
        <v>280</v>
      </c>
      <c r="B26" s="458" t="s">
        <v>257</v>
      </c>
      <c r="C26" s="458"/>
      <c r="D26" s="518">
        <v>40</v>
      </c>
      <c r="E26" s="464">
        <f t="shared" si="2"/>
        <v>0</v>
      </c>
      <c r="F26" s="465">
        <f t="shared" si="1"/>
        <v>0</v>
      </c>
      <c r="G26" s="466" t="s">
        <v>467</v>
      </c>
      <c r="H26" s="465">
        <f t="shared" si="0"/>
        <v>0</v>
      </c>
    </row>
    <row r="27" spans="1:8">
      <c r="A27" s="191" t="s">
        <v>280</v>
      </c>
      <c r="B27" s="458" t="s">
        <v>258</v>
      </c>
      <c r="C27" s="458" t="s">
        <v>468</v>
      </c>
      <c r="D27" s="518">
        <v>20</v>
      </c>
      <c r="E27" s="464">
        <f t="shared" si="2"/>
        <v>0</v>
      </c>
      <c r="F27" s="465">
        <f t="shared" si="1"/>
        <v>0</v>
      </c>
      <c r="G27" s="466" t="s">
        <v>467</v>
      </c>
      <c r="H27" s="465">
        <f t="shared" si="0"/>
        <v>0</v>
      </c>
    </row>
    <row r="28" spans="1:8">
      <c r="A28" s="191" t="s">
        <v>292</v>
      </c>
      <c r="B28" s="460" t="s">
        <v>256</v>
      </c>
      <c r="C28" s="460"/>
      <c r="D28" s="518">
        <v>100</v>
      </c>
      <c r="E28" s="464">
        <f t="shared" si="2"/>
        <v>0</v>
      </c>
      <c r="F28" s="465">
        <f t="shared" si="1"/>
        <v>0</v>
      </c>
      <c r="G28" s="466" t="s">
        <v>467</v>
      </c>
      <c r="H28" s="465">
        <f t="shared" si="0"/>
        <v>0</v>
      </c>
    </row>
    <row r="29" spans="1:8">
      <c r="A29" s="191" t="s">
        <v>292</v>
      </c>
      <c r="B29" s="458" t="s">
        <v>257</v>
      </c>
      <c r="C29" s="458"/>
      <c r="D29" s="518">
        <v>100</v>
      </c>
      <c r="E29" s="464">
        <f t="shared" si="2"/>
        <v>0</v>
      </c>
      <c r="F29" s="465">
        <f t="shared" si="1"/>
        <v>0</v>
      </c>
      <c r="G29" s="466" t="s">
        <v>467</v>
      </c>
      <c r="H29" s="465">
        <f t="shared" si="0"/>
        <v>0</v>
      </c>
    </row>
    <row r="30" spans="1:8">
      <c r="A30" s="191" t="s">
        <v>292</v>
      </c>
      <c r="B30" s="458" t="s">
        <v>258</v>
      </c>
      <c r="C30" s="458" t="s">
        <v>468</v>
      </c>
      <c r="D30" s="518">
        <v>20</v>
      </c>
      <c r="E30" s="464">
        <f t="shared" si="2"/>
        <v>0</v>
      </c>
      <c r="F30" s="465">
        <f t="shared" si="1"/>
        <v>0</v>
      </c>
      <c r="G30" s="466" t="s">
        <v>467</v>
      </c>
      <c r="H30" s="465">
        <f t="shared" si="0"/>
        <v>0</v>
      </c>
    </row>
    <row r="31" spans="1:8">
      <c r="A31" s="191" t="s">
        <v>294</v>
      </c>
      <c r="B31" s="458" t="s">
        <v>256</v>
      </c>
      <c r="C31" s="458"/>
      <c r="D31" s="518">
        <v>40</v>
      </c>
      <c r="E31" s="464">
        <f t="shared" si="2"/>
        <v>0</v>
      </c>
      <c r="F31" s="465">
        <f t="shared" si="1"/>
        <v>0</v>
      </c>
      <c r="G31" s="466" t="s">
        <v>467</v>
      </c>
      <c r="H31" s="465">
        <f t="shared" si="0"/>
        <v>0</v>
      </c>
    </row>
    <row r="32" spans="1:8">
      <c r="A32" s="191" t="s">
        <v>294</v>
      </c>
      <c r="B32" s="460" t="s">
        <v>257</v>
      </c>
      <c r="C32" s="460"/>
      <c r="D32" s="518">
        <v>40</v>
      </c>
      <c r="E32" s="464">
        <f t="shared" si="2"/>
        <v>0</v>
      </c>
      <c r="F32" s="465">
        <f t="shared" si="1"/>
        <v>0</v>
      </c>
      <c r="G32" s="466" t="s">
        <v>467</v>
      </c>
      <c r="H32" s="465">
        <f t="shared" si="0"/>
        <v>0</v>
      </c>
    </row>
    <row r="33" spans="1:8">
      <c r="A33" s="191" t="s">
        <v>294</v>
      </c>
      <c r="B33" s="460" t="s">
        <v>258</v>
      </c>
      <c r="C33" s="458" t="s">
        <v>468</v>
      </c>
      <c r="D33" s="518">
        <v>20</v>
      </c>
      <c r="E33" s="464">
        <f t="shared" si="2"/>
        <v>0</v>
      </c>
      <c r="F33" s="465">
        <f t="shared" si="1"/>
        <v>0</v>
      </c>
      <c r="G33" s="466" t="s">
        <v>467</v>
      </c>
      <c r="H33" s="465">
        <f t="shared" si="0"/>
        <v>0</v>
      </c>
    </row>
    <row r="34" spans="1:8">
      <c r="A34" s="191" t="s">
        <v>286</v>
      </c>
      <c r="B34" s="458" t="s">
        <v>256</v>
      </c>
      <c r="C34" s="458"/>
      <c r="D34" s="518">
        <v>40</v>
      </c>
      <c r="E34" s="464">
        <f t="shared" si="2"/>
        <v>0</v>
      </c>
      <c r="F34" s="465">
        <f t="shared" si="1"/>
        <v>0</v>
      </c>
      <c r="G34" s="466" t="s">
        <v>467</v>
      </c>
      <c r="H34" s="465">
        <f t="shared" si="0"/>
        <v>0</v>
      </c>
    </row>
    <row r="35" spans="1:8">
      <c r="A35" s="191" t="s">
        <v>286</v>
      </c>
      <c r="B35" s="458" t="s">
        <v>257</v>
      </c>
      <c r="C35" s="458"/>
      <c r="D35" s="518">
        <v>40</v>
      </c>
      <c r="E35" s="464">
        <f t="shared" si="2"/>
        <v>0</v>
      </c>
      <c r="F35" s="465">
        <f t="shared" si="1"/>
        <v>0</v>
      </c>
      <c r="G35" s="466" t="s">
        <v>467</v>
      </c>
      <c r="H35" s="465">
        <f t="shared" si="0"/>
        <v>0</v>
      </c>
    </row>
    <row r="36" spans="1:8">
      <c r="A36" s="191" t="s">
        <v>286</v>
      </c>
      <c r="B36" s="458" t="s">
        <v>258</v>
      </c>
      <c r="C36" s="458" t="s">
        <v>468</v>
      </c>
      <c r="D36" s="518">
        <v>20</v>
      </c>
      <c r="E36" s="464">
        <f t="shared" si="2"/>
        <v>0</v>
      </c>
      <c r="F36" s="465">
        <f t="shared" si="1"/>
        <v>0</v>
      </c>
      <c r="G36" s="466" t="s">
        <v>467</v>
      </c>
      <c r="H36" s="465">
        <f t="shared" si="0"/>
        <v>0</v>
      </c>
    </row>
    <row r="37" spans="1:8">
      <c r="A37" s="191" t="s">
        <v>298</v>
      </c>
      <c r="B37" s="460" t="s">
        <v>256</v>
      </c>
      <c r="C37" s="460"/>
      <c r="D37" s="518">
        <v>40</v>
      </c>
      <c r="E37" s="464">
        <f t="shared" si="2"/>
        <v>0</v>
      </c>
      <c r="F37" s="465">
        <f t="shared" si="1"/>
        <v>0</v>
      </c>
      <c r="G37" s="466" t="s">
        <v>467</v>
      </c>
      <c r="H37" s="465">
        <f t="shared" si="0"/>
        <v>0</v>
      </c>
    </row>
    <row r="38" spans="1:8">
      <c r="A38" s="191" t="s">
        <v>298</v>
      </c>
      <c r="B38" s="458" t="s">
        <v>257</v>
      </c>
      <c r="C38" s="458"/>
      <c r="D38" s="518">
        <v>40</v>
      </c>
      <c r="E38" s="464">
        <f t="shared" si="2"/>
        <v>0</v>
      </c>
      <c r="F38" s="465">
        <f t="shared" si="1"/>
        <v>0</v>
      </c>
      <c r="G38" s="466" t="s">
        <v>467</v>
      </c>
      <c r="H38" s="465">
        <f t="shared" si="0"/>
        <v>0</v>
      </c>
    </row>
    <row r="39" spans="1:8">
      <c r="A39" s="191" t="s">
        <v>298</v>
      </c>
      <c r="B39" s="458" t="s">
        <v>258</v>
      </c>
      <c r="C39" s="458" t="s">
        <v>468</v>
      </c>
      <c r="D39" s="518">
        <v>20</v>
      </c>
      <c r="E39" s="464">
        <f t="shared" si="2"/>
        <v>0</v>
      </c>
      <c r="F39" s="465">
        <f t="shared" si="1"/>
        <v>0</v>
      </c>
      <c r="G39" s="466" t="s">
        <v>467</v>
      </c>
      <c r="H39" s="465">
        <f t="shared" si="0"/>
        <v>0</v>
      </c>
    </row>
    <row r="40" spans="1:8">
      <c r="A40" s="191" t="s">
        <v>284</v>
      </c>
      <c r="B40" s="458" t="s">
        <v>256</v>
      </c>
      <c r="C40" s="458"/>
      <c r="D40" s="518">
        <v>40</v>
      </c>
      <c r="E40" s="464">
        <f t="shared" si="2"/>
        <v>0</v>
      </c>
      <c r="F40" s="465">
        <f t="shared" si="1"/>
        <v>0</v>
      </c>
      <c r="G40" s="466" t="s">
        <v>467</v>
      </c>
      <c r="H40" s="465">
        <f t="shared" si="0"/>
        <v>0</v>
      </c>
    </row>
    <row r="41" spans="1:8">
      <c r="A41" s="191" t="s">
        <v>284</v>
      </c>
      <c r="B41" s="460" t="s">
        <v>257</v>
      </c>
      <c r="C41" s="460"/>
      <c r="D41" s="518">
        <v>40</v>
      </c>
      <c r="E41" s="464">
        <f t="shared" si="2"/>
        <v>0</v>
      </c>
      <c r="F41" s="465">
        <f t="shared" si="1"/>
        <v>0</v>
      </c>
      <c r="G41" s="466" t="s">
        <v>467</v>
      </c>
      <c r="H41" s="465">
        <f t="shared" si="0"/>
        <v>0</v>
      </c>
    </row>
    <row r="42" spans="1:8">
      <c r="A42" s="191" t="s">
        <v>284</v>
      </c>
      <c r="B42" s="460" t="s">
        <v>258</v>
      </c>
      <c r="C42" s="458" t="s">
        <v>468</v>
      </c>
      <c r="D42" s="518">
        <v>20</v>
      </c>
      <c r="E42" s="464">
        <f t="shared" si="2"/>
        <v>0</v>
      </c>
      <c r="F42" s="465">
        <f t="shared" si="1"/>
        <v>0</v>
      </c>
      <c r="G42" s="466" t="s">
        <v>467</v>
      </c>
      <c r="H42" s="465">
        <f t="shared" si="0"/>
        <v>0</v>
      </c>
    </row>
    <row r="43" spans="1:8">
      <c r="A43" s="191" t="s">
        <v>296</v>
      </c>
      <c r="B43" s="458" t="s">
        <v>256</v>
      </c>
      <c r="C43" s="458"/>
      <c r="D43" s="518">
        <v>40</v>
      </c>
      <c r="E43" s="464">
        <f t="shared" si="2"/>
        <v>0</v>
      </c>
      <c r="F43" s="465">
        <f t="shared" si="1"/>
        <v>0</v>
      </c>
      <c r="G43" s="466" t="s">
        <v>467</v>
      </c>
      <c r="H43" s="465">
        <f t="shared" si="0"/>
        <v>0</v>
      </c>
    </row>
    <row r="44" spans="1:8">
      <c r="A44" s="191" t="s">
        <v>296</v>
      </c>
      <c r="B44" s="458" t="s">
        <v>257</v>
      </c>
      <c r="C44" s="458"/>
      <c r="D44" s="518">
        <v>40</v>
      </c>
      <c r="E44" s="464">
        <f t="shared" si="2"/>
        <v>0</v>
      </c>
      <c r="F44" s="465">
        <f t="shared" si="1"/>
        <v>0</v>
      </c>
      <c r="G44" s="466" t="s">
        <v>467</v>
      </c>
      <c r="H44" s="465">
        <f t="shared" si="0"/>
        <v>0</v>
      </c>
    </row>
    <row r="45" spans="1:8">
      <c r="A45" s="191" t="s">
        <v>296</v>
      </c>
      <c r="B45" s="458" t="s">
        <v>258</v>
      </c>
      <c r="C45" s="458" t="s">
        <v>468</v>
      </c>
      <c r="D45" s="518">
        <v>20</v>
      </c>
      <c r="E45" s="464">
        <f t="shared" si="2"/>
        <v>0</v>
      </c>
      <c r="F45" s="465">
        <f t="shared" si="1"/>
        <v>0</v>
      </c>
      <c r="G45" s="466" t="s">
        <v>467</v>
      </c>
      <c r="H45" s="465">
        <f t="shared" si="0"/>
        <v>0</v>
      </c>
    </row>
    <row r="46" spans="1:8">
      <c r="A46" s="191" t="s">
        <v>302</v>
      </c>
      <c r="B46" s="458" t="s">
        <v>256</v>
      </c>
      <c r="C46" s="458"/>
      <c r="D46" s="518">
        <v>100</v>
      </c>
      <c r="E46" s="464">
        <f t="shared" si="2"/>
        <v>0</v>
      </c>
      <c r="F46" s="465">
        <f t="shared" si="1"/>
        <v>0</v>
      </c>
      <c r="G46" s="466" t="s">
        <v>467</v>
      </c>
      <c r="H46" s="465">
        <f t="shared" si="0"/>
        <v>0</v>
      </c>
    </row>
    <row r="47" spans="1:8">
      <c r="A47" s="191" t="s">
        <v>302</v>
      </c>
      <c r="B47" s="458" t="s">
        <v>257</v>
      </c>
      <c r="C47" s="458"/>
      <c r="D47" s="518">
        <v>100</v>
      </c>
      <c r="E47" s="464">
        <f t="shared" si="2"/>
        <v>0</v>
      </c>
      <c r="F47" s="465">
        <f t="shared" si="1"/>
        <v>0</v>
      </c>
      <c r="G47" s="466" t="s">
        <v>467</v>
      </c>
      <c r="H47" s="465">
        <f t="shared" si="0"/>
        <v>0</v>
      </c>
    </row>
    <row r="48" spans="1:8">
      <c r="A48" s="191" t="s">
        <v>302</v>
      </c>
      <c r="B48" s="458" t="s">
        <v>258</v>
      </c>
      <c r="C48" s="458" t="s">
        <v>468</v>
      </c>
      <c r="D48" s="518">
        <v>50</v>
      </c>
      <c r="E48" s="464">
        <f t="shared" si="2"/>
        <v>0</v>
      </c>
      <c r="F48" s="465">
        <f t="shared" si="1"/>
        <v>0</v>
      </c>
      <c r="G48" s="466" t="s">
        <v>467</v>
      </c>
      <c r="H48" s="465">
        <f t="shared" si="0"/>
        <v>0</v>
      </c>
    </row>
    <row r="49" spans="1:8">
      <c r="A49" s="191" t="s">
        <v>305</v>
      </c>
      <c r="B49" s="458" t="s">
        <v>256</v>
      </c>
      <c r="C49" s="458"/>
      <c r="D49" s="518">
        <v>40</v>
      </c>
      <c r="E49" s="464">
        <f t="shared" si="2"/>
        <v>0</v>
      </c>
      <c r="F49" s="465">
        <f t="shared" si="1"/>
        <v>0</v>
      </c>
      <c r="G49" s="466" t="s">
        <v>467</v>
      </c>
      <c r="H49" s="465">
        <f t="shared" si="0"/>
        <v>0</v>
      </c>
    </row>
    <row r="50" spans="1:8">
      <c r="A50" s="467" t="s">
        <v>305</v>
      </c>
      <c r="B50" s="458" t="s">
        <v>257</v>
      </c>
      <c r="C50" s="458"/>
      <c r="D50" s="518">
        <v>40</v>
      </c>
      <c r="E50" s="464">
        <f t="shared" si="2"/>
        <v>0</v>
      </c>
      <c r="F50" s="465">
        <f t="shared" si="1"/>
        <v>0</v>
      </c>
      <c r="G50" s="466" t="s">
        <v>467</v>
      </c>
      <c r="H50" s="465">
        <f t="shared" si="0"/>
        <v>0</v>
      </c>
    </row>
    <row r="51" spans="1:8">
      <c r="A51" s="467" t="s">
        <v>305</v>
      </c>
      <c r="B51" s="458" t="s">
        <v>258</v>
      </c>
      <c r="C51" s="458" t="s">
        <v>468</v>
      </c>
      <c r="D51" s="518">
        <v>20</v>
      </c>
      <c r="E51" s="464">
        <f t="shared" si="2"/>
        <v>0</v>
      </c>
      <c r="F51" s="465">
        <f t="shared" si="1"/>
        <v>0</v>
      </c>
      <c r="G51" s="466" t="s">
        <v>467</v>
      </c>
      <c r="H51" s="465">
        <f t="shared" si="0"/>
        <v>0</v>
      </c>
    </row>
    <row r="52" spans="1:8">
      <c r="A52" s="468" t="s">
        <v>288</v>
      </c>
      <c r="B52" s="458" t="s">
        <v>256</v>
      </c>
      <c r="C52" s="458"/>
      <c r="D52" s="518">
        <v>100</v>
      </c>
      <c r="E52" s="464">
        <f t="shared" si="2"/>
        <v>0</v>
      </c>
      <c r="F52" s="465">
        <f t="shared" si="1"/>
        <v>0</v>
      </c>
      <c r="G52" s="466" t="s">
        <v>467</v>
      </c>
      <c r="H52" s="465">
        <f t="shared" si="0"/>
        <v>0</v>
      </c>
    </row>
    <row r="53" spans="1:8">
      <c r="A53" s="468" t="s">
        <v>288</v>
      </c>
      <c r="B53" s="458" t="s">
        <v>257</v>
      </c>
      <c r="C53" s="458"/>
      <c r="D53" s="518">
        <v>100</v>
      </c>
      <c r="E53" s="464">
        <f t="shared" si="2"/>
        <v>0</v>
      </c>
      <c r="F53" s="465">
        <f t="shared" si="1"/>
        <v>0</v>
      </c>
      <c r="G53" s="466" t="s">
        <v>467</v>
      </c>
      <c r="H53" s="465">
        <f t="shared" si="0"/>
        <v>0</v>
      </c>
    </row>
    <row r="54" spans="1:8">
      <c r="A54" s="468" t="s">
        <v>288</v>
      </c>
      <c r="B54" s="458" t="s">
        <v>258</v>
      </c>
      <c r="C54" s="458" t="s">
        <v>468</v>
      </c>
      <c r="D54" s="518">
        <v>50</v>
      </c>
      <c r="E54" s="464">
        <f t="shared" si="2"/>
        <v>0</v>
      </c>
      <c r="F54" s="465">
        <f t="shared" si="1"/>
        <v>0</v>
      </c>
      <c r="G54" s="466" t="s">
        <v>467</v>
      </c>
      <c r="H54" s="465">
        <f t="shared" si="0"/>
        <v>0</v>
      </c>
    </row>
    <row r="55" spans="1:8">
      <c r="B55" s="187"/>
      <c r="C55" s="187"/>
      <c r="D55" s="291"/>
      <c r="E55" s="291"/>
      <c r="F55" s="291"/>
      <c r="G55" s="291"/>
      <c r="H55" s="291"/>
    </row>
    <row r="56" spans="1:8">
      <c r="A56" s="469" t="s">
        <v>50</v>
      </c>
      <c r="B56" s="470"/>
      <c r="C56" s="471"/>
      <c r="D56" s="472">
        <f>SUM(D13:D54)</f>
        <v>1940</v>
      </c>
      <c r="E56" s="473"/>
      <c r="F56" s="474"/>
      <c r="G56" s="475"/>
      <c r="H56" s="476">
        <f>SUM(H13:H54)</f>
        <v>0</v>
      </c>
    </row>
  </sheetData>
  <autoFilter ref="A12:Z56" xr:uid="{00000000-0009-0000-0000-00000A000000}"/>
  <phoneticPr fontId="72"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1C0C-7CD2-4BC1-8FFE-BD66CAE0D627}">
  <sheetPr>
    <tabColor theme="0"/>
  </sheetPr>
  <dimension ref="A1:Q39"/>
  <sheetViews>
    <sheetView showGridLines="0" topLeftCell="B1" zoomScale="85" zoomScaleNormal="85" workbookViewId="0">
      <selection activeCell="G13" sqref="G13"/>
    </sheetView>
  </sheetViews>
  <sheetFormatPr defaultColWidth="9.109375" defaultRowHeight="13.2"/>
  <cols>
    <col min="1" max="2" width="35.6640625" style="182" bestFit="1" customWidth="1"/>
    <col min="3" max="3" width="23.6640625" style="182" customWidth="1"/>
    <col min="4" max="6" width="12.88671875" style="182" customWidth="1"/>
    <col min="7" max="7" width="13.5546875" style="182" customWidth="1"/>
    <col min="8" max="12" width="12.88671875" style="182" customWidth="1"/>
    <col min="13" max="13" width="1.6640625" style="182" customWidth="1"/>
    <col min="14" max="14" width="12.88671875" style="182" customWidth="1"/>
    <col min="15" max="15" width="1.5546875" style="182" customWidth="1"/>
    <col min="16" max="17" width="12.88671875" style="182" customWidth="1"/>
    <col min="18" max="16384" width="9.109375" style="22"/>
  </cols>
  <sheetData>
    <row r="1" spans="1:17">
      <c r="A1" s="487" t="s">
        <v>5</v>
      </c>
    </row>
    <row r="2" spans="1:17">
      <c r="A2" s="103"/>
      <c r="B2" s="192"/>
      <c r="C2" s="192"/>
    </row>
    <row r="3" spans="1:17" ht="15.6">
      <c r="A3" s="38" t="str">
        <f>'2-Kosten per locatie'!A3</f>
        <v>Naam opdrachtgever</v>
      </c>
      <c r="B3" s="161" t="str">
        <f>'2-Kosten per locatie'!B3</f>
        <v>SED organisatie</v>
      </c>
    </row>
    <row r="4" spans="1:17" ht="15.6">
      <c r="A4" s="38" t="str">
        <f>'2-Kosten per locatie'!A4</f>
        <v>Calculatie onderdeel</v>
      </c>
      <c r="B4" s="47" t="str">
        <f ca="1">MID(CELL("bestandsnaam",$D$10),SEARCH("]",CELL("bestandsnaam",$D$10),1)+1,256)</f>
        <v>11-Machinekosten</v>
      </c>
    </row>
    <row r="5" spans="1:17" ht="15.6">
      <c r="A5" s="38" t="str">
        <f>'2-Kosten per locatie'!A5</f>
        <v>Gebouw/plaats</v>
      </c>
      <c r="B5" s="161" t="str">
        <f>'2-Kosten per locatie'!B5</f>
        <v>Perceel 2</v>
      </c>
    </row>
    <row r="6" spans="1:17" ht="15.6">
      <c r="A6" s="38" t="str">
        <f>'2-Kosten per locatie'!A6</f>
        <v>Referentie nummer</v>
      </c>
      <c r="B6" s="161">
        <f>'2-Kosten per locatie'!B6</f>
        <v>0</v>
      </c>
    </row>
    <row r="7" spans="1:17" ht="15.6">
      <c r="A7" s="38" t="str">
        <f>'2-Kosten per locatie'!A7</f>
        <v>Naam dienstverlener</v>
      </c>
      <c r="B7" s="161">
        <f>'2-Kosten per locatie'!B7</f>
        <v>0</v>
      </c>
    </row>
    <row r="8" spans="1:17" ht="15.6">
      <c r="A8" s="38" t="str">
        <f>'2-Kosten per locatie'!A8</f>
        <v>Prijspeil</v>
      </c>
      <c r="B8" s="292">
        <f>'2-Kosten per locatie'!B8</f>
        <v>46023</v>
      </c>
    </row>
    <row r="9" spans="1:17" ht="15.6">
      <c r="A9" s="160"/>
    </row>
    <row r="10" spans="1:17" ht="15.6">
      <c r="A10" s="193"/>
      <c r="B10" s="193"/>
      <c r="C10" s="194"/>
    </row>
    <row r="11" spans="1:17" s="36" customFormat="1" ht="64.8">
      <c r="A11" s="220" t="s">
        <v>23</v>
      </c>
      <c r="B11" s="220" t="s">
        <v>265</v>
      </c>
      <c r="C11" s="220" t="s">
        <v>266</v>
      </c>
      <c r="D11" s="220" t="s">
        <v>267</v>
      </c>
      <c r="E11" s="220" t="s">
        <v>268</v>
      </c>
      <c r="F11" s="220" t="s">
        <v>269</v>
      </c>
      <c r="G11" s="220" t="s">
        <v>270</v>
      </c>
      <c r="H11" s="220" t="s">
        <v>271</v>
      </c>
      <c r="I11" s="220" t="s">
        <v>272</v>
      </c>
      <c r="J11" s="220" t="s">
        <v>273</v>
      </c>
      <c r="K11" s="220" t="s">
        <v>274</v>
      </c>
      <c r="L11" s="220" t="s">
        <v>275</v>
      </c>
      <c r="M11" s="221"/>
      <c r="N11" s="220" t="s">
        <v>276</v>
      </c>
      <c r="O11" s="221"/>
      <c r="P11" s="220" t="s">
        <v>277</v>
      </c>
      <c r="Q11" s="220" t="s">
        <v>278</v>
      </c>
    </row>
    <row r="12" spans="1:17">
      <c r="D12" s="293"/>
      <c r="E12" s="294"/>
      <c r="F12" s="295"/>
      <c r="G12" s="293"/>
      <c r="H12" s="293"/>
      <c r="I12" s="296"/>
      <c r="J12" s="294"/>
      <c r="K12" s="294"/>
      <c r="L12" s="294"/>
      <c r="M12" s="296"/>
      <c r="N12" s="297"/>
      <c r="O12" s="296"/>
      <c r="P12" s="295"/>
      <c r="Q12" s="296"/>
    </row>
    <row r="13" spans="1:17">
      <c r="A13" s="202"/>
      <c r="B13" s="202"/>
      <c r="C13" s="203"/>
      <c r="D13" s="298">
        <v>0</v>
      </c>
      <c r="E13" s="299">
        <f>D13*$E$12</f>
        <v>0</v>
      </c>
      <c r="F13" s="300">
        <f>D13-E13</f>
        <v>0</v>
      </c>
      <c r="G13" s="301"/>
      <c r="H13" s="298">
        <v>0</v>
      </c>
      <c r="I13" s="302">
        <f>IF(G13=0,0,(F13-H13)/G13)</f>
        <v>0</v>
      </c>
      <c r="J13" s="303">
        <f>D13*$J$12</f>
        <v>0</v>
      </c>
      <c r="K13" s="302">
        <f>D13*$K$12</f>
        <v>0</v>
      </c>
      <c r="L13" s="304">
        <f>$L$12*D13</f>
        <v>0</v>
      </c>
      <c r="M13" s="296"/>
      <c r="N13" s="305">
        <f>SUM(I13:L13)</f>
        <v>0</v>
      </c>
      <c r="O13" s="296"/>
      <c r="P13" s="301"/>
      <c r="Q13" s="302">
        <f>N13*P13</f>
        <v>0</v>
      </c>
    </row>
    <row r="14" spans="1:17">
      <c r="A14" s="202"/>
      <c r="B14" s="202"/>
      <c r="C14" s="203"/>
      <c r="D14" s="298">
        <v>0</v>
      </c>
      <c r="E14" s="299">
        <f t="shared" ref="E14:E28" si="0">D14*$E$12</f>
        <v>0</v>
      </c>
      <c r="F14" s="300">
        <f>D14-E14</f>
        <v>0</v>
      </c>
      <c r="G14" s="301"/>
      <c r="H14" s="298">
        <v>0</v>
      </c>
      <c r="I14" s="302">
        <f>IF(G14=0,0,(F14-H14)/G14)</f>
        <v>0</v>
      </c>
      <c r="J14" s="303">
        <f>D14*$J$12</f>
        <v>0</v>
      </c>
      <c r="K14" s="302">
        <f>D14*$K$12</f>
        <v>0</v>
      </c>
      <c r="L14" s="304">
        <f>$L$12*D14</f>
        <v>0</v>
      </c>
      <c r="M14" s="296"/>
      <c r="N14" s="305">
        <f>SUM(I14:L14)</f>
        <v>0</v>
      </c>
      <c r="O14" s="296"/>
      <c r="P14" s="301"/>
      <c r="Q14" s="302">
        <f>N14*P14</f>
        <v>0</v>
      </c>
    </row>
    <row r="15" spans="1:17">
      <c r="A15" s="202"/>
      <c r="B15" s="202"/>
      <c r="C15" s="203"/>
      <c r="D15" s="298">
        <v>0</v>
      </c>
      <c r="E15" s="299">
        <f t="shared" si="0"/>
        <v>0</v>
      </c>
      <c r="F15" s="300">
        <f t="shared" ref="F15:F28" si="1">D15-E15</f>
        <v>0</v>
      </c>
      <c r="G15" s="301"/>
      <c r="H15" s="298">
        <v>0</v>
      </c>
      <c r="I15" s="302">
        <f t="shared" ref="I15:I28" si="2">IF(G15=0,0,(F15-H15)/G15)</f>
        <v>0</v>
      </c>
      <c r="J15" s="303">
        <f t="shared" ref="J15:J28" si="3">D15*$J$12</f>
        <v>0</v>
      </c>
      <c r="K15" s="302">
        <f t="shared" ref="K15:K28" si="4">D15*$K$12</f>
        <v>0</v>
      </c>
      <c r="L15" s="304">
        <f t="shared" ref="L15:L28" si="5">$L$12*D15</f>
        <v>0</v>
      </c>
      <c r="M15" s="296"/>
      <c r="N15" s="305">
        <f t="shared" ref="N15:N28" si="6">SUM(I15:L15)</f>
        <v>0</v>
      </c>
      <c r="O15" s="296"/>
      <c r="P15" s="301"/>
      <c r="Q15" s="302">
        <f t="shared" ref="Q15:Q28" si="7">N15*P15</f>
        <v>0</v>
      </c>
    </row>
    <row r="16" spans="1:17">
      <c r="A16" s="202"/>
      <c r="B16" s="202"/>
      <c r="C16" s="203"/>
      <c r="D16" s="298"/>
      <c r="E16" s="299">
        <f t="shared" si="0"/>
        <v>0</v>
      </c>
      <c r="F16" s="300">
        <f t="shared" si="1"/>
        <v>0</v>
      </c>
      <c r="G16" s="301"/>
      <c r="H16" s="298"/>
      <c r="I16" s="302">
        <f t="shared" si="2"/>
        <v>0</v>
      </c>
      <c r="J16" s="303">
        <f t="shared" si="3"/>
        <v>0</v>
      </c>
      <c r="K16" s="302">
        <f t="shared" si="4"/>
        <v>0</v>
      </c>
      <c r="L16" s="304">
        <f t="shared" si="5"/>
        <v>0</v>
      </c>
      <c r="M16" s="296"/>
      <c r="N16" s="305">
        <f t="shared" si="6"/>
        <v>0</v>
      </c>
      <c r="O16" s="296"/>
      <c r="P16" s="301"/>
      <c r="Q16" s="302">
        <f t="shared" si="7"/>
        <v>0</v>
      </c>
    </row>
    <row r="17" spans="1:17">
      <c r="A17" s="202"/>
      <c r="B17" s="202"/>
      <c r="C17" s="203"/>
      <c r="D17" s="298"/>
      <c r="E17" s="299">
        <f t="shared" si="0"/>
        <v>0</v>
      </c>
      <c r="F17" s="300">
        <f t="shared" si="1"/>
        <v>0</v>
      </c>
      <c r="G17" s="301"/>
      <c r="H17" s="298"/>
      <c r="I17" s="302">
        <f t="shared" si="2"/>
        <v>0</v>
      </c>
      <c r="J17" s="303">
        <f t="shared" si="3"/>
        <v>0</v>
      </c>
      <c r="K17" s="302">
        <f t="shared" si="4"/>
        <v>0</v>
      </c>
      <c r="L17" s="304">
        <f t="shared" si="5"/>
        <v>0</v>
      </c>
      <c r="M17" s="296"/>
      <c r="N17" s="305">
        <f t="shared" si="6"/>
        <v>0</v>
      </c>
      <c r="O17" s="296"/>
      <c r="P17" s="301"/>
      <c r="Q17" s="302">
        <f t="shared" si="7"/>
        <v>0</v>
      </c>
    </row>
    <row r="18" spans="1:17">
      <c r="A18" s="202"/>
      <c r="B18" s="202"/>
      <c r="C18" s="203"/>
      <c r="D18" s="298"/>
      <c r="E18" s="299">
        <f t="shared" si="0"/>
        <v>0</v>
      </c>
      <c r="F18" s="300">
        <f t="shared" si="1"/>
        <v>0</v>
      </c>
      <c r="G18" s="301"/>
      <c r="H18" s="298"/>
      <c r="I18" s="302">
        <f t="shared" si="2"/>
        <v>0</v>
      </c>
      <c r="J18" s="303">
        <f t="shared" si="3"/>
        <v>0</v>
      </c>
      <c r="K18" s="302">
        <f t="shared" si="4"/>
        <v>0</v>
      </c>
      <c r="L18" s="304">
        <f t="shared" si="5"/>
        <v>0</v>
      </c>
      <c r="M18" s="296"/>
      <c r="N18" s="305">
        <f t="shared" si="6"/>
        <v>0</v>
      </c>
      <c r="O18" s="296"/>
      <c r="P18" s="301"/>
      <c r="Q18" s="302">
        <f t="shared" si="7"/>
        <v>0</v>
      </c>
    </row>
    <row r="19" spans="1:17">
      <c r="A19" s="202"/>
      <c r="B19" s="202"/>
      <c r="C19" s="203"/>
      <c r="D19" s="298"/>
      <c r="E19" s="299">
        <f t="shared" si="0"/>
        <v>0</v>
      </c>
      <c r="F19" s="300">
        <f t="shared" si="1"/>
        <v>0</v>
      </c>
      <c r="G19" s="301"/>
      <c r="H19" s="298"/>
      <c r="I19" s="302">
        <f t="shared" si="2"/>
        <v>0</v>
      </c>
      <c r="J19" s="303">
        <f t="shared" si="3"/>
        <v>0</v>
      </c>
      <c r="K19" s="302">
        <f t="shared" si="4"/>
        <v>0</v>
      </c>
      <c r="L19" s="304">
        <f t="shared" si="5"/>
        <v>0</v>
      </c>
      <c r="M19" s="296"/>
      <c r="N19" s="305">
        <f t="shared" si="6"/>
        <v>0</v>
      </c>
      <c r="O19" s="296"/>
      <c r="P19" s="301"/>
      <c r="Q19" s="302">
        <f t="shared" si="7"/>
        <v>0</v>
      </c>
    </row>
    <row r="20" spans="1:17">
      <c r="A20" s="202"/>
      <c r="B20" s="202"/>
      <c r="C20" s="203"/>
      <c r="D20" s="298"/>
      <c r="E20" s="299">
        <f t="shared" si="0"/>
        <v>0</v>
      </c>
      <c r="F20" s="300">
        <f t="shared" si="1"/>
        <v>0</v>
      </c>
      <c r="G20" s="301"/>
      <c r="H20" s="298"/>
      <c r="I20" s="302">
        <f t="shared" si="2"/>
        <v>0</v>
      </c>
      <c r="J20" s="303">
        <f t="shared" si="3"/>
        <v>0</v>
      </c>
      <c r="K20" s="302">
        <f t="shared" si="4"/>
        <v>0</v>
      </c>
      <c r="L20" s="304">
        <f t="shared" si="5"/>
        <v>0</v>
      </c>
      <c r="M20" s="296"/>
      <c r="N20" s="305">
        <f t="shared" si="6"/>
        <v>0</v>
      </c>
      <c r="O20" s="296"/>
      <c r="P20" s="301"/>
      <c r="Q20" s="302">
        <f t="shared" si="7"/>
        <v>0</v>
      </c>
    </row>
    <row r="21" spans="1:17">
      <c r="A21" s="202"/>
      <c r="B21" s="202"/>
      <c r="C21" s="203"/>
      <c r="D21" s="298"/>
      <c r="E21" s="299">
        <f t="shared" si="0"/>
        <v>0</v>
      </c>
      <c r="F21" s="300">
        <f t="shared" si="1"/>
        <v>0</v>
      </c>
      <c r="G21" s="301"/>
      <c r="H21" s="298"/>
      <c r="I21" s="302">
        <f t="shared" si="2"/>
        <v>0</v>
      </c>
      <c r="J21" s="303">
        <f t="shared" si="3"/>
        <v>0</v>
      </c>
      <c r="K21" s="302">
        <f t="shared" si="4"/>
        <v>0</v>
      </c>
      <c r="L21" s="304">
        <f t="shared" si="5"/>
        <v>0</v>
      </c>
      <c r="M21" s="296"/>
      <c r="N21" s="305">
        <f t="shared" si="6"/>
        <v>0</v>
      </c>
      <c r="O21" s="296"/>
      <c r="P21" s="301"/>
      <c r="Q21" s="302">
        <f t="shared" si="7"/>
        <v>0</v>
      </c>
    </row>
    <row r="22" spans="1:17">
      <c r="A22" s="202"/>
      <c r="B22" s="202"/>
      <c r="C22" s="203"/>
      <c r="D22" s="298"/>
      <c r="E22" s="299">
        <f t="shared" si="0"/>
        <v>0</v>
      </c>
      <c r="F22" s="300">
        <f t="shared" si="1"/>
        <v>0</v>
      </c>
      <c r="G22" s="301"/>
      <c r="H22" s="298"/>
      <c r="I22" s="302">
        <f t="shared" si="2"/>
        <v>0</v>
      </c>
      <c r="J22" s="303">
        <f t="shared" si="3"/>
        <v>0</v>
      </c>
      <c r="K22" s="302">
        <f t="shared" si="4"/>
        <v>0</v>
      </c>
      <c r="L22" s="304">
        <f t="shared" si="5"/>
        <v>0</v>
      </c>
      <c r="M22" s="296"/>
      <c r="N22" s="305">
        <f t="shared" si="6"/>
        <v>0</v>
      </c>
      <c r="O22" s="296"/>
      <c r="P22" s="301"/>
      <c r="Q22" s="302">
        <f t="shared" si="7"/>
        <v>0</v>
      </c>
    </row>
    <row r="23" spans="1:17">
      <c r="A23" s="202"/>
      <c r="B23" s="202"/>
      <c r="C23" s="203"/>
      <c r="D23" s="298"/>
      <c r="E23" s="299">
        <f t="shared" si="0"/>
        <v>0</v>
      </c>
      <c r="F23" s="300">
        <f t="shared" si="1"/>
        <v>0</v>
      </c>
      <c r="G23" s="301"/>
      <c r="H23" s="298"/>
      <c r="I23" s="302">
        <f t="shared" si="2"/>
        <v>0</v>
      </c>
      <c r="J23" s="303">
        <f t="shared" si="3"/>
        <v>0</v>
      </c>
      <c r="K23" s="302">
        <f t="shared" si="4"/>
        <v>0</v>
      </c>
      <c r="L23" s="304">
        <f t="shared" si="5"/>
        <v>0</v>
      </c>
      <c r="M23" s="296"/>
      <c r="N23" s="305">
        <f t="shared" si="6"/>
        <v>0</v>
      </c>
      <c r="O23" s="296"/>
      <c r="P23" s="301"/>
      <c r="Q23" s="302">
        <f t="shared" si="7"/>
        <v>0</v>
      </c>
    </row>
    <row r="24" spans="1:17">
      <c r="A24" s="202"/>
      <c r="B24" s="202"/>
      <c r="C24" s="203"/>
      <c r="D24" s="298"/>
      <c r="E24" s="299">
        <f t="shared" si="0"/>
        <v>0</v>
      </c>
      <c r="F24" s="300">
        <f t="shared" si="1"/>
        <v>0</v>
      </c>
      <c r="G24" s="301"/>
      <c r="H24" s="298"/>
      <c r="I24" s="302">
        <f t="shared" si="2"/>
        <v>0</v>
      </c>
      <c r="J24" s="303">
        <f t="shared" si="3"/>
        <v>0</v>
      </c>
      <c r="K24" s="302">
        <f t="shared" si="4"/>
        <v>0</v>
      </c>
      <c r="L24" s="304">
        <f t="shared" si="5"/>
        <v>0</v>
      </c>
      <c r="M24" s="296"/>
      <c r="N24" s="305">
        <f t="shared" si="6"/>
        <v>0</v>
      </c>
      <c r="O24" s="296"/>
      <c r="P24" s="301"/>
      <c r="Q24" s="302">
        <f t="shared" si="7"/>
        <v>0</v>
      </c>
    </row>
    <row r="25" spans="1:17">
      <c r="A25" s="202"/>
      <c r="B25" s="202"/>
      <c r="C25" s="203"/>
      <c r="D25" s="298"/>
      <c r="E25" s="299">
        <f t="shared" si="0"/>
        <v>0</v>
      </c>
      <c r="F25" s="300">
        <f t="shared" si="1"/>
        <v>0</v>
      </c>
      <c r="G25" s="301"/>
      <c r="H25" s="298"/>
      <c r="I25" s="302">
        <f t="shared" si="2"/>
        <v>0</v>
      </c>
      <c r="J25" s="303">
        <f t="shared" si="3"/>
        <v>0</v>
      </c>
      <c r="K25" s="302">
        <f t="shared" si="4"/>
        <v>0</v>
      </c>
      <c r="L25" s="304">
        <f t="shared" si="5"/>
        <v>0</v>
      </c>
      <c r="M25" s="296"/>
      <c r="N25" s="305">
        <f t="shared" si="6"/>
        <v>0</v>
      </c>
      <c r="O25" s="296"/>
      <c r="P25" s="301"/>
      <c r="Q25" s="302">
        <f t="shared" si="7"/>
        <v>0</v>
      </c>
    </row>
    <row r="26" spans="1:17">
      <c r="A26" s="202"/>
      <c r="B26" s="202"/>
      <c r="C26" s="203"/>
      <c r="D26" s="298"/>
      <c r="E26" s="299">
        <f t="shared" si="0"/>
        <v>0</v>
      </c>
      <c r="F26" s="300">
        <f t="shared" si="1"/>
        <v>0</v>
      </c>
      <c r="G26" s="301"/>
      <c r="H26" s="298"/>
      <c r="I26" s="302">
        <f t="shared" si="2"/>
        <v>0</v>
      </c>
      <c r="J26" s="303">
        <f t="shared" si="3"/>
        <v>0</v>
      </c>
      <c r="K26" s="302">
        <f t="shared" si="4"/>
        <v>0</v>
      </c>
      <c r="L26" s="304">
        <f t="shared" si="5"/>
        <v>0</v>
      </c>
      <c r="M26" s="296"/>
      <c r="N26" s="305">
        <f t="shared" si="6"/>
        <v>0</v>
      </c>
      <c r="O26" s="296"/>
      <c r="P26" s="301"/>
      <c r="Q26" s="302">
        <f t="shared" si="7"/>
        <v>0</v>
      </c>
    </row>
    <row r="27" spans="1:17">
      <c r="A27" s="202"/>
      <c r="B27" s="202"/>
      <c r="C27" s="203"/>
      <c r="D27" s="298"/>
      <c r="E27" s="299">
        <f t="shared" si="0"/>
        <v>0</v>
      </c>
      <c r="F27" s="300">
        <f t="shared" si="1"/>
        <v>0</v>
      </c>
      <c r="G27" s="301"/>
      <c r="H27" s="298"/>
      <c r="I27" s="302">
        <f t="shared" si="2"/>
        <v>0</v>
      </c>
      <c r="J27" s="303">
        <f t="shared" si="3"/>
        <v>0</v>
      </c>
      <c r="K27" s="302">
        <f t="shared" si="4"/>
        <v>0</v>
      </c>
      <c r="L27" s="304">
        <f t="shared" si="5"/>
        <v>0</v>
      </c>
      <c r="M27" s="296"/>
      <c r="N27" s="305">
        <f t="shared" si="6"/>
        <v>0</v>
      </c>
      <c r="O27" s="296"/>
      <c r="P27" s="301"/>
      <c r="Q27" s="302">
        <f t="shared" si="7"/>
        <v>0</v>
      </c>
    </row>
    <row r="28" spans="1:17">
      <c r="A28" s="202"/>
      <c r="B28" s="202"/>
      <c r="C28" s="203"/>
      <c r="D28" s="298"/>
      <c r="E28" s="299">
        <f t="shared" si="0"/>
        <v>0</v>
      </c>
      <c r="F28" s="300">
        <f t="shared" si="1"/>
        <v>0</v>
      </c>
      <c r="G28" s="301"/>
      <c r="H28" s="298"/>
      <c r="I28" s="302">
        <f t="shared" si="2"/>
        <v>0</v>
      </c>
      <c r="J28" s="303">
        <f t="shared" si="3"/>
        <v>0</v>
      </c>
      <c r="K28" s="302">
        <f t="shared" si="4"/>
        <v>0</v>
      </c>
      <c r="L28" s="304">
        <f t="shared" si="5"/>
        <v>0</v>
      </c>
      <c r="M28" s="296"/>
      <c r="N28" s="305">
        <f t="shared" si="6"/>
        <v>0</v>
      </c>
      <c r="O28" s="296"/>
      <c r="P28" s="301"/>
      <c r="Q28" s="302">
        <f t="shared" si="7"/>
        <v>0</v>
      </c>
    </row>
    <row r="29" spans="1:17">
      <c r="D29" s="296"/>
      <c r="E29" s="296"/>
      <c r="F29" s="296"/>
      <c r="G29" s="296"/>
      <c r="H29" s="296"/>
      <c r="I29" s="296"/>
      <c r="J29" s="296"/>
      <c r="K29" s="296"/>
      <c r="L29" s="296"/>
      <c r="M29" s="296"/>
      <c r="N29" s="296"/>
      <c r="O29" s="296"/>
      <c r="P29" s="296"/>
      <c r="Q29" s="296"/>
    </row>
    <row r="30" spans="1:17">
      <c r="A30" s="195"/>
      <c r="B30" s="195" t="s">
        <v>50</v>
      </c>
      <c r="C30" s="196"/>
      <c r="D30" s="306"/>
      <c r="E30" s="306"/>
      <c r="F30" s="306"/>
      <c r="G30" s="306"/>
      <c r="H30" s="306"/>
      <c r="I30" s="306"/>
      <c r="J30" s="306"/>
      <c r="K30" s="306"/>
      <c r="L30" s="307"/>
      <c r="M30" s="296"/>
      <c r="N30" s="296"/>
      <c r="O30" s="296"/>
      <c r="P30" s="308">
        <f>SUM(P13:P28)</f>
        <v>0</v>
      </c>
      <c r="Q30" s="309">
        <f>SUM(Q13:Q28)</f>
        <v>0</v>
      </c>
    </row>
    <row r="39" ht="16.2" customHeight="1"/>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H51"/>
  <sheetViews>
    <sheetView showGridLines="0" showZeros="0" zoomScale="70" zoomScaleNormal="70" workbookViewId="0">
      <pane xSplit="1" ySplit="14" topLeftCell="B15" activePane="bottomRight" state="frozen"/>
      <selection pane="topRight" activeCell="B1" sqref="B1"/>
      <selection pane="bottomLeft" activeCell="A15" sqref="A15"/>
      <selection pane="bottomRight" activeCell="B6" sqref="B6"/>
    </sheetView>
  </sheetViews>
  <sheetFormatPr defaultColWidth="8.6640625" defaultRowHeight="14.1" customHeight="1"/>
  <cols>
    <col min="1" max="1" width="34.6640625" style="40" customWidth="1"/>
    <col min="2" max="2" width="19.33203125" style="40" customWidth="1"/>
    <col min="3" max="3" width="16" style="40" customWidth="1"/>
    <col min="4" max="7" width="13.6640625" style="41" customWidth="1"/>
    <col min="8" max="8" width="18.109375" style="41" customWidth="1"/>
    <col min="9" max="9" width="15.77734375" style="41" customWidth="1"/>
    <col min="10" max="14" width="13.6640625" style="41" customWidth="1"/>
    <col min="15" max="15" width="19.109375" style="41" customWidth="1"/>
    <col min="16" max="16" width="17.33203125" style="41" customWidth="1"/>
    <col min="17" max="17" width="15.6640625" style="41" customWidth="1"/>
    <col min="18" max="18" width="16.5546875" style="41" customWidth="1"/>
    <col min="19" max="23" width="13.6640625" style="41" customWidth="1"/>
    <col min="24" max="28" width="13.33203125" style="41" customWidth="1"/>
    <col min="29" max="29" width="14.6640625" style="41" customWidth="1"/>
    <col min="30" max="33" width="13.33203125" style="41" customWidth="1"/>
    <col min="34" max="16384" width="8.6640625" style="40"/>
  </cols>
  <sheetData>
    <row r="1" spans="1:34" ht="14.1" customHeight="1">
      <c r="A1" s="310" t="s">
        <v>5</v>
      </c>
      <c r="E1" s="235" t="s">
        <v>6</v>
      </c>
      <c r="F1" s="236"/>
      <c r="G1" s="42"/>
      <c r="J1" s="237" t="s">
        <v>7</v>
      </c>
      <c r="K1" s="238"/>
      <c r="L1" s="238"/>
      <c r="M1" s="238"/>
      <c r="N1" s="238"/>
      <c r="O1" s="239"/>
      <c r="P1" s="222" t="e">
        <f>R48</f>
        <v>#DIV/0!</v>
      </c>
    </row>
    <row r="2" spans="1:34" ht="14.1" customHeight="1">
      <c r="E2" s="223"/>
      <c r="F2" s="43" t="s">
        <v>8</v>
      </c>
      <c r="G2" s="42"/>
      <c r="J2" s="44" t="s">
        <v>9</v>
      </c>
      <c r="K2" s="45"/>
      <c r="L2" s="45"/>
      <c r="M2" s="45"/>
      <c r="N2" s="45"/>
      <c r="O2" s="46">
        <v>0.21</v>
      </c>
      <c r="P2" s="225" t="e">
        <f>O2*P1</f>
        <v>#DIV/0!</v>
      </c>
    </row>
    <row r="3" spans="1:34" ht="14.1" customHeight="1">
      <c r="A3" s="38" t="s">
        <v>1</v>
      </c>
      <c r="B3" s="568" t="s">
        <v>469</v>
      </c>
      <c r="C3" s="569"/>
      <c r="D3" s="42"/>
      <c r="E3" s="42"/>
      <c r="G3" s="42"/>
      <c r="H3" s="42"/>
      <c r="I3" s="42"/>
      <c r="J3" s="44" t="s">
        <v>10</v>
      </c>
      <c r="K3" s="45"/>
      <c r="L3" s="45"/>
      <c r="M3" s="45"/>
      <c r="N3" s="45"/>
      <c r="O3" s="45"/>
      <c r="P3" s="226" t="e">
        <f>P1+P2</f>
        <v>#DIV/0!</v>
      </c>
      <c r="AF3" s="42"/>
      <c r="AG3" s="42"/>
    </row>
    <row r="4" spans="1:34" ht="14.1" customHeight="1">
      <c r="A4" s="38" t="s">
        <v>2</v>
      </c>
      <c r="B4" s="568" t="str">
        <f ca="1">MID(CELL("bestandsnaam",$B$13),SEARCH("]",CELL("bestandsnaam",$B$13),1)+1,256)</f>
        <v>2-Kosten per locatie</v>
      </c>
      <c r="C4" s="568"/>
      <c r="D4" s="42"/>
      <c r="E4" s="235" t="s">
        <v>11</v>
      </c>
      <c r="F4" s="236"/>
      <c r="G4" s="42"/>
      <c r="H4" s="42"/>
      <c r="I4" s="42"/>
      <c r="J4" s="45"/>
      <c r="K4" s="45"/>
      <c r="L4" s="45"/>
      <c r="M4" s="45"/>
      <c r="N4" s="45"/>
      <c r="O4" s="45"/>
      <c r="P4" s="224"/>
      <c r="AF4" s="42"/>
      <c r="AG4" s="42"/>
    </row>
    <row r="5" spans="1:34" ht="14.1" customHeight="1">
      <c r="A5" s="38" t="s">
        <v>3</v>
      </c>
      <c r="B5" s="568" t="s">
        <v>470</v>
      </c>
      <c r="C5" s="569"/>
      <c r="D5" s="42"/>
      <c r="E5" s="227"/>
      <c r="F5" s="43" t="s">
        <v>12</v>
      </c>
      <c r="G5" s="42"/>
      <c r="H5" s="42"/>
      <c r="I5" s="42"/>
      <c r="J5" s="240" t="s">
        <v>13</v>
      </c>
      <c r="K5" s="241"/>
      <c r="L5" s="241"/>
      <c r="M5" s="241"/>
      <c r="N5" s="241"/>
      <c r="O5" s="241"/>
      <c r="P5" s="228">
        <v>305000</v>
      </c>
      <c r="AF5" s="42"/>
      <c r="AG5" s="42"/>
    </row>
    <row r="6" spans="1:34" ht="14.1" customHeight="1">
      <c r="A6" s="38" t="s">
        <v>4</v>
      </c>
      <c r="B6" s="199"/>
      <c r="C6" s="200"/>
      <c r="D6" s="42"/>
      <c r="E6" s="42"/>
      <c r="F6" s="42"/>
      <c r="G6" s="42"/>
      <c r="H6" s="42"/>
      <c r="I6" s="42"/>
      <c r="J6" s="240"/>
      <c r="K6" s="241"/>
      <c r="L6" s="241"/>
      <c r="M6" s="241"/>
      <c r="N6" s="241"/>
      <c r="O6" s="241"/>
      <c r="P6" s="228"/>
      <c r="AF6" s="42"/>
      <c r="AG6" s="42"/>
    </row>
    <row r="7" spans="1:34" ht="14.1" customHeight="1">
      <c r="A7" s="38" t="s">
        <v>14</v>
      </c>
      <c r="B7" s="199"/>
      <c r="C7" s="200"/>
      <c r="D7" s="42"/>
      <c r="E7" s="42"/>
      <c r="F7" s="42"/>
      <c r="G7" s="42"/>
      <c r="H7" s="42"/>
      <c r="I7" s="42"/>
      <c r="J7" s="42"/>
      <c r="K7" s="42"/>
      <c r="V7" s="42"/>
      <c r="W7" s="40"/>
      <c r="X7" s="40"/>
      <c r="Y7" s="40"/>
      <c r="AF7" s="42"/>
      <c r="AG7" s="42"/>
    </row>
    <row r="8" spans="1:34" ht="14.1" customHeight="1">
      <c r="A8" s="38" t="s">
        <v>15</v>
      </c>
      <c r="B8" s="48">
        <v>46023</v>
      </c>
      <c r="C8" s="38"/>
      <c r="D8" s="42"/>
      <c r="E8" s="42"/>
      <c r="F8" s="42"/>
      <c r="G8" s="42"/>
      <c r="H8" s="42"/>
      <c r="I8" s="42"/>
      <c r="J8" s="240" t="s">
        <v>16</v>
      </c>
      <c r="K8" s="241"/>
      <c r="L8" s="241"/>
      <c r="M8" s="241"/>
      <c r="N8" s="241"/>
      <c r="O8" s="241"/>
      <c r="P8" s="494"/>
      <c r="Q8" s="42"/>
      <c r="R8" s="42"/>
      <c r="S8" s="42"/>
      <c r="T8" s="42"/>
      <c r="U8" s="42"/>
      <c r="V8" s="42"/>
      <c r="W8" s="42"/>
      <c r="X8" s="42"/>
      <c r="Y8" s="42"/>
      <c r="Z8" s="42"/>
      <c r="AA8" s="49"/>
      <c r="AB8" s="49"/>
      <c r="AC8" s="49"/>
      <c r="AD8" s="49"/>
      <c r="AE8" s="49"/>
      <c r="AF8" s="42"/>
      <c r="AG8" s="42"/>
    </row>
    <row r="9" spans="1:34" ht="14.1" customHeight="1">
      <c r="A9" s="38" t="s">
        <v>17</v>
      </c>
      <c r="B9" s="50" t="s">
        <v>471</v>
      </c>
      <c r="C9" s="38"/>
      <c r="D9" s="42"/>
      <c r="E9" s="42"/>
      <c r="F9" s="42"/>
      <c r="G9" s="42"/>
      <c r="H9" s="42"/>
      <c r="I9" s="42"/>
      <c r="J9" s="492" t="s">
        <v>18</v>
      </c>
      <c r="K9" s="51"/>
      <c r="M9" s="42"/>
      <c r="N9" s="42"/>
      <c r="Q9" s="42"/>
      <c r="V9" s="42"/>
      <c r="W9" s="40"/>
      <c r="X9" s="40"/>
      <c r="Y9" s="40"/>
      <c r="Z9" s="40"/>
      <c r="AA9" s="40"/>
      <c r="AB9" s="40"/>
      <c r="AC9" s="40"/>
      <c r="AD9" s="40"/>
      <c r="AE9" s="40"/>
      <c r="AF9" s="42"/>
      <c r="AG9" s="42"/>
    </row>
    <row r="10" spans="1:34" ht="14.1" customHeight="1">
      <c r="A10" s="38"/>
      <c r="B10" s="38"/>
      <c r="C10" s="38"/>
      <c r="D10" s="42"/>
      <c r="E10" s="42"/>
      <c r="F10" s="42"/>
      <c r="G10" s="42"/>
      <c r="H10" s="42"/>
      <c r="I10" s="42"/>
      <c r="J10" s="493" t="s">
        <v>19</v>
      </c>
      <c r="K10" s="52"/>
      <c r="Q10" s="42"/>
      <c r="R10" s="42"/>
      <c r="S10" s="42"/>
      <c r="T10" s="42"/>
      <c r="U10" s="42"/>
      <c r="V10" s="42"/>
      <c r="W10" s="42"/>
      <c r="X10" s="42"/>
      <c r="Y10" s="42"/>
      <c r="Z10" s="42"/>
      <c r="AA10" s="42"/>
      <c r="AB10" s="42"/>
      <c r="AC10" s="42"/>
      <c r="AD10" s="42"/>
      <c r="AE10" s="42"/>
      <c r="AF10" s="42"/>
      <c r="AG10" s="42"/>
    </row>
    <row r="11" spans="1:34" ht="14.1" customHeight="1">
      <c r="A11" s="38"/>
      <c r="B11" s="38"/>
      <c r="C11" s="38"/>
      <c r="D11" s="42"/>
      <c r="E11" s="42"/>
      <c r="F11" s="42"/>
      <c r="G11" s="42"/>
      <c r="H11" s="42"/>
      <c r="I11" s="42"/>
      <c r="J11" s="51"/>
      <c r="K11" s="42"/>
      <c r="L11" s="42"/>
      <c r="M11" s="42"/>
      <c r="N11" s="42"/>
      <c r="O11" s="42"/>
      <c r="P11" s="42"/>
      <c r="Q11" s="42"/>
      <c r="R11" s="42"/>
      <c r="S11" s="42"/>
      <c r="T11" s="42"/>
      <c r="U11" s="42"/>
      <c r="V11" s="42"/>
      <c r="W11" s="42"/>
      <c r="X11" s="42"/>
      <c r="Y11" s="42"/>
      <c r="Z11" s="42"/>
      <c r="AA11" s="42"/>
      <c r="AB11" s="42"/>
      <c r="AC11" s="42"/>
      <c r="AD11" s="42"/>
      <c r="AE11" s="42"/>
      <c r="AF11" s="42"/>
      <c r="AG11" s="42"/>
    </row>
    <row r="12" spans="1:34" ht="15.6">
      <c r="C12" s="48"/>
      <c r="J12" s="52"/>
      <c r="AA12" s="42"/>
      <c r="AB12" s="42"/>
      <c r="AC12" s="42"/>
      <c r="AD12" s="42"/>
      <c r="AE12" s="42"/>
      <c r="AF12" s="42"/>
      <c r="AG12" s="42"/>
    </row>
    <row r="13" spans="1:34" ht="18" customHeight="1">
      <c r="A13" s="53"/>
      <c r="B13" s="53"/>
      <c r="C13" s="53"/>
      <c r="D13" s="53"/>
      <c r="E13" s="53"/>
      <c r="F13" s="53"/>
      <c r="G13" s="53"/>
      <c r="H13" s="53"/>
      <c r="I13" s="53"/>
      <c r="J13" s="529" t="s">
        <v>20</v>
      </c>
      <c r="K13" s="530"/>
      <c r="L13" s="530"/>
      <c r="M13" s="530"/>
      <c r="N13" s="530"/>
      <c r="O13" s="531"/>
      <c r="P13" s="529" t="s">
        <v>21</v>
      </c>
      <c r="Q13" s="530"/>
      <c r="R13" s="530"/>
      <c r="S13" s="530"/>
      <c r="T13" s="530"/>
      <c r="U13" s="531"/>
      <c r="V13" s="532" t="s">
        <v>22</v>
      </c>
      <c r="W13" s="533"/>
      <c r="X13" s="533"/>
      <c r="Y13" s="533"/>
      <c r="Z13" s="533"/>
      <c r="AA13" s="534"/>
      <c r="AB13" s="42"/>
      <c r="AC13" s="42"/>
      <c r="AD13" s="42"/>
      <c r="AE13" s="42"/>
      <c r="AF13" s="42"/>
      <c r="AG13" s="42"/>
      <c r="AH13" s="42"/>
    </row>
    <row r="14" spans="1:34" ht="64.5" customHeight="1">
      <c r="A14" s="311" t="s">
        <v>23</v>
      </c>
      <c r="B14" s="242" t="s">
        <v>24</v>
      </c>
      <c r="C14" s="242" t="s">
        <v>25</v>
      </c>
      <c r="D14" s="243" t="s">
        <v>26</v>
      </c>
      <c r="E14" s="243" t="s">
        <v>27</v>
      </c>
      <c r="F14" s="243" t="s">
        <v>28</v>
      </c>
      <c r="G14" s="243" t="s">
        <v>29</v>
      </c>
      <c r="H14" s="243" t="s">
        <v>30</v>
      </c>
      <c r="I14" s="243" t="s">
        <v>31</v>
      </c>
      <c r="J14" s="244" t="s">
        <v>32</v>
      </c>
      <c r="K14" s="244" t="s">
        <v>33</v>
      </c>
      <c r="L14" s="244" t="s">
        <v>34</v>
      </c>
      <c r="M14" s="244" t="s">
        <v>35</v>
      </c>
      <c r="N14" s="244" t="s">
        <v>36</v>
      </c>
      <c r="O14" s="244" t="s">
        <v>37</v>
      </c>
      <c r="P14" s="244" t="s">
        <v>38</v>
      </c>
      <c r="Q14" s="244" t="s">
        <v>39</v>
      </c>
      <c r="R14" s="244" t="s">
        <v>40</v>
      </c>
      <c r="S14" s="244" t="s">
        <v>41</v>
      </c>
      <c r="T14" s="244" t="s">
        <v>42</v>
      </c>
      <c r="U14" s="244" t="s">
        <v>43</v>
      </c>
      <c r="V14" s="244" t="s">
        <v>44</v>
      </c>
      <c r="W14" s="244" t="s">
        <v>45</v>
      </c>
      <c r="X14" s="244" t="s">
        <v>46</v>
      </c>
      <c r="Y14" s="244" t="s">
        <v>47</v>
      </c>
      <c r="Z14" s="244" t="s">
        <v>48</v>
      </c>
      <c r="AA14" s="244" t="s">
        <v>49</v>
      </c>
      <c r="AB14" s="42"/>
      <c r="AC14" s="40"/>
      <c r="AD14" s="40"/>
      <c r="AE14" s="40"/>
      <c r="AF14" s="40"/>
      <c r="AG14" s="40"/>
    </row>
    <row r="15" spans="1:34" s="54" customFormat="1" ht="15" customHeight="1">
      <c r="A15" s="312" t="s">
        <v>303</v>
      </c>
      <c r="B15" s="477">
        <f>SUMIF('4-Basis ruimtestaat'!B:B,'2-Kosten per locatie'!A15,'4-Basis ruimtestaat'!I:I)-SUMIFS('4-Basis ruimtestaat'!I:I,'4-Basis ruimtestaat'!B:B,'2-Kosten per locatie'!A15,'4-Basis ruimtestaat'!K:K,"nio")</f>
        <v>590.61599999999999</v>
      </c>
      <c r="C15" s="229">
        <v>1</v>
      </c>
      <c r="D15" s="230">
        <f>_xlfn.MAXIFS('4-Basis ruimtestaat'!K:K,'4-Basis ruimtestaat'!B:B,'2-Kosten per locatie'!A15)</f>
        <v>255</v>
      </c>
      <c r="E15" s="230">
        <f>_xlfn.MAXIFS('4-Basis ruimtestaat'!L:L,'4-Basis ruimtestaat'!B:B,'2-Kosten per locatie'!A15)</f>
        <v>0</v>
      </c>
      <c r="F15" s="230">
        <f>_xlfn.MAXIFS('4-Basis ruimtestaat'!M:M,'4-Basis ruimtestaat'!B:B,'2-Kosten per locatie'!A15)</f>
        <v>55</v>
      </c>
      <c r="G15" s="230">
        <f>_xlfn.MAXIFS('4-Basis ruimtestaat'!N:N,'4-Basis ruimtestaat'!B:B,'2-Kosten per locatie'!A15)</f>
        <v>0</v>
      </c>
      <c r="H15" s="230">
        <f>_xlfn.MAXIFS('4-Basis ruimtestaat'!O:O,'4-Basis ruimtestaat'!B:B,'2-Kosten per locatie'!A15)</f>
        <v>0</v>
      </c>
      <c r="I15" s="230">
        <f>_xlfn.MAXIFS('4-Basis ruimtestaat'!P:P,'4-Basis ruimtestaat'!B:B,'2-Kosten per locatie'!A15)</f>
        <v>0</v>
      </c>
      <c r="J15" s="479" t="e">
        <f>SUMIF('4-Basis ruimtestaat'!B:B,'2-Kosten per locatie'!A15,'4-Basis ruimtestaat'!Q:Q)</f>
        <v>#DIV/0!</v>
      </c>
      <c r="K15" s="479">
        <f>SUMIF('4-Basis ruimtestaat'!B:B,'2-Kosten per locatie'!A15,'4-Basis ruimtestaat'!R:R)</f>
        <v>0</v>
      </c>
      <c r="L15" s="479" t="e">
        <f>SUMIF('4-Basis ruimtestaat'!B:B,'2-Kosten per locatie'!A15,'4-Basis ruimtestaat'!S:S)</f>
        <v>#DIV/0!</v>
      </c>
      <c r="M15" s="479">
        <f>SUMIF('4-Basis ruimtestaat'!B:B,'2-Kosten per locatie'!A15,'4-Basis ruimtestaat'!T:T)</f>
        <v>0</v>
      </c>
      <c r="N15" s="479">
        <f>SUMIF('4-Basis ruimtestaat'!B:B,'2-Kosten per locatie'!A15,'4-Basis ruimtestaat'!U:U)</f>
        <v>0</v>
      </c>
      <c r="O15" s="479">
        <f>SUMIF('4-Basis ruimtestaat'!B:B,'2-Kosten per locatie'!A15,'4-Basis ruimtestaat'!V:V)</f>
        <v>0</v>
      </c>
      <c r="P15" s="479" t="e">
        <f>IF(J15&lt;(D15*$E$2),D15*$E$2-J15,0)</f>
        <v>#DIV/0!</v>
      </c>
      <c r="Q15" s="479">
        <f>IF(K15&lt;(E15*$E$2),E15*$E$2-K15,0)</f>
        <v>0</v>
      </c>
      <c r="R15" s="479" t="e">
        <f t="shared" ref="R15:U15" si="0">IF(L15&lt;(F15*$E$2),F15*$E$2-L15,0)</f>
        <v>#DIV/0!</v>
      </c>
      <c r="S15" s="479">
        <f t="shared" si="0"/>
        <v>0</v>
      </c>
      <c r="T15" s="479">
        <f t="shared" si="0"/>
        <v>0</v>
      </c>
      <c r="U15" s="479">
        <f t="shared" si="0"/>
        <v>0</v>
      </c>
      <c r="V15" s="479" t="e">
        <f t="shared" ref="V15:V17" si="1">J15*$E$5</f>
        <v>#DIV/0!</v>
      </c>
      <c r="W15" s="479">
        <f t="shared" ref="W15:W17" si="2">K15*$E$5</f>
        <v>0</v>
      </c>
      <c r="X15" s="479" t="e">
        <f t="shared" ref="X15:X17" si="3">L15*$E$5</f>
        <v>#DIV/0!</v>
      </c>
      <c r="Y15" s="479">
        <f>M15*$E$5</f>
        <v>0</v>
      </c>
      <c r="Z15" s="479">
        <f t="shared" ref="Z15:AA17" si="4">N15*$E$5</f>
        <v>0</v>
      </c>
      <c r="AA15" s="479">
        <f t="shared" si="4"/>
        <v>0</v>
      </c>
      <c r="AB15" s="42"/>
    </row>
    <row r="16" spans="1:34" ht="15" customHeight="1">
      <c r="A16" s="312" t="s">
        <v>300</v>
      </c>
      <c r="B16" s="477">
        <f>SUMIF('4-Basis ruimtestaat'!B:B,'2-Kosten per locatie'!A16,'4-Basis ruimtestaat'!I:I)-SUMIFS('4-Basis ruimtestaat'!I:I,'4-Basis ruimtestaat'!B:B,'2-Kosten per locatie'!A16,'4-Basis ruimtestaat'!K:K,"nio")</f>
        <v>1675</v>
      </c>
      <c r="C16" s="229">
        <v>1</v>
      </c>
      <c r="D16" s="230">
        <f>_xlfn.MAXIFS('4-Basis ruimtestaat'!K:K,'4-Basis ruimtestaat'!B:B,'2-Kosten per locatie'!A16)</f>
        <v>255</v>
      </c>
      <c r="E16" s="230">
        <f>_xlfn.MAXIFS('4-Basis ruimtestaat'!L:L,'4-Basis ruimtestaat'!B:B,'2-Kosten per locatie'!A16)</f>
        <v>255</v>
      </c>
      <c r="F16" s="230">
        <f>_xlfn.MAXIFS('4-Basis ruimtestaat'!M:M,'4-Basis ruimtestaat'!B:B,'2-Kosten per locatie'!A16)</f>
        <v>102</v>
      </c>
      <c r="G16" s="230">
        <f>_xlfn.MAXIFS('4-Basis ruimtestaat'!N:N,'4-Basis ruimtestaat'!B:B,'2-Kosten per locatie'!A16)</f>
        <v>102</v>
      </c>
      <c r="H16" s="230">
        <f>_xlfn.MAXIFS('4-Basis ruimtestaat'!O:O,'4-Basis ruimtestaat'!B:B,'2-Kosten per locatie'!A16)</f>
        <v>3</v>
      </c>
      <c r="I16" s="230">
        <f>_xlfn.MAXIFS('4-Basis ruimtestaat'!P:P,'4-Basis ruimtestaat'!B:B,'2-Kosten per locatie'!A16)</f>
        <v>0</v>
      </c>
      <c r="J16" s="479" t="e">
        <f>SUMIF('4-Basis ruimtestaat'!B:B,'2-Kosten per locatie'!A16,'4-Basis ruimtestaat'!Q:Q)</f>
        <v>#DIV/0!</v>
      </c>
      <c r="K16" s="479" t="e">
        <f>SUMIF('4-Basis ruimtestaat'!B:B,'2-Kosten per locatie'!A16,'4-Basis ruimtestaat'!R:R)</f>
        <v>#DIV/0!</v>
      </c>
      <c r="L16" s="479" t="e">
        <f>SUMIF('4-Basis ruimtestaat'!B:B,'2-Kosten per locatie'!A16,'4-Basis ruimtestaat'!S:S)</f>
        <v>#DIV/0!</v>
      </c>
      <c r="M16" s="479" t="e">
        <f>SUMIF('4-Basis ruimtestaat'!B:B,'2-Kosten per locatie'!A16,'4-Basis ruimtestaat'!T:T)</f>
        <v>#DIV/0!</v>
      </c>
      <c r="N16" s="479" t="e">
        <f>SUMIF('4-Basis ruimtestaat'!B:B,'2-Kosten per locatie'!A16,'4-Basis ruimtestaat'!U:U)</f>
        <v>#DIV/0!</v>
      </c>
      <c r="O16" s="479">
        <f>SUMIF('4-Basis ruimtestaat'!B:B,'2-Kosten per locatie'!A16,'4-Basis ruimtestaat'!V:V)</f>
        <v>0</v>
      </c>
      <c r="P16" s="479" t="e">
        <f t="shared" ref="P16:P17" si="5">IF(J16&lt;(D16*$E$2),D16*$E$2-J16,0)</f>
        <v>#DIV/0!</v>
      </c>
      <c r="Q16" s="479" t="e">
        <f t="shared" ref="Q16:Q17" si="6">IF(K16&lt;(E16*$E$2),E16*$E$2-K16,0)</f>
        <v>#DIV/0!</v>
      </c>
      <c r="R16" s="479" t="e">
        <f t="shared" ref="R16:R17" si="7">IF(L16&lt;(F16*$E$2),F16*$E$2-L16,0)</f>
        <v>#DIV/0!</v>
      </c>
      <c r="S16" s="479" t="e">
        <f t="shared" ref="S16:S17" si="8">IF(M16&lt;(G16*$E$2),G16*$E$2-M16,0)</f>
        <v>#DIV/0!</v>
      </c>
      <c r="T16" s="479" t="e">
        <f t="shared" ref="T16:T17" si="9">IF(N16&lt;(H16*$E$2),H16*$E$2-N16,0)</f>
        <v>#DIV/0!</v>
      </c>
      <c r="U16" s="479">
        <f t="shared" ref="U16:U17" si="10">IF(O16&lt;(I16*$E$2),I16*$E$2-O16,0)</f>
        <v>0</v>
      </c>
      <c r="V16" s="479" t="e">
        <f t="shared" si="1"/>
        <v>#DIV/0!</v>
      </c>
      <c r="W16" s="479" t="e">
        <f t="shared" si="2"/>
        <v>#DIV/0!</v>
      </c>
      <c r="X16" s="479" t="e">
        <f t="shared" si="3"/>
        <v>#DIV/0!</v>
      </c>
      <c r="Y16" s="479" t="e">
        <f t="shared" ref="Y16:Y17" si="11">M16*$E$5</f>
        <v>#DIV/0!</v>
      </c>
      <c r="Z16" s="479" t="e">
        <f t="shared" si="4"/>
        <v>#DIV/0!</v>
      </c>
      <c r="AA16" s="479">
        <f t="shared" si="4"/>
        <v>0</v>
      </c>
      <c r="AB16" s="42"/>
      <c r="AC16" s="40"/>
      <c r="AD16" s="40"/>
      <c r="AE16" s="40"/>
      <c r="AF16" s="40"/>
      <c r="AG16" s="40"/>
    </row>
    <row r="17" spans="1:33" ht="15" customHeight="1">
      <c r="A17" s="312" t="s">
        <v>282</v>
      </c>
      <c r="B17" s="477">
        <f>SUMIF('4-Basis ruimtestaat'!B:B,'2-Kosten per locatie'!A17,'4-Basis ruimtestaat'!I:I)-SUMIFS('4-Basis ruimtestaat'!I:I,'4-Basis ruimtestaat'!B:B,'2-Kosten per locatie'!A17,'4-Basis ruimtestaat'!K:K,"nio")</f>
        <v>409.21999999999991</v>
      </c>
      <c r="C17" s="229">
        <v>1</v>
      </c>
      <c r="D17" s="230">
        <f>_xlfn.MAXIFS('4-Basis ruimtestaat'!K:K,'4-Basis ruimtestaat'!B:B,'2-Kosten per locatie'!A17)</f>
        <v>230</v>
      </c>
      <c r="E17" s="230">
        <f>_xlfn.MAXIFS('4-Basis ruimtestaat'!L:L,'4-Basis ruimtestaat'!B:B,'2-Kosten per locatie'!A17)</f>
        <v>0</v>
      </c>
      <c r="F17" s="230">
        <f>_xlfn.MAXIFS('4-Basis ruimtestaat'!M:M,'4-Basis ruimtestaat'!B:B,'2-Kosten per locatie'!A17)</f>
        <v>0</v>
      </c>
      <c r="G17" s="230">
        <f>_xlfn.MAXIFS('4-Basis ruimtestaat'!N:N,'4-Basis ruimtestaat'!B:B,'2-Kosten per locatie'!A17)</f>
        <v>0</v>
      </c>
      <c r="H17" s="230">
        <f>_xlfn.MAXIFS('4-Basis ruimtestaat'!O:O,'4-Basis ruimtestaat'!B:B,'2-Kosten per locatie'!A17)</f>
        <v>0</v>
      </c>
      <c r="I17" s="230">
        <f>_xlfn.MAXIFS('4-Basis ruimtestaat'!P:P,'4-Basis ruimtestaat'!B:B,'2-Kosten per locatie'!A17)</f>
        <v>0</v>
      </c>
      <c r="J17" s="479" t="e">
        <f>SUMIF('4-Basis ruimtestaat'!B:B,'2-Kosten per locatie'!A17,'4-Basis ruimtestaat'!Q:Q)</f>
        <v>#DIV/0!</v>
      </c>
      <c r="K17" s="479">
        <f>SUMIF('4-Basis ruimtestaat'!B:B,'2-Kosten per locatie'!A17,'4-Basis ruimtestaat'!R:R)</f>
        <v>0</v>
      </c>
      <c r="L17" s="479">
        <f>SUMIF('4-Basis ruimtestaat'!B:B,'2-Kosten per locatie'!A17,'4-Basis ruimtestaat'!S:S)</f>
        <v>0</v>
      </c>
      <c r="M17" s="479">
        <f>SUMIF('4-Basis ruimtestaat'!B:B,'2-Kosten per locatie'!A17,'4-Basis ruimtestaat'!T:T)</f>
        <v>0</v>
      </c>
      <c r="N17" s="479">
        <f>SUMIF('4-Basis ruimtestaat'!B:B,'2-Kosten per locatie'!A17,'4-Basis ruimtestaat'!U:U)</f>
        <v>0</v>
      </c>
      <c r="O17" s="479">
        <f>SUMIF('4-Basis ruimtestaat'!B:B,'2-Kosten per locatie'!A17,'4-Basis ruimtestaat'!V:V)</f>
        <v>0</v>
      </c>
      <c r="P17" s="479" t="e">
        <f t="shared" si="5"/>
        <v>#DIV/0!</v>
      </c>
      <c r="Q17" s="479">
        <f t="shared" si="6"/>
        <v>0</v>
      </c>
      <c r="R17" s="479">
        <f t="shared" si="7"/>
        <v>0</v>
      </c>
      <c r="S17" s="479">
        <f t="shared" si="8"/>
        <v>0</v>
      </c>
      <c r="T17" s="479">
        <f t="shared" si="9"/>
        <v>0</v>
      </c>
      <c r="U17" s="479">
        <f t="shared" si="10"/>
        <v>0</v>
      </c>
      <c r="V17" s="479" t="e">
        <f t="shared" si="1"/>
        <v>#DIV/0!</v>
      </c>
      <c r="W17" s="479">
        <f t="shared" si="2"/>
        <v>0</v>
      </c>
      <c r="X17" s="479">
        <f t="shared" si="3"/>
        <v>0</v>
      </c>
      <c r="Y17" s="479">
        <f t="shared" si="11"/>
        <v>0</v>
      </c>
      <c r="Z17" s="479">
        <f t="shared" si="4"/>
        <v>0</v>
      </c>
      <c r="AA17" s="479">
        <f t="shared" si="4"/>
        <v>0</v>
      </c>
      <c r="AB17" s="42"/>
      <c r="AC17" s="40"/>
      <c r="AD17" s="40"/>
      <c r="AE17" s="40"/>
      <c r="AF17" s="40"/>
      <c r="AG17" s="40"/>
    </row>
    <row r="18" spans="1:33" ht="15" customHeight="1">
      <c r="A18" s="313" t="s">
        <v>290</v>
      </c>
      <c r="B18" s="477">
        <f>SUMIF('4-Basis ruimtestaat'!B:B,'2-Kosten per locatie'!A18,'4-Basis ruimtestaat'!I:I)-SUMIFS('4-Basis ruimtestaat'!I:I,'4-Basis ruimtestaat'!B:B,'2-Kosten per locatie'!A18,'4-Basis ruimtestaat'!K:K,"nio")</f>
        <v>309.7</v>
      </c>
      <c r="C18" s="229">
        <v>1</v>
      </c>
      <c r="D18" s="230">
        <f>_xlfn.MAXIFS('4-Basis ruimtestaat'!K:K,'4-Basis ruimtestaat'!B:B,'2-Kosten per locatie'!A18)</f>
        <v>230</v>
      </c>
      <c r="E18" s="230">
        <f>_xlfn.MAXIFS('4-Basis ruimtestaat'!L:L,'4-Basis ruimtestaat'!B:B,'2-Kosten per locatie'!A18)</f>
        <v>0</v>
      </c>
      <c r="F18" s="230">
        <f>_xlfn.MAXIFS('4-Basis ruimtestaat'!M:M,'4-Basis ruimtestaat'!B:B,'2-Kosten per locatie'!A18)</f>
        <v>0</v>
      </c>
      <c r="G18" s="230">
        <f>_xlfn.MAXIFS('4-Basis ruimtestaat'!N:N,'4-Basis ruimtestaat'!B:B,'2-Kosten per locatie'!A18)</f>
        <v>0</v>
      </c>
      <c r="H18" s="230">
        <f>_xlfn.MAXIFS('4-Basis ruimtestaat'!O:O,'4-Basis ruimtestaat'!B:B,'2-Kosten per locatie'!A18)</f>
        <v>0</v>
      </c>
      <c r="I18" s="230">
        <f>_xlfn.MAXIFS('4-Basis ruimtestaat'!P:P,'4-Basis ruimtestaat'!B:B,'2-Kosten per locatie'!A18)</f>
        <v>0</v>
      </c>
      <c r="J18" s="479" t="e">
        <f>SUMIF('4-Basis ruimtestaat'!B:B,'2-Kosten per locatie'!A18,'4-Basis ruimtestaat'!Q:Q)</f>
        <v>#DIV/0!</v>
      </c>
      <c r="K18" s="479">
        <f>SUMIF('4-Basis ruimtestaat'!B:B,'2-Kosten per locatie'!A18,'4-Basis ruimtestaat'!R:R)</f>
        <v>0</v>
      </c>
      <c r="L18" s="479">
        <f>SUMIF('4-Basis ruimtestaat'!B:B,'2-Kosten per locatie'!A18,'4-Basis ruimtestaat'!S:S)</f>
        <v>0</v>
      </c>
      <c r="M18" s="479">
        <f>SUMIF('4-Basis ruimtestaat'!B:B,'2-Kosten per locatie'!A18,'4-Basis ruimtestaat'!T:T)</f>
        <v>0</v>
      </c>
      <c r="N18" s="479">
        <f>SUMIF('4-Basis ruimtestaat'!B:B,'2-Kosten per locatie'!A18,'4-Basis ruimtestaat'!U:U)</f>
        <v>0</v>
      </c>
      <c r="O18" s="479">
        <f>SUMIF('4-Basis ruimtestaat'!B:B,'2-Kosten per locatie'!A18,'4-Basis ruimtestaat'!V:V)</f>
        <v>0</v>
      </c>
      <c r="P18" s="479" t="e">
        <f t="shared" ref="P18:P28" si="12">IF(J18&lt;(D18*$E$2),D18*$E$2-J18,0)</f>
        <v>#DIV/0!</v>
      </c>
      <c r="Q18" s="479">
        <f t="shared" ref="Q18:Q28" si="13">IF(K18&lt;(E18*$E$2),E18*$E$2-K18,0)</f>
        <v>0</v>
      </c>
      <c r="R18" s="479">
        <f t="shared" ref="R18:R28" si="14">IF(L18&lt;(F18*$E$2),F18*$E$2-L18,0)</f>
        <v>0</v>
      </c>
      <c r="S18" s="479">
        <f t="shared" ref="S18:S28" si="15">IF(M18&lt;(G18*$E$2),G18*$E$2-M18,0)</f>
        <v>0</v>
      </c>
      <c r="T18" s="479">
        <f t="shared" ref="T18:T28" si="16">IF(N18&lt;(H18*$E$2),H18*$E$2-N18,0)</f>
        <v>0</v>
      </c>
      <c r="U18" s="479">
        <f t="shared" ref="U18:U28" si="17">IF(O18&lt;(I18*$E$2),I18*$E$2-O18,0)</f>
        <v>0</v>
      </c>
      <c r="V18" s="479" t="e">
        <f t="shared" ref="V18:V28" si="18">J18*$E$5</f>
        <v>#DIV/0!</v>
      </c>
      <c r="W18" s="479">
        <f t="shared" ref="W18:W28" si="19">K18*$E$5</f>
        <v>0</v>
      </c>
      <c r="X18" s="479">
        <f t="shared" ref="X18:X28" si="20">L18*$E$5</f>
        <v>0</v>
      </c>
      <c r="Y18" s="479">
        <f t="shared" ref="Y18:Y28" si="21">M18*$E$5</f>
        <v>0</v>
      </c>
      <c r="Z18" s="479">
        <f t="shared" ref="Z18:Z28" si="22">N18*$E$5</f>
        <v>0</v>
      </c>
      <c r="AA18" s="479">
        <f t="shared" ref="AA18:AA28" si="23">O18*$E$5</f>
        <v>0</v>
      </c>
      <c r="AB18" s="42"/>
      <c r="AC18" s="40"/>
      <c r="AD18" s="40"/>
      <c r="AE18" s="40"/>
      <c r="AF18" s="40"/>
      <c r="AG18" s="40"/>
    </row>
    <row r="19" spans="1:33" ht="15" customHeight="1">
      <c r="A19" s="313" t="s">
        <v>280</v>
      </c>
      <c r="B19" s="477">
        <f>SUMIF('4-Basis ruimtestaat'!B:B,'2-Kosten per locatie'!A19,'4-Basis ruimtestaat'!I:I)-SUMIFS('4-Basis ruimtestaat'!I:I,'4-Basis ruimtestaat'!B:B,'2-Kosten per locatie'!A19,'4-Basis ruimtestaat'!K:K,"nio")</f>
        <v>481.30000000000007</v>
      </c>
      <c r="C19" s="229">
        <v>1</v>
      </c>
      <c r="D19" s="230">
        <f>_xlfn.MAXIFS('4-Basis ruimtestaat'!K:K,'4-Basis ruimtestaat'!B:B,'2-Kosten per locatie'!A19)</f>
        <v>230</v>
      </c>
      <c r="E19" s="230">
        <f>_xlfn.MAXIFS('4-Basis ruimtestaat'!L:L,'4-Basis ruimtestaat'!B:B,'2-Kosten per locatie'!A19)</f>
        <v>0</v>
      </c>
      <c r="F19" s="230">
        <f>_xlfn.MAXIFS('4-Basis ruimtestaat'!M:M,'4-Basis ruimtestaat'!B:B,'2-Kosten per locatie'!A19)</f>
        <v>0</v>
      </c>
      <c r="G19" s="230">
        <f>_xlfn.MAXIFS('4-Basis ruimtestaat'!N:N,'4-Basis ruimtestaat'!B:B,'2-Kosten per locatie'!A19)</f>
        <v>0</v>
      </c>
      <c r="H19" s="230">
        <f>_xlfn.MAXIFS('4-Basis ruimtestaat'!O:O,'4-Basis ruimtestaat'!B:B,'2-Kosten per locatie'!A19)</f>
        <v>0</v>
      </c>
      <c r="I19" s="230">
        <f>_xlfn.MAXIFS('4-Basis ruimtestaat'!P:P,'4-Basis ruimtestaat'!B:B,'2-Kosten per locatie'!A19)</f>
        <v>0</v>
      </c>
      <c r="J19" s="479" t="e">
        <f>SUMIF('4-Basis ruimtestaat'!B:B,'2-Kosten per locatie'!A19,'4-Basis ruimtestaat'!Q:Q)</f>
        <v>#DIV/0!</v>
      </c>
      <c r="K19" s="479">
        <f>SUMIF('4-Basis ruimtestaat'!B:B,'2-Kosten per locatie'!A19,'4-Basis ruimtestaat'!R:R)</f>
        <v>0</v>
      </c>
      <c r="L19" s="479">
        <f>SUMIF('4-Basis ruimtestaat'!B:B,'2-Kosten per locatie'!A19,'4-Basis ruimtestaat'!S:S)</f>
        <v>0</v>
      </c>
      <c r="M19" s="479">
        <f>SUMIF('4-Basis ruimtestaat'!B:B,'2-Kosten per locatie'!A19,'4-Basis ruimtestaat'!T:T)</f>
        <v>0</v>
      </c>
      <c r="N19" s="479">
        <f>SUMIF('4-Basis ruimtestaat'!B:B,'2-Kosten per locatie'!A19,'4-Basis ruimtestaat'!U:U)</f>
        <v>0</v>
      </c>
      <c r="O19" s="479">
        <f>SUMIF('4-Basis ruimtestaat'!B:B,'2-Kosten per locatie'!A19,'4-Basis ruimtestaat'!V:V)</f>
        <v>0</v>
      </c>
      <c r="P19" s="479" t="e">
        <f t="shared" si="12"/>
        <v>#DIV/0!</v>
      </c>
      <c r="Q19" s="479">
        <f t="shared" si="13"/>
        <v>0</v>
      </c>
      <c r="R19" s="479">
        <f t="shared" si="14"/>
        <v>0</v>
      </c>
      <c r="S19" s="479">
        <f t="shared" si="15"/>
        <v>0</v>
      </c>
      <c r="T19" s="479">
        <f t="shared" si="16"/>
        <v>0</v>
      </c>
      <c r="U19" s="479">
        <f t="shared" si="17"/>
        <v>0</v>
      </c>
      <c r="V19" s="479" t="e">
        <f t="shared" si="18"/>
        <v>#DIV/0!</v>
      </c>
      <c r="W19" s="479">
        <f t="shared" si="19"/>
        <v>0</v>
      </c>
      <c r="X19" s="479">
        <f t="shared" si="20"/>
        <v>0</v>
      </c>
      <c r="Y19" s="479">
        <f t="shared" si="21"/>
        <v>0</v>
      </c>
      <c r="Z19" s="479">
        <f t="shared" si="22"/>
        <v>0</v>
      </c>
      <c r="AA19" s="479">
        <f t="shared" si="23"/>
        <v>0</v>
      </c>
      <c r="AB19" s="42"/>
      <c r="AC19" s="40"/>
      <c r="AD19" s="40"/>
      <c r="AE19" s="40"/>
      <c r="AF19" s="40"/>
      <c r="AG19" s="40"/>
    </row>
    <row r="20" spans="1:33" ht="15" customHeight="1">
      <c r="A20" s="313" t="s">
        <v>292</v>
      </c>
      <c r="B20" s="477">
        <f>SUMIF('4-Basis ruimtestaat'!B:B,'2-Kosten per locatie'!A20,'4-Basis ruimtestaat'!I:I)-SUMIFS('4-Basis ruimtestaat'!I:I,'4-Basis ruimtestaat'!B:B,'2-Kosten per locatie'!A20,'4-Basis ruimtestaat'!K:K,"nio")</f>
        <v>2139.1686000000009</v>
      </c>
      <c r="C20" s="229">
        <v>1</v>
      </c>
      <c r="D20" s="230">
        <f>_xlfn.MAXIFS('4-Basis ruimtestaat'!K:K,'4-Basis ruimtestaat'!B:B,'2-Kosten per locatie'!A20)</f>
        <v>255</v>
      </c>
      <c r="E20" s="230">
        <f>_xlfn.MAXIFS('4-Basis ruimtestaat'!L:L,'4-Basis ruimtestaat'!B:B,'2-Kosten per locatie'!A20)</f>
        <v>0</v>
      </c>
      <c r="F20" s="230">
        <f>_xlfn.MAXIFS('4-Basis ruimtestaat'!M:M,'4-Basis ruimtestaat'!B:B,'2-Kosten per locatie'!A20)</f>
        <v>102</v>
      </c>
      <c r="G20" s="230">
        <f>_xlfn.MAXIFS('4-Basis ruimtestaat'!N:N,'4-Basis ruimtestaat'!B:B,'2-Kosten per locatie'!A20)</f>
        <v>0</v>
      </c>
      <c r="H20" s="230">
        <f>_xlfn.MAXIFS('4-Basis ruimtestaat'!O:O,'4-Basis ruimtestaat'!B:B,'2-Kosten per locatie'!A20)</f>
        <v>0</v>
      </c>
      <c r="I20" s="230">
        <f>_xlfn.MAXIFS('4-Basis ruimtestaat'!P:P,'4-Basis ruimtestaat'!B:B,'2-Kosten per locatie'!A20)</f>
        <v>0</v>
      </c>
      <c r="J20" s="479" t="e">
        <f>SUMIF('4-Basis ruimtestaat'!B:B,'2-Kosten per locatie'!A20,'4-Basis ruimtestaat'!Q:Q)</f>
        <v>#DIV/0!</v>
      </c>
      <c r="K20" s="479">
        <f>SUMIF('4-Basis ruimtestaat'!B:B,'2-Kosten per locatie'!A20,'4-Basis ruimtestaat'!R:R)</f>
        <v>0</v>
      </c>
      <c r="L20" s="479" t="e">
        <f>SUMIF('4-Basis ruimtestaat'!B:B,'2-Kosten per locatie'!A20,'4-Basis ruimtestaat'!S:S)</f>
        <v>#DIV/0!</v>
      </c>
      <c r="M20" s="479">
        <f>SUMIF('4-Basis ruimtestaat'!B:B,'2-Kosten per locatie'!A20,'4-Basis ruimtestaat'!T:T)</f>
        <v>0</v>
      </c>
      <c r="N20" s="479">
        <f>SUMIF('4-Basis ruimtestaat'!B:B,'2-Kosten per locatie'!A20,'4-Basis ruimtestaat'!U:U)</f>
        <v>0</v>
      </c>
      <c r="O20" s="479">
        <f>SUMIF('4-Basis ruimtestaat'!B:B,'2-Kosten per locatie'!A20,'4-Basis ruimtestaat'!V:V)</f>
        <v>0</v>
      </c>
      <c r="P20" s="479" t="e">
        <f t="shared" si="12"/>
        <v>#DIV/0!</v>
      </c>
      <c r="Q20" s="479">
        <f t="shared" si="13"/>
        <v>0</v>
      </c>
      <c r="R20" s="479" t="e">
        <f t="shared" si="14"/>
        <v>#DIV/0!</v>
      </c>
      <c r="S20" s="479">
        <f t="shared" si="15"/>
        <v>0</v>
      </c>
      <c r="T20" s="479">
        <f t="shared" si="16"/>
        <v>0</v>
      </c>
      <c r="U20" s="479">
        <f t="shared" si="17"/>
        <v>0</v>
      </c>
      <c r="V20" s="479" t="e">
        <f t="shared" si="18"/>
        <v>#DIV/0!</v>
      </c>
      <c r="W20" s="479">
        <f t="shared" si="19"/>
        <v>0</v>
      </c>
      <c r="X20" s="479" t="e">
        <f t="shared" si="20"/>
        <v>#DIV/0!</v>
      </c>
      <c r="Y20" s="479">
        <f t="shared" si="21"/>
        <v>0</v>
      </c>
      <c r="Z20" s="479">
        <f t="shared" si="22"/>
        <v>0</v>
      </c>
      <c r="AA20" s="479">
        <f t="shared" si="23"/>
        <v>0</v>
      </c>
      <c r="AB20" s="42"/>
      <c r="AC20" s="40"/>
      <c r="AD20" s="40"/>
      <c r="AE20" s="40"/>
      <c r="AF20" s="40"/>
      <c r="AG20" s="40"/>
    </row>
    <row r="21" spans="1:33" ht="15" customHeight="1">
      <c r="A21" s="313" t="s">
        <v>286</v>
      </c>
      <c r="B21" s="477">
        <f>SUMIF('4-Basis ruimtestaat'!B:B,'2-Kosten per locatie'!A21,'4-Basis ruimtestaat'!I:I)-SUMIFS('4-Basis ruimtestaat'!I:I,'4-Basis ruimtestaat'!B:B,'2-Kosten per locatie'!A21,'4-Basis ruimtestaat'!K:K,"nio")</f>
        <v>422.69999999999993</v>
      </c>
      <c r="C21" s="229">
        <v>1</v>
      </c>
      <c r="D21" s="230">
        <f>_xlfn.MAXIFS('4-Basis ruimtestaat'!K:K,'4-Basis ruimtestaat'!B:B,'2-Kosten per locatie'!A21)</f>
        <v>230</v>
      </c>
      <c r="E21" s="230">
        <f>_xlfn.MAXIFS('4-Basis ruimtestaat'!L:L,'4-Basis ruimtestaat'!B:B,'2-Kosten per locatie'!A21)</f>
        <v>0</v>
      </c>
      <c r="F21" s="230">
        <f>_xlfn.MAXIFS('4-Basis ruimtestaat'!M:M,'4-Basis ruimtestaat'!B:B,'2-Kosten per locatie'!A21)</f>
        <v>0</v>
      </c>
      <c r="G21" s="230">
        <f>_xlfn.MAXIFS('4-Basis ruimtestaat'!N:N,'4-Basis ruimtestaat'!B:B,'2-Kosten per locatie'!A21)</f>
        <v>0</v>
      </c>
      <c r="H21" s="230">
        <f>_xlfn.MAXIFS('4-Basis ruimtestaat'!O:O,'4-Basis ruimtestaat'!B:B,'2-Kosten per locatie'!A21)</f>
        <v>0</v>
      </c>
      <c r="I21" s="230">
        <f>_xlfn.MAXIFS('4-Basis ruimtestaat'!P:P,'4-Basis ruimtestaat'!B:B,'2-Kosten per locatie'!A21)</f>
        <v>0</v>
      </c>
      <c r="J21" s="479" t="e">
        <f>SUMIF('4-Basis ruimtestaat'!B:B,'2-Kosten per locatie'!A21,'4-Basis ruimtestaat'!Q:Q)</f>
        <v>#DIV/0!</v>
      </c>
      <c r="K21" s="479">
        <f>SUMIF('4-Basis ruimtestaat'!B:B,'2-Kosten per locatie'!A21,'4-Basis ruimtestaat'!R:R)</f>
        <v>0</v>
      </c>
      <c r="L21" s="479">
        <f>SUMIF('4-Basis ruimtestaat'!B:B,'2-Kosten per locatie'!A21,'4-Basis ruimtestaat'!S:S)</f>
        <v>0</v>
      </c>
      <c r="M21" s="479">
        <f>SUMIF('4-Basis ruimtestaat'!B:B,'2-Kosten per locatie'!A21,'4-Basis ruimtestaat'!T:T)</f>
        <v>0</v>
      </c>
      <c r="N21" s="479">
        <f>SUMIF('4-Basis ruimtestaat'!B:B,'2-Kosten per locatie'!A21,'4-Basis ruimtestaat'!U:U)</f>
        <v>0</v>
      </c>
      <c r="O21" s="479">
        <f>SUMIF('4-Basis ruimtestaat'!B:B,'2-Kosten per locatie'!A21,'4-Basis ruimtestaat'!V:V)</f>
        <v>0</v>
      </c>
      <c r="P21" s="479" t="e">
        <f t="shared" si="12"/>
        <v>#DIV/0!</v>
      </c>
      <c r="Q21" s="479">
        <f t="shared" si="13"/>
        <v>0</v>
      </c>
      <c r="R21" s="479">
        <f t="shared" si="14"/>
        <v>0</v>
      </c>
      <c r="S21" s="479">
        <f t="shared" si="15"/>
        <v>0</v>
      </c>
      <c r="T21" s="479">
        <f t="shared" si="16"/>
        <v>0</v>
      </c>
      <c r="U21" s="479">
        <f t="shared" si="17"/>
        <v>0</v>
      </c>
      <c r="V21" s="479" t="e">
        <f t="shared" si="18"/>
        <v>#DIV/0!</v>
      </c>
      <c r="W21" s="479">
        <f t="shared" si="19"/>
        <v>0</v>
      </c>
      <c r="X21" s="479">
        <f t="shared" si="20"/>
        <v>0</v>
      </c>
      <c r="Y21" s="479">
        <f t="shared" si="21"/>
        <v>0</v>
      </c>
      <c r="Z21" s="479">
        <f t="shared" si="22"/>
        <v>0</v>
      </c>
      <c r="AA21" s="479">
        <f t="shared" si="23"/>
        <v>0</v>
      </c>
      <c r="AB21" s="42"/>
      <c r="AC21" s="40"/>
      <c r="AD21" s="40"/>
      <c r="AE21" s="40"/>
      <c r="AF21" s="40"/>
      <c r="AG21" s="40"/>
    </row>
    <row r="22" spans="1:33" ht="15" customHeight="1">
      <c r="A22" s="313" t="s">
        <v>298</v>
      </c>
      <c r="B22" s="477">
        <f>SUMIF('4-Basis ruimtestaat'!B:B,'2-Kosten per locatie'!A22,'4-Basis ruimtestaat'!I:I)-SUMIFS('4-Basis ruimtestaat'!I:I,'4-Basis ruimtestaat'!B:B,'2-Kosten per locatie'!A22,'4-Basis ruimtestaat'!K:K,"nio")</f>
        <v>382.71</v>
      </c>
      <c r="C22" s="229">
        <v>1</v>
      </c>
      <c r="D22" s="230">
        <f>_xlfn.MAXIFS('4-Basis ruimtestaat'!K:K,'4-Basis ruimtestaat'!B:B,'2-Kosten per locatie'!A22)</f>
        <v>230</v>
      </c>
      <c r="E22" s="230">
        <f>_xlfn.MAXIFS('4-Basis ruimtestaat'!L:L,'4-Basis ruimtestaat'!B:B,'2-Kosten per locatie'!A22)</f>
        <v>0</v>
      </c>
      <c r="F22" s="230">
        <f>_xlfn.MAXIFS('4-Basis ruimtestaat'!M:M,'4-Basis ruimtestaat'!B:B,'2-Kosten per locatie'!A22)</f>
        <v>0</v>
      </c>
      <c r="G22" s="230">
        <f>_xlfn.MAXIFS('4-Basis ruimtestaat'!N:N,'4-Basis ruimtestaat'!B:B,'2-Kosten per locatie'!A22)</f>
        <v>0</v>
      </c>
      <c r="H22" s="230">
        <f>_xlfn.MAXIFS('4-Basis ruimtestaat'!O:O,'4-Basis ruimtestaat'!B:B,'2-Kosten per locatie'!A22)</f>
        <v>0</v>
      </c>
      <c r="I22" s="230">
        <f>_xlfn.MAXIFS('4-Basis ruimtestaat'!P:P,'4-Basis ruimtestaat'!B:B,'2-Kosten per locatie'!A22)</f>
        <v>0</v>
      </c>
      <c r="J22" s="479" t="e">
        <f>SUMIF('4-Basis ruimtestaat'!B:B,'2-Kosten per locatie'!A22,'4-Basis ruimtestaat'!Q:Q)</f>
        <v>#DIV/0!</v>
      </c>
      <c r="K22" s="479">
        <f>SUMIF('4-Basis ruimtestaat'!B:B,'2-Kosten per locatie'!A22,'4-Basis ruimtestaat'!R:R)</f>
        <v>0</v>
      </c>
      <c r="L22" s="479">
        <f>SUMIF('4-Basis ruimtestaat'!B:B,'2-Kosten per locatie'!A22,'4-Basis ruimtestaat'!S:S)</f>
        <v>0</v>
      </c>
      <c r="M22" s="479">
        <f>SUMIF('4-Basis ruimtestaat'!B:B,'2-Kosten per locatie'!A22,'4-Basis ruimtestaat'!T:T)</f>
        <v>0</v>
      </c>
      <c r="N22" s="479">
        <f>SUMIF('4-Basis ruimtestaat'!B:B,'2-Kosten per locatie'!A22,'4-Basis ruimtestaat'!U:U)</f>
        <v>0</v>
      </c>
      <c r="O22" s="479">
        <f>SUMIF('4-Basis ruimtestaat'!B:B,'2-Kosten per locatie'!A22,'4-Basis ruimtestaat'!V:V)</f>
        <v>0</v>
      </c>
      <c r="P22" s="479" t="e">
        <f t="shared" si="12"/>
        <v>#DIV/0!</v>
      </c>
      <c r="Q22" s="479">
        <f t="shared" si="13"/>
        <v>0</v>
      </c>
      <c r="R22" s="479">
        <f t="shared" si="14"/>
        <v>0</v>
      </c>
      <c r="S22" s="479">
        <f t="shared" si="15"/>
        <v>0</v>
      </c>
      <c r="T22" s="479">
        <f t="shared" si="16"/>
        <v>0</v>
      </c>
      <c r="U22" s="479">
        <f t="shared" si="17"/>
        <v>0</v>
      </c>
      <c r="V22" s="479" t="e">
        <f t="shared" si="18"/>
        <v>#DIV/0!</v>
      </c>
      <c r="W22" s="479">
        <f t="shared" si="19"/>
        <v>0</v>
      </c>
      <c r="X22" s="479">
        <f t="shared" si="20"/>
        <v>0</v>
      </c>
      <c r="Y22" s="479">
        <f t="shared" si="21"/>
        <v>0</v>
      </c>
      <c r="Z22" s="479">
        <f t="shared" si="22"/>
        <v>0</v>
      </c>
      <c r="AA22" s="479">
        <f t="shared" si="23"/>
        <v>0</v>
      </c>
      <c r="AB22" s="42"/>
      <c r="AC22" s="40"/>
      <c r="AD22" s="40"/>
      <c r="AE22" s="40"/>
      <c r="AF22" s="40"/>
      <c r="AG22" s="40"/>
    </row>
    <row r="23" spans="1:33" ht="15" customHeight="1">
      <c r="A23" s="313" t="s">
        <v>284</v>
      </c>
      <c r="B23" s="477">
        <f>SUMIF('4-Basis ruimtestaat'!B:B,'2-Kosten per locatie'!A23,'4-Basis ruimtestaat'!I:I)-SUMIFS('4-Basis ruimtestaat'!I:I,'4-Basis ruimtestaat'!B:B,'2-Kosten per locatie'!A23,'4-Basis ruimtestaat'!K:K,"nio")</f>
        <v>449.63</v>
      </c>
      <c r="C23" s="229">
        <v>1</v>
      </c>
      <c r="D23" s="230">
        <f>_xlfn.MAXIFS('4-Basis ruimtestaat'!K:K,'4-Basis ruimtestaat'!B:B,'2-Kosten per locatie'!A23)</f>
        <v>230</v>
      </c>
      <c r="E23" s="230">
        <f>_xlfn.MAXIFS('4-Basis ruimtestaat'!L:L,'4-Basis ruimtestaat'!B:B,'2-Kosten per locatie'!A23)</f>
        <v>0</v>
      </c>
      <c r="F23" s="230">
        <f>_xlfn.MAXIFS('4-Basis ruimtestaat'!M:M,'4-Basis ruimtestaat'!B:B,'2-Kosten per locatie'!A23)</f>
        <v>0</v>
      </c>
      <c r="G23" s="230">
        <f>_xlfn.MAXIFS('4-Basis ruimtestaat'!N:N,'4-Basis ruimtestaat'!B:B,'2-Kosten per locatie'!A23)</f>
        <v>0</v>
      </c>
      <c r="H23" s="230">
        <f>_xlfn.MAXIFS('4-Basis ruimtestaat'!O:O,'4-Basis ruimtestaat'!B:B,'2-Kosten per locatie'!A23)</f>
        <v>0</v>
      </c>
      <c r="I23" s="230">
        <f>_xlfn.MAXIFS('4-Basis ruimtestaat'!P:P,'4-Basis ruimtestaat'!B:B,'2-Kosten per locatie'!A23)</f>
        <v>0</v>
      </c>
      <c r="J23" s="479" t="e">
        <f>SUMIF('4-Basis ruimtestaat'!B:B,'2-Kosten per locatie'!A23,'4-Basis ruimtestaat'!Q:Q)</f>
        <v>#DIV/0!</v>
      </c>
      <c r="K23" s="479">
        <f>SUMIF('4-Basis ruimtestaat'!B:B,'2-Kosten per locatie'!A23,'4-Basis ruimtestaat'!R:R)</f>
        <v>0</v>
      </c>
      <c r="L23" s="479">
        <f>SUMIF('4-Basis ruimtestaat'!B:B,'2-Kosten per locatie'!A23,'4-Basis ruimtestaat'!S:S)</f>
        <v>0</v>
      </c>
      <c r="M23" s="479">
        <f>SUMIF('4-Basis ruimtestaat'!B:B,'2-Kosten per locatie'!A23,'4-Basis ruimtestaat'!T:T)</f>
        <v>0</v>
      </c>
      <c r="N23" s="479">
        <f>SUMIF('4-Basis ruimtestaat'!B:B,'2-Kosten per locatie'!A23,'4-Basis ruimtestaat'!U:U)</f>
        <v>0</v>
      </c>
      <c r="O23" s="479">
        <f>SUMIF('4-Basis ruimtestaat'!B:B,'2-Kosten per locatie'!A23,'4-Basis ruimtestaat'!V:V)</f>
        <v>0</v>
      </c>
      <c r="P23" s="479" t="e">
        <f t="shared" si="12"/>
        <v>#DIV/0!</v>
      </c>
      <c r="Q23" s="479">
        <f t="shared" si="13"/>
        <v>0</v>
      </c>
      <c r="R23" s="479">
        <f t="shared" si="14"/>
        <v>0</v>
      </c>
      <c r="S23" s="479">
        <f t="shared" si="15"/>
        <v>0</v>
      </c>
      <c r="T23" s="479">
        <f t="shared" si="16"/>
        <v>0</v>
      </c>
      <c r="U23" s="479">
        <f t="shared" si="17"/>
        <v>0</v>
      </c>
      <c r="V23" s="479" t="e">
        <f t="shared" si="18"/>
        <v>#DIV/0!</v>
      </c>
      <c r="W23" s="479">
        <f t="shared" si="19"/>
        <v>0</v>
      </c>
      <c r="X23" s="479">
        <f t="shared" si="20"/>
        <v>0</v>
      </c>
      <c r="Y23" s="479">
        <f t="shared" si="21"/>
        <v>0</v>
      </c>
      <c r="Z23" s="479">
        <f t="shared" si="22"/>
        <v>0</v>
      </c>
      <c r="AA23" s="479">
        <f t="shared" si="23"/>
        <v>0</v>
      </c>
      <c r="AB23" s="42"/>
      <c r="AC23" s="40"/>
      <c r="AD23" s="40"/>
      <c r="AE23" s="40"/>
      <c r="AF23" s="40"/>
      <c r="AG23" s="40"/>
    </row>
    <row r="24" spans="1:33" ht="15" customHeight="1">
      <c r="A24" s="313" t="s">
        <v>296</v>
      </c>
      <c r="B24" s="477">
        <f>SUMIF('4-Basis ruimtestaat'!B:B,'2-Kosten per locatie'!A24,'4-Basis ruimtestaat'!I:I)-SUMIFS('4-Basis ruimtestaat'!I:I,'4-Basis ruimtestaat'!B:B,'2-Kosten per locatie'!A24,'4-Basis ruimtestaat'!K:K,"nio")</f>
        <v>193.66999999999996</v>
      </c>
      <c r="C24" s="229">
        <v>1</v>
      </c>
      <c r="D24" s="230">
        <f>_xlfn.MAXIFS('4-Basis ruimtestaat'!K:K,'4-Basis ruimtestaat'!B:B,'2-Kosten per locatie'!A24)</f>
        <v>90</v>
      </c>
      <c r="E24" s="230">
        <f>_xlfn.MAXIFS('4-Basis ruimtestaat'!L:L,'4-Basis ruimtestaat'!B:B,'2-Kosten per locatie'!A24)</f>
        <v>0</v>
      </c>
      <c r="F24" s="230">
        <f>_xlfn.MAXIFS('4-Basis ruimtestaat'!M:M,'4-Basis ruimtestaat'!B:B,'2-Kosten per locatie'!A24)</f>
        <v>0</v>
      </c>
      <c r="G24" s="230">
        <f>_xlfn.MAXIFS('4-Basis ruimtestaat'!N:N,'4-Basis ruimtestaat'!B:B,'2-Kosten per locatie'!A24)</f>
        <v>0</v>
      </c>
      <c r="H24" s="230">
        <f>_xlfn.MAXIFS('4-Basis ruimtestaat'!O:O,'4-Basis ruimtestaat'!B:B,'2-Kosten per locatie'!A24)</f>
        <v>0</v>
      </c>
      <c r="I24" s="230">
        <f>_xlfn.MAXIFS('4-Basis ruimtestaat'!P:P,'4-Basis ruimtestaat'!B:B,'2-Kosten per locatie'!A24)</f>
        <v>0</v>
      </c>
      <c r="J24" s="479" t="e">
        <f>SUMIF('4-Basis ruimtestaat'!B:B,'2-Kosten per locatie'!A24,'4-Basis ruimtestaat'!Q:Q)</f>
        <v>#DIV/0!</v>
      </c>
      <c r="K24" s="479">
        <f>SUMIF('4-Basis ruimtestaat'!B:B,'2-Kosten per locatie'!A24,'4-Basis ruimtestaat'!R:R)</f>
        <v>0</v>
      </c>
      <c r="L24" s="479">
        <f>SUMIF('4-Basis ruimtestaat'!B:B,'2-Kosten per locatie'!A24,'4-Basis ruimtestaat'!S:S)</f>
        <v>0</v>
      </c>
      <c r="M24" s="479">
        <f>SUMIF('4-Basis ruimtestaat'!B:B,'2-Kosten per locatie'!A24,'4-Basis ruimtestaat'!T:T)</f>
        <v>0</v>
      </c>
      <c r="N24" s="479">
        <f>SUMIF('4-Basis ruimtestaat'!B:B,'2-Kosten per locatie'!A24,'4-Basis ruimtestaat'!U:U)</f>
        <v>0</v>
      </c>
      <c r="O24" s="479">
        <f>SUMIF('4-Basis ruimtestaat'!B:B,'2-Kosten per locatie'!A24,'4-Basis ruimtestaat'!V:V)</f>
        <v>0</v>
      </c>
      <c r="P24" s="479" t="e">
        <f t="shared" si="12"/>
        <v>#DIV/0!</v>
      </c>
      <c r="Q24" s="479">
        <f t="shared" si="13"/>
        <v>0</v>
      </c>
      <c r="R24" s="479">
        <f t="shared" si="14"/>
        <v>0</v>
      </c>
      <c r="S24" s="479">
        <f t="shared" si="15"/>
        <v>0</v>
      </c>
      <c r="T24" s="479">
        <f t="shared" si="16"/>
        <v>0</v>
      </c>
      <c r="U24" s="479">
        <f t="shared" si="17"/>
        <v>0</v>
      </c>
      <c r="V24" s="479" t="e">
        <f t="shared" si="18"/>
        <v>#DIV/0!</v>
      </c>
      <c r="W24" s="479">
        <f t="shared" si="19"/>
        <v>0</v>
      </c>
      <c r="X24" s="479">
        <f t="shared" si="20"/>
        <v>0</v>
      </c>
      <c r="Y24" s="479">
        <f t="shared" si="21"/>
        <v>0</v>
      </c>
      <c r="Z24" s="479">
        <f t="shared" si="22"/>
        <v>0</v>
      </c>
      <c r="AA24" s="479">
        <f t="shared" si="23"/>
        <v>0</v>
      </c>
      <c r="AB24" s="42"/>
      <c r="AC24" s="40"/>
      <c r="AD24" s="40"/>
      <c r="AE24" s="40"/>
      <c r="AF24" s="40"/>
      <c r="AG24" s="40"/>
    </row>
    <row r="25" spans="1:33" ht="15" customHeight="1">
      <c r="A25" s="313" t="s">
        <v>302</v>
      </c>
      <c r="B25" s="477">
        <f>SUMIF('4-Basis ruimtestaat'!B:B,'2-Kosten per locatie'!A25,'4-Basis ruimtestaat'!I:I)-SUMIFS('4-Basis ruimtestaat'!I:I,'4-Basis ruimtestaat'!B:B,'2-Kosten per locatie'!A25,'4-Basis ruimtestaat'!K:K,"nio")</f>
        <v>1903.91</v>
      </c>
      <c r="C25" s="229">
        <v>1</v>
      </c>
      <c r="D25" s="230">
        <f>_xlfn.MAXIFS('4-Basis ruimtestaat'!K:K,'4-Basis ruimtestaat'!B:B,'2-Kosten per locatie'!A25)</f>
        <v>240</v>
      </c>
      <c r="E25" s="230">
        <f>_xlfn.MAXIFS('4-Basis ruimtestaat'!L:L,'4-Basis ruimtestaat'!B:B,'2-Kosten per locatie'!A25)</f>
        <v>240</v>
      </c>
      <c r="F25" s="230">
        <f>_xlfn.MAXIFS('4-Basis ruimtestaat'!M:M,'4-Basis ruimtestaat'!B:B,'2-Kosten per locatie'!A25)</f>
        <v>96</v>
      </c>
      <c r="G25" s="230">
        <f>_xlfn.MAXIFS('4-Basis ruimtestaat'!N:N,'4-Basis ruimtestaat'!B:B,'2-Kosten per locatie'!A25)</f>
        <v>0</v>
      </c>
      <c r="H25" s="230">
        <f>_xlfn.MAXIFS('4-Basis ruimtestaat'!O:O,'4-Basis ruimtestaat'!B:B,'2-Kosten per locatie'!A25)</f>
        <v>0</v>
      </c>
      <c r="I25" s="230">
        <f>_xlfn.MAXIFS('4-Basis ruimtestaat'!P:P,'4-Basis ruimtestaat'!B:B,'2-Kosten per locatie'!A25)</f>
        <v>0</v>
      </c>
      <c r="J25" s="479" t="e">
        <f>SUMIF('4-Basis ruimtestaat'!B:B,'2-Kosten per locatie'!A25,'4-Basis ruimtestaat'!Q:Q)</f>
        <v>#DIV/0!</v>
      </c>
      <c r="K25" s="479" t="e">
        <f>SUMIF('4-Basis ruimtestaat'!B:B,'2-Kosten per locatie'!A25,'4-Basis ruimtestaat'!R:R)</f>
        <v>#DIV/0!</v>
      </c>
      <c r="L25" s="479" t="e">
        <f>SUMIF('4-Basis ruimtestaat'!B:B,'2-Kosten per locatie'!A25,'4-Basis ruimtestaat'!S:S)</f>
        <v>#DIV/0!</v>
      </c>
      <c r="M25" s="479">
        <f>SUMIF('4-Basis ruimtestaat'!B:B,'2-Kosten per locatie'!A25,'4-Basis ruimtestaat'!T:T)</f>
        <v>0</v>
      </c>
      <c r="N25" s="479">
        <f>SUMIF('4-Basis ruimtestaat'!B:B,'2-Kosten per locatie'!A25,'4-Basis ruimtestaat'!U:U)</f>
        <v>0</v>
      </c>
      <c r="O25" s="479">
        <f>SUMIF('4-Basis ruimtestaat'!B:B,'2-Kosten per locatie'!A25,'4-Basis ruimtestaat'!V:V)</f>
        <v>0</v>
      </c>
      <c r="P25" s="479" t="e">
        <f t="shared" si="12"/>
        <v>#DIV/0!</v>
      </c>
      <c r="Q25" s="479" t="e">
        <f t="shared" si="13"/>
        <v>#DIV/0!</v>
      </c>
      <c r="R25" s="479" t="e">
        <f t="shared" si="14"/>
        <v>#DIV/0!</v>
      </c>
      <c r="S25" s="479">
        <f t="shared" si="15"/>
        <v>0</v>
      </c>
      <c r="T25" s="479">
        <f t="shared" si="16"/>
        <v>0</v>
      </c>
      <c r="U25" s="479">
        <f t="shared" si="17"/>
        <v>0</v>
      </c>
      <c r="V25" s="479" t="e">
        <f t="shared" si="18"/>
        <v>#DIV/0!</v>
      </c>
      <c r="W25" s="479" t="e">
        <f t="shared" si="19"/>
        <v>#DIV/0!</v>
      </c>
      <c r="X25" s="479" t="e">
        <f t="shared" si="20"/>
        <v>#DIV/0!</v>
      </c>
      <c r="Y25" s="479">
        <f t="shared" si="21"/>
        <v>0</v>
      </c>
      <c r="Z25" s="479">
        <f t="shared" si="22"/>
        <v>0</v>
      </c>
      <c r="AA25" s="479">
        <f t="shared" si="23"/>
        <v>0</v>
      </c>
      <c r="AB25" s="42"/>
      <c r="AC25" s="40"/>
      <c r="AD25" s="40"/>
      <c r="AE25" s="40"/>
      <c r="AF25" s="40"/>
      <c r="AG25" s="40"/>
    </row>
    <row r="26" spans="1:33" ht="15" customHeight="1">
      <c r="A26" s="313" t="s">
        <v>305</v>
      </c>
      <c r="B26" s="477">
        <f>SUMIF('4-Basis ruimtestaat'!B:B,'2-Kosten per locatie'!A26,'4-Basis ruimtestaat'!I:I)-SUMIFS('4-Basis ruimtestaat'!I:I,'4-Basis ruimtestaat'!B:B,'2-Kosten per locatie'!A26,'4-Basis ruimtestaat'!K:K,"nio")</f>
        <v>456.29999999999984</v>
      </c>
      <c r="C26" s="229">
        <v>1</v>
      </c>
      <c r="D26" s="230">
        <f>_xlfn.MAXIFS('4-Basis ruimtestaat'!K:K,'4-Basis ruimtestaat'!B:B,'2-Kosten per locatie'!A26)</f>
        <v>130</v>
      </c>
      <c r="E26" s="230">
        <f>_xlfn.MAXIFS('4-Basis ruimtestaat'!L:L,'4-Basis ruimtestaat'!B:B,'2-Kosten per locatie'!A26)</f>
        <v>0</v>
      </c>
      <c r="F26" s="230">
        <f>_xlfn.MAXIFS('4-Basis ruimtestaat'!M:M,'4-Basis ruimtestaat'!B:B,'2-Kosten per locatie'!A26)</f>
        <v>0</v>
      </c>
      <c r="G26" s="230">
        <f>_xlfn.MAXIFS('4-Basis ruimtestaat'!N:N,'4-Basis ruimtestaat'!B:B,'2-Kosten per locatie'!A26)</f>
        <v>0</v>
      </c>
      <c r="H26" s="230">
        <f>_xlfn.MAXIFS('4-Basis ruimtestaat'!O:O,'4-Basis ruimtestaat'!B:B,'2-Kosten per locatie'!A26)</f>
        <v>0</v>
      </c>
      <c r="I26" s="230">
        <f>_xlfn.MAXIFS('4-Basis ruimtestaat'!P:P,'4-Basis ruimtestaat'!B:B,'2-Kosten per locatie'!A26)</f>
        <v>0</v>
      </c>
      <c r="J26" s="479" t="e">
        <f>SUMIF('4-Basis ruimtestaat'!B:B,'2-Kosten per locatie'!A26,'4-Basis ruimtestaat'!Q:Q)</f>
        <v>#DIV/0!</v>
      </c>
      <c r="K26" s="479">
        <f>SUMIF('4-Basis ruimtestaat'!B:B,'2-Kosten per locatie'!A26,'4-Basis ruimtestaat'!R:R)</f>
        <v>0</v>
      </c>
      <c r="L26" s="479">
        <f>SUMIF('4-Basis ruimtestaat'!B:B,'2-Kosten per locatie'!A26,'4-Basis ruimtestaat'!S:S)</f>
        <v>0</v>
      </c>
      <c r="M26" s="479">
        <f>SUMIF('4-Basis ruimtestaat'!B:B,'2-Kosten per locatie'!A26,'4-Basis ruimtestaat'!T:T)</f>
        <v>0</v>
      </c>
      <c r="N26" s="479">
        <f>SUMIF('4-Basis ruimtestaat'!B:B,'2-Kosten per locatie'!A26,'4-Basis ruimtestaat'!U:U)</f>
        <v>0</v>
      </c>
      <c r="O26" s="479">
        <f>SUMIF('4-Basis ruimtestaat'!B:B,'2-Kosten per locatie'!A26,'4-Basis ruimtestaat'!V:V)</f>
        <v>0</v>
      </c>
      <c r="P26" s="479" t="e">
        <f t="shared" si="12"/>
        <v>#DIV/0!</v>
      </c>
      <c r="Q26" s="479">
        <f t="shared" si="13"/>
        <v>0</v>
      </c>
      <c r="R26" s="479">
        <f t="shared" si="14"/>
        <v>0</v>
      </c>
      <c r="S26" s="479">
        <f t="shared" si="15"/>
        <v>0</v>
      </c>
      <c r="T26" s="479">
        <f t="shared" si="16"/>
        <v>0</v>
      </c>
      <c r="U26" s="479">
        <f t="shared" si="17"/>
        <v>0</v>
      </c>
      <c r="V26" s="479" t="e">
        <f t="shared" si="18"/>
        <v>#DIV/0!</v>
      </c>
      <c r="W26" s="479">
        <f t="shared" si="19"/>
        <v>0</v>
      </c>
      <c r="X26" s="479">
        <f t="shared" si="20"/>
        <v>0</v>
      </c>
      <c r="Y26" s="479">
        <f t="shared" si="21"/>
        <v>0</v>
      </c>
      <c r="Z26" s="479">
        <f t="shared" si="22"/>
        <v>0</v>
      </c>
      <c r="AA26" s="479">
        <f t="shared" si="23"/>
        <v>0</v>
      </c>
      <c r="AB26" s="42"/>
      <c r="AC26" s="40"/>
      <c r="AD26" s="40"/>
      <c r="AE26" s="40"/>
      <c r="AF26" s="40"/>
      <c r="AG26" s="40"/>
    </row>
    <row r="27" spans="1:33" ht="15" customHeight="1">
      <c r="A27" s="313" t="s">
        <v>294</v>
      </c>
      <c r="B27" s="477">
        <f>SUMIF('4-Basis ruimtestaat'!B:B,'2-Kosten per locatie'!A27,'4-Basis ruimtestaat'!I:I)-SUMIFS('4-Basis ruimtestaat'!I:I,'4-Basis ruimtestaat'!B:B,'2-Kosten per locatie'!A27,'4-Basis ruimtestaat'!K:K,"nio")</f>
        <v>450.44999999999993</v>
      </c>
      <c r="C27" s="229">
        <v>1</v>
      </c>
      <c r="D27" s="230">
        <f>_xlfn.MAXIFS('4-Basis ruimtestaat'!K:K,'4-Basis ruimtestaat'!B:B,'2-Kosten per locatie'!A27)</f>
        <v>230</v>
      </c>
      <c r="E27" s="230">
        <f>_xlfn.MAXIFS('4-Basis ruimtestaat'!L:L,'4-Basis ruimtestaat'!B:B,'2-Kosten per locatie'!A27)</f>
        <v>0</v>
      </c>
      <c r="F27" s="230">
        <f>_xlfn.MAXIFS('4-Basis ruimtestaat'!M:M,'4-Basis ruimtestaat'!B:B,'2-Kosten per locatie'!A27)</f>
        <v>46</v>
      </c>
      <c r="G27" s="230">
        <f>_xlfn.MAXIFS('4-Basis ruimtestaat'!N:N,'4-Basis ruimtestaat'!B:B,'2-Kosten per locatie'!A27)</f>
        <v>0</v>
      </c>
      <c r="H27" s="230">
        <f>_xlfn.MAXIFS('4-Basis ruimtestaat'!O:O,'4-Basis ruimtestaat'!B:B,'2-Kosten per locatie'!A27)</f>
        <v>0</v>
      </c>
      <c r="I27" s="230">
        <f>_xlfn.MAXIFS('4-Basis ruimtestaat'!P:P,'4-Basis ruimtestaat'!B:B,'2-Kosten per locatie'!A27)</f>
        <v>0</v>
      </c>
      <c r="J27" s="479" t="e">
        <f>SUMIF('4-Basis ruimtestaat'!B:B,'2-Kosten per locatie'!A27,'4-Basis ruimtestaat'!Q:Q)</f>
        <v>#DIV/0!</v>
      </c>
      <c r="K27" s="479">
        <f>SUMIF('4-Basis ruimtestaat'!B:B,'2-Kosten per locatie'!A27,'4-Basis ruimtestaat'!R:R)</f>
        <v>0</v>
      </c>
      <c r="L27" s="479" t="e">
        <f>SUMIF('4-Basis ruimtestaat'!B:B,'2-Kosten per locatie'!A27,'4-Basis ruimtestaat'!S:S)</f>
        <v>#DIV/0!</v>
      </c>
      <c r="M27" s="479">
        <f>SUMIF('4-Basis ruimtestaat'!B:B,'2-Kosten per locatie'!A27,'4-Basis ruimtestaat'!T:T)</f>
        <v>0</v>
      </c>
      <c r="N27" s="479">
        <f>SUMIF('4-Basis ruimtestaat'!B:B,'2-Kosten per locatie'!A27,'4-Basis ruimtestaat'!U:U)</f>
        <v>0</v>
      </c>
      <c r="O27" s="479">
        <f>SUMIF('4-Basis ruimtestaat'!B:B,'2-Kosten per locatie'!A27,'4-Basis ruimtestaat'!V:V)</f>
        <v>0</v>
      </c>
      <c r="P27" s="479" t="e">
        <f t="shared" si="12"/>
        <v>#DIV/0!</v>
      </c>
      <c r="Q27" s="479">
        <f t="shared" si="13"/>
        <v>0</v>
      </c>
      <c r="R27" s="479" t="e">
        <f t="shared" si="14"/>
        <v>#DIV/0!</v>
      </c>
      <c r="S27" s="479">
        <f t="shared" si="15"/>
        <v>0</v>
      </c>
      <c r="T27" s="479">
        <f t="shared" si="16"/>
        <v>0</v>
      </c>
      <c r="U27" s="479">
        <f t="shared" si="17"/>
        <v>0</v>
      </c>
      <c r="V27" s="479" t="e">
        <f t="shared" si="18"/>
        <v>#DIV/0!</v>
      </c>
      <c r="W27" s="479">
        <f t="shared" si="19"/>
        <v>0</v>
      </c>
      <c r="X27" s="479" t="e">
        <f t="shared" si="20"/>
        <v>#DIV/0!</v>
      </c>
      <c r="Y27" s="479">
        <f t="shared" si="21"/>
        <v>0</v>
      </c>
      <c r="Z27" s="479">
        <f t="shared" si="22"/>
        <v>0</v>
      </c>
      <c r="AA27" s="479">
        <f t="shared" si="23"/>
        <v>0</v>
      </c>
      <c r="AB27" s="42"/>
      <c r="AC27" s="40"/>
      <c r="AD27" s="40"/>
      <c r="AE27" s="40"/>
      <c r="AF27" s="40"/>
      <c r="AG27" s="40"/>
    </row>
    <row r="28" spans="1:33" ht="15" customHeight="1">
      <c r="A28" s="314" t="s">
        <v>288</v>
      </c>
      <c r="B28" s="477">
        <f>SUMIF('4-Basis ruimtestaat'!B:B,'2-Kosten per locatie'!A28,'4-Basis ruimtestaat'!I:I)-SUMIFS('4-Basis ruimtestaat'!I:I,'4-Basis ruimtestaat'!B:B,'2-Kosten per locatie'!A28,'4-Basis ruimtestaat'!K:K,"nio")</f>
        <v>898.64499999999987</v>
      </c>
      <c r="C28" s="229">
        <v>1</v>
      </c>
      <c r="D28" s="230">
        <f>_xlfn.MAXIFS('4-Basis ruimtestaat'!K:K,'4-Basis ruimtestaat'!B:B,'2-Kosten per locatie'!A28)</f>
        <v>240</v>
      </c>
      <c r="E28" s="230">
        <f>_xlfn.MAXIFS('4-Basis ruimtestaat'!L:L,'4-Basis ruimtestaat'!B:B,'2-Kosten per locatie'!A28)</f>
        <v>0</v>
      </c>
      <c r="F28" s="230">
        <f>_xlfn.MAXIFS('4-Basis ruimtestaat'!M:M,'4-Basis ruimtestaat'!B:B,'2-Kosten per locatie'!A28)</f>
        <v>96</v>
      </c>
      <c r="G28" s="230">
        <f>_xlfn.MAXIFS('4-Basis ruimtestaat'!N:N,'4-Basis ruimtestaat'!B:B,'2-Kosten per locatie'!A28)</f>
        <v>0</v>
      </c>
      <c r="H28" s="230">
        <f>_xlfn.MAXIFS('4-Basis ruimtestaat'!O:O,'4-Basis ruimtestaat'!B:B,'2-Kosten per locatie'!A28)</f>
        <v>0</v>
      </c>
      <c r="I28" s="230">
        <f>_xlfn.MAXIFS('4-Basis ruimtestaat'!P:P,'4-Basis ruimtestaat'!B:B,'2-Kosten per locatie'!A28)</f>
        <v>0</v>
      </c>
      <c r="J28" s="479" t="e">
        <f>SUMIF('4-Basis ruimtestaat'!B:B,'2-Kosten per locatie'!A28,'4-Basis ruimtestaat'!Q:Q)</f>
        <v>#DIV/0!</v>
      </c>
      <c r="K28" s="479">
        <f>SUMIF('4-Basis ruimtestaat'!B:B,'2-Kosten per locatie'!A28,'4-Basis ruimtestaat'!R:R)</f>
        <v>0</v>
      </c>
      <c r="L28" s="479" t="e">
        <f>SUMIF('4-Basis ruimtestaat'!B:B,'2-Kosten per locatie'!A28,'4-Basis ruimtestaat'!S:S)</f>
        <v>#DIV/0!</v>
      </c>
      <c r="M28" s="479">
        <f>SUMIF('4-Basis ruimtestaat'!B:B,'2-Kosten per locatie'!A28,'4-Basis ruimtestaat'!T:T)</f>
        <v>0</v>
      </c>
      <c r="N28" s="479">
        <f>SUMIF('4-Basis ruimtestaat'!B:B,'2-Kosten per locatie'!A28,'4-Basis ruimtestaat'!U:U)</f>
        <v>0</v>
      </c>
      <c r="O28" s="479">
        <f>SUMIF('4-Basis ruimtestaat'!B:B,'2-Kosten per locatie'!A28,'4-Basis ruimtestaat'!V:V)</f>
        <v>0</v>
      </c>
      <c r="P28" s="479" t="e">
        <f t="shared" si="12"/>
        <v>#DIV/0!</v>
      </c>
      <c r="Q28" s="479">
        <f t="shared" si="13"/>
        <v>0</v>
      </c>
      <c r="R28" s="479" t="e">
        <f t="shared" si="14"/>
        <v>#DIV/0!</v>
      </c>
      <c r="S28" s="479">
        <f t="shared" si="15"/>
        <v>0</v>
      </c>
      <c r="T28" s="479">
        <f t="shared" si="16"/>
        <v>0</v>
      </c>
      <c r="U28" s="479">
        <f t="shared" si="17"/>
        <v>0</v>
      </c>
      <c r="V28" s="479" t="e">
        <f t="shared" si="18"/>
        <v>#DIV/0!</v>
      </c>
      <c r="W28" s="479">
        <f t="shared" si="19"/>
        <v>0</v>
      </c>
      <c r="X28" s="479" t="e">
        <f t="shared" si="20"/>
        <v>#DIV/0!</v>
      </c>
      <c r="Y28" s="479">
        <f t="shared" si="21"/>
        <v>0</v>
      </c>
      <c r="Z28" s="479">
        <f t="shared" si="22"/>
        <v>0</v>
      </c>
      <c r="AA28" s="479">
        <f t="shared" si="23"/>
        <v>0</v>
      </c>
      <c r="AB28" s="42"/>
      <c r="AC28" s="40"/>
      <c r="AD28" s="40"/>
      <c r="AE28" s="40"/>
      <c r="AF28" s="40"/>
      <c r="AG28" s="40"/>
    </row>
    <row r="29" spans="1:33" ht="15" customHeight="1">
      <c r="A29" s="314" t="s">
        <v>0</v>
      </c>
      <c r="B29" s="477"/>
      <c r="C29" s="229">
        <v>1</v>
      </c>
      <c r="D29" s="230"/>
      <c r="E29" s="230"/>
      <c r="F29" s="230"/>
      <c r="G29" s="230"/>
      <c r="H29" s="230"/>
      <c r="I29" s="230"/>
      <c r="J29" s="479"/>
      <c r="K29" s="479"/>
      <c r="L29" s="479"/>
      <c r="M29" s="479"/>
      <c r="N29" s="479"/>
      <c r="O29" s="479"/>
      <c r="P29" s="479"/>
      <c r="Q29" s="479"/>
      <c r="R29" s="479"/>
      <c r="S29" s="479"/>
      <c r="T29" s="479"/>
      <c r="U29" s="479"/>
      <c r="V29" s="479"/>
      <c r="W29" s="479"/>
      <c r="X29" s="479"/>
      <c r="Y29" s="479"/>
      <c r="Z29" s="479"/>
      <c r="AA29" s="479"/>
      <c r="AB29" s="42"/>
      <c r="AC29" s="40"/>
      <c r="AD29" s="40"/>
      <c r="AE29" s="40"/>
      <c r="AF29" s="40"/>
      <c r="AG29" s="40"/>
    </row>
    <row r="30" spans="1:33" s="57" customFormat="1" ht="15" customHeight="1">
      <c r="A30" s="315" t="s">
        <v>50</v>
      </c>
      <c r="B30" s="478">
        <f>SUM(B15:B28)</f>
        <v>10763.019600000001</v>
      </c>
      <c r="C30" s="231"/>
      <c r="D30" s="232"/>
      <c r="E30" s="232"/>
      <c r="F30" s="232"/>
      <c r="G30" s="232"/>
      <c r="H30" s="232"/>
      <c r="I30" s="232"/>
      <c r="J30" s="480" t="e">
        <f>SUM(J15:J28)</f>
        <v>#DIV/0!</v>
      </c>
      <c r="K30" s="480" t="e">
        <f>SUM(K15:K28)</f>
        <v>#DIV/0!</v>
      </c>
      <c r="L30" s="480" t="e">
        <f>SUM(L15:L28)</f>
        <v>#DIV/0!</v>
      </c>
      <c r="M30" s="480" t="e">
        <f t="shared" ref="M30:AA30" si="24">SUM(M15:M28)</f>
        <v>#DIV/0!</v>
      </c>
      <c r="N30" s="480" t="e">
        <f t="shared" si="24"/>
        <v>#DIV/0!</v>
      </c>
      <c r="O30" s="480">
        <f t="shared" si="24"/>
        <v>0</v>
      </c>
      <c r="P30" s="480" t="e">
        <f t="shared" si="24"/>
        <v>#DIV/0!</v>
      </c>
      <c r="Q30" s="480" t="e">
        <f t="shared" si="24"/>
        <v>#DIV/0!</v>
      </c>
      <c r="R30" s="480" t="e">
        <f t="shared" si="24"/>
        <v>#DIV/0!</v>
      </c>
      <c r="S30" s="480" t="e">
        <f t="shared" si="24"/>
        <v>#DIV/0!</v>
      </c>
      <c r="T30" s="480" t="e">
        <f t="shared" si="24"/>
        <v>#DIV/0!</v>
      </c>
      <c r="U30" s="480">
        <f t="shared" si="24"/>
        <v>0</v>
      </c>
      <c r="V30" s="480" t="e">
        <f t="shared" si="24"/>
        <v>#DIV/0!</v>
      </c>
      <c r="W30" s="480" t="e">
        <f t="shared" si="24"/>
        <v>#DIV/0!</v>
      </c>
      <c r="X30" s="480" t="e">
        <f t="shared" si="24"/>
        <v>#DIV/0!</v>
      </c>
      <c r="Y30" s="480" t="e">
        <f t="shared" si="24"/>
        <v>#DIV/0!</v>
      </c>
      <c r="Z30" s="480" t="e">
        <f t="shared" si="24"/>
        <v>#DIV/0!</v>
      </c>
      <c r="AA30" s="480">
        <f t="shared" si="24"/>
        <v>0</v>
      </c>
      <c r="AB30" s="42"/>
    </row>
    <row r="31" spans="1:33" s="54" customFormat="1" ht="14.1" customHeight="1">
      <c r="AD31" s="40"/>
    </row>
    <row r="32" spans="1:33" ht="99" customHeight="1">
      <c r="A32" s="245" t="s">
        <v>23</v>
      </c>
      <c r="B32" s="246" t="s">
        <v>51</v>
      </c>
      <c r="C32" s="246" t="s">
        <v>52</v>
      </c>
      <c r="D32" s="246" t="s">
        <v>53</v>
      </c>
      <c r="E32" s="246" t="s">
        <v>54</v>
      </c>
      <c r="F32" s="246" t="s">
        <v>55</v>
      </c>
      <c r="G32" s="246" t="s">
        <v>56</v>
      </c>
      <c r="H32" s="246" t="s">
        <v>57</v>
      </c>
      <c r="I32" s="246" t="s">
        <v>58</v>
      </c>
      <c r="J32" s="246" t="s">
        <v>59</v>
      </c>
      <c r="K32" s="246" t="s">
        <v>60</v>
      </c>
      <c r="L32" s="246" t="s">
        <v>61</v>
      </c>
      <c r="M32" s="244" t="s">
        <v>62</v>
      </c>
      <c r="N32" s="244" t="s">
        <v>63</v>
      </c>
      <c r="O32" s="244" t="s">
        <v>64</v>
      </c>
      <c r="P32" s="246" t="s">
        <v>65</v>
      </c>
      <c r="Q32" s="246" t="s">
        <v>66</v>
      </c>
      <c r="R32" s="246" t="s">
        <v>67</v>
      </c>
      <c r="S32" s="246" t="s">
        <v>68</v>
      </c>
      <c r="U32" s="507"/>
      <c r="V32" s="68"/>
      <c r="W32" s="68"/>
      <c r="X32" s="68"/>
      <c r="AF32" s="54"/>
      <c r="AG32" s="40"/>
    </row>
    <row r="33" spans="1:33" s="54" customFormat="1" ht="15" customHeight="1">
      <c r="A33" s="313" t="str">
        <f t="shared" ref="A33:A47" si="25">A15</f>
        <v>De Brug, gymzaal, Oosterblokker</v>
      </c>
      <c r="B33" s="55" t="e">
        <f>(J15+P15)*'6-Opbouw uurtarief productie'!$E$47</f>
        <v>#DIV/0!</v>
      </c>
      <c r="C33" s="55" t="e">
        <f>(K15+Q15)*'6-Opbouw uurtarief productie'!$E$47</f>
        <v>#DIV/0!</v>
      </c>
      <c r="D33" s="520" t="e">
        <f>(L15+R15)*'6-Opbouw uurtarief productie'!$E$51</f>
        <v>#DIV/0!</v>
      </c>
      <c r="E33" s="520" t="e">
        <f>(M15+S15)*'6-Opbouw uurtarief productie'!$E$51</f>
        <v>#DIV/0!</v>
      </c>
      <c r="F33" s="520" t="e">
        <f>(N15+T15)*'6-Opbouw uurtarief productie'!$E$53</f>
        <v>#DIV/0!</v>
      </c>
      <c r="G33" s="520" t="e">
        <f>(O15+U15)*'6-Opbouw uurtarief productie'!$E$53</f>
        <v>#DIV/0!</v>
      </c>
      <c r="H33" s="56" t="e">
        <f>SUM(B33:G33)</f>
        <v>#DIV/0!</v>
      </c>
      <c r="I33" s="56" t="e">
        <f>V15*'7-Opbouw uurtarief toezicht'!$E$46</f>
        <v>#DIV/0!</v>
      </c>
      <c r="J33" s="56" t="e">
        <f>W15*'7-Opbouw uurtarief toezicht'!$E$46</f>
        <v>#DIV/0!</v>
      </c>
      <c r="K33" s="316" t="e">
        <f>X15*'7-Opbouw uurtarief toezicht'!$E$50</f>
        <v>#DIV/0!</v>
      </c>
      <c r="L33" s="316" t="e">
        <f>Y15*'7-Opbouw uurtarief toezicht'!$E$50</f>
        <v>#DIV/0!</v>
      </c>
      <c r="M33" s="233" t="e">
        <f>Z15*'7-Opbouw uurtarief toezicht'!$E$52</f>
        <v>#DIV/0!</v>
      </c>
      <c r="N33" s="233" t="e">
        <f>AA15*'7-Opbouw uurtarief toezicht'!$E$52</f>
        <v>#DIV/0!</v>
      </c>
      <c r="O33" s="234" t="e">
        <f>SUM(I33:N33)</f>
        <v>#DIV/0!</v>
      </c>
      <c r="P33" s="316">
        <f>SUMIF('8-Additionele kosten'!A:A,'2-Kosten per locatie'!A33,'8-Additionele kosten'!H:H)</f>
        <v>0</v>
      </c>
      <c r="Q33" s="316">
        <f>SUMIF('10-Glasbewassing'!A:A,'2-Kosten per locatie'!A33,'10-Glasbewassing'!H:H)</f>
        <v>0</v>
      </c>
      <c r="R33" s="316" t="e">
        <f>H33+O33+P33+Q33</f>
        <v>#DIV/0!</v>
      </c>
      <c r="S33" s="316" t="e">
        <f>R33/12</f>
        <v>#DIV/0!</v>
      </c>
      <c r="T33" s="41"/>
      <c r="U33" s="507"/>
      <c r="V33" s="68"/>
      <c r="W33" s="521"/>
      <c r="X33" s="68"/>
    </row>
    <row r="34" spans="1:33" ht="15" customHeight="1">
      <c r="A34" s="313" t="str">
        <f t="shared" si="25"/>
        <v>De Flint, Sporthal, Bovenkarspel</v>
      </c>
      <c r="B34" s="55" t="e">
        <f>(J16+P16)*'6-Opbouw uurtarief productie'!$E$47</f>
        <v>#DIV/0!</v>
      </c>
      <c r="C34" s="55" t="e">
        <f>(K16+Q16)*'6-Opbouw uurtarief productie'!$E$47</f>
        <v>#DIV/0!</v>
      </c>
      <c r="D34" s="520" t="e">
        <f>(L16+R16)*'6-Opbouw uurtarief productie'!$E$51</f>
        <v>#DIV/0!</v>
      </c>
      <c r="E34" s="520" t="e">
        <f>(M16+S16)*'6-Opbouw uurtarief productie'!$E$51</f>
        <v>#DIV/0!</v>
      </c>
      <c r="F34" s="520" t="e">
        <f>(N16+T16)*'6-Opbouw uurtarief productie'!$E$53</f>
        <v>#DIV/0!</v>
      </c>
      <c r="G34" s="520" t="e">
        <f>(O16+U16)*'6-Opbouw uurtarief productie'!$E$53</f>
        <v>#DIV/0!</v>
      </c>
      <c r="H34" s="56" t="e">
        <f t="shared" ref="H34:H35" si="26">SUM(B34:G34)</f>
        <v>#DIV/0!</v>
      </c>
      <c r="I34" s="56" t="e">
        <f>V16*'7-Opbouw uurtarief toezicht'!$E$46</f>
        <v>#DIV/0!</v>
      </c>
      <c r="J34" s="56" t="e">
        <f>W16*'7-Opbouw uurtarief toezicht'!$E$46</f>
        <v>#DIV/0!</v>
      </c>
      <c r="K34" s="316" t="e">
        <f>X16*'7-Opbouw uurtarief toezicht'!$E$50</f>
        <v>#DIV/0!</v>
      </c>
      <c r="L34" s="316" t="e">
        <f>Y16*'7-Opbouw uurtarief toezicht'!$E$50</f>
        <v>#DIV/0!</v>
      </c>
      <c r="M34" s="233" t="e">
        <f>Z16*'7-Opbouw uurtarief toezicht'!$E$52</f>
        <v>#DIV/0!</v>
      </c>
      <c r="N34" s="233" t="e">
        <f>AA16*'7-Opbouw uurtarief toezicht'!$E$52</f>
        <v>#DIV/0!</v>
      </c>
      <c r="O34" s="234" t="e">
        <f t="shared" ref="O34:O35" si="27">SUM(I34:N34)</f>
        <v>#DIV/0!</v>
      </c>
      <c r="P34" s="316">
        <f>SUMIF('8-Additionele kosten'!A:A,'2-Kosten per locatie'!A34,'8-Additionele kosten'!H:H)</f>
        <v>0</v>
      </c>
      <c r="Q34" s="316">
        <f>SUMIF('10-Glasbewassing'!A:A,'2-Kosten per locatie'!A34,'10-Glasbewassing'!H:H)</f>
        <v>0</v>
      </c>
      <c r="R34" s="316" t="e">
        <f t="shared" ref="R34:R46" si="28">H34+O34+P34+Q34</f>
        <v>#DIV/0!</v>
      </c>
      <c r="S34" s="316" t="e">
        <f t="shared" ref="S34:S35" si="29">R34/12</f>
        <v>#DIV/0!</v>
      </c>
      <c r="U34" s="507"/>
      <c r="V34" s="68"/>
      <c r="W34" s="521"/>
      <c r="X34" s="68"/>
      <c r="AF34" s="54"/>
      <c r="AG34" s="40"/>
    </row>
    <row r="35" spans="1:33" ht="15" customHeight="1">
      <c r="A35" s="313" t="str">
        <f t="shared" si="25"/>
        <v>De Helt, gymzaal, Bovenkarspel</v>
      </c>
      <c r="B35" s="55" t="e">
        <f>(J17+P17)*'6-Opbouw uurtarief productie'!$E$47</f>
        <v>#DIV/0!</v>
      </c>
      <c r="C35" s="55" t="e">
        <f>(K17+Q17)*'6-Opbouw uurtarief productie'!$E$47</f>
        <v>#DIV/0!</v>
      </c>
      <c r="D35" s="520" t="e">
        <f>(L17+R17)*'6-Opbouw uurtarief productie'!$E$51</f>
        <v>#DIV/0!</v>
      </c>
      <c r="E35" s="520" t="e">
        <f>(M17+S17)*'6-Opbouw uurtarief productie'!$E$51</f>
        <v>#DIV/0!</v>
      </c>
      <c r="F35" s="520" t="e">
        <f>(N17+T17)*'6-Opbouw uurtarief productie'!$E$53</f>
        <v>#DIV/0!</v>
      </c>
      <c r="G35" s="520" t="e">
        <f>(O17+U17)*'6-Opbouw uurtarief productie'!$E$53</f>
        <v>#DIV/0!</v>
      </c>
      <c r="H35" s="56" t="e">
        <f t="shared" si="26"/>
        <v>#DIV/0!</v>
      </c>
      <c r="I35" s="56" t="e">
        <f>V17*'7-Opbouw uurtarief toezicht'!$E$46</f>
        <v>#DIV/0!</v>
      </c>
      <c r="J35" s="56" t="e">
        <f>W17*'7-Opbouw uurtarief toezicht'!$E$46</f>
        <v>#DIV/0!</v>
      </c>
      <c r="K35" s="316" t="e">
        <f>X17*'7-Opbouw uurtarief toezicht'!$E$50</f>
        <v>#DIV/0!</v>
      </c>
      <c r="L35" s="316" t="e">
        <f>Y17*'7-Opbouw uurtarief toezicht'!$E$50</f>
        <v>#DIV/0!</v>
      </c>
      <c r="M35" s="233" t="e">
        <f>Z17*'7-Opbouw uurtarief toezicht'!$E$52</f>
        <v>#DIV/0!</v>
      </c>
      <c r="N35" s="233" t="e">
        <f>AA17*'7-Opbouw uurtarief toezicht'!$E$52</f>
        <v>#DIV/0!</v>
      </c>
      <c r="O35" s="234" t="e">
        <f t="shared" si="27"/>
        <v>#DIV/0!</v>
      </c>
      <c r="P35" s="316">
        <f>SUMIF('8-Additionele kosten'!A:A,'2-Kosten per locatie'!A35,'8-Additionele kosten'!H:H)</f>
        <v>0</v>
      </c>
      <c r="Q35" s="316">
        <f>SUMIF('10-Glasbewassing'!A:A,'2-Kosten per locatie'!A35,'10-Glasbewassing'!H:H)</f>
        <v>0</v>
      </c>
      <c r="R35" s="316" t="e">
        <f t="shared" si="28"/>
        <v>#DIV/0!</v>
      </c>
      <c r="S35" s="316" t="e">
        <f t="shared" si="29"/>
        <v>#DIV/0!</v>
      </c>
      <c r="U35" s="507"/>
      <c r="V35" s="68"/>
      <c r="W35" s="521"/>
      <c r="X35" s="68"/>
      <c r="AF35" s="54"/>
      <c r="AG35" s="40"/>
    </row>
    <row r="36" spans="1:33" ht="15" customHeight="1">
      <c r="A36" s="313" t="str">
        <f t="shared" si="25"/>
        <v>De Horn, gymzaal, Lutjebroek</v>
      </c>
      <c r="B36" s="55" t="e">
        <f>(J18+P18)*'6-Opbouw uurtarief productie'!$E$47</f>
        <v>#DIV/0!</v>
      </c>
      <c r="C36" s="55" t="e">
        <f>(K18+Q18)*'6-Opbouw uurtarief productie'!$E$47</f>
        <v>#DIV/0!</v>
      </c>
      <c r="D36" s="520" t="e">
        <f>(L18+R18)*'6-Opbouw uurtarief productie'!$E$51</f>
        <v>#DIV/0!</v>
      </c>
      <c r="E36" s="520" t="e">
        <f>(M18+S18)*'6-Opbouw uurtarief productie'!$E$51</f>
        <v>#DIV/0!</v>
      </c>
      <c r="F36" s="520" t="e">
        <f>(N18+T18)*'6-Opbouw uurtarief productie'!$E$53</f>
        <v>#DIV/0!</v>
      </c>
      <c r="G36" s="520" t="e">
        <f>(O18+U18)*'6-Opbouw uurtarief productie'!$E$53</f>
        <v>#DIV/0!</v>
      </c>
      <c r="H36" s="56" t="e">
        <f t="shared" ref="H36:H46" si="30">SUM(B36:G36)</f>
        <v>#DIV/0!</v>
      </c>
      <c r="I36" s="56" t="e">
        <f>V18*'7-Opbouw uurtarief toezicht'!$E$46</f>
        <v>#DIV/0!</v>
      </c>
      <c r="J36" s="56" t="e">
        <f>W18*'7-Opbouw uurtarief toezicht'!$E$46</f>
        <v>#DIV/0!</v>
      </c>
      <c r="K36" s="316" t="e">
        <f>X18*'7-Opbouw uurtarief toezicht'!$E$50</f>
        <v>#DIV/0!</v>
      </c>
      <c r="L36" s="316" t="e">
        <f>Y18*'7-Opbouw uurtarief toezicht'!$E$50</f>
        <v>#DIV/0!</v>
      </c>
      <c r="M36" s="233" t="e">
        <f>Z18*'7-Opbouw uurtarief toezicht'!$E$52</f>
        <v>#DIV/0!</v>
      </c>
      <c r="N36" s="233" t="e">
        <f>AA18*'7-Opbouw uurtarief toezicht'!$E$52</f>
        <v>#DIV/0!</v>
      </c>
      <c r="O36" s="234" t="e">
        <f t="shared" ref="O36:O46" si="31">SUM(I36:N36)</f>
        <v>#DIV/0!</v>
      </c>
      <c r="P36" s="316">
        <f>SUMIF('8-Additionele kosten'!A:A,'2-Kosten per locatie'!A36,'8-Additionele kosten'!H:H)</f>
        <v>0</v>
      </c>
      <c r="Q36" s="316">
        <f>SUMIF('10-Glasbewassing'!A:A,'2-Kosten per locatie'!A36,'10-Glasbewassing'!H:H)</f>
        <v>0</v>
      </c>
      <c r="R36" s="316" t="e">
        <f t="shared" si="28"/>
        <v>#DIV/0!</v>
      </c>
      <c r="S36" s="316" t="e">
        <f t="shared" ref="S36:S46" si="32">R36/12</f>
        <v>#DIV/0!</v>
      </c>
      <c r="U36" s="507"/>
      <c r="V36" s="68"/>
      <c r="W36" s="521"/>
      <c r="X36" s="68"/>
      <c r="AF36" s="54"/>
      <c r="AG36" s="40"/>
    </row>
    <row r="37" spans="1:33" ht="15" customHeight="1">
      <c r="A37" s="313" t="str">
        <f t="shared" si="25"/>
        <v>De Rozeboom, gymzaal, Bovenkarspel</v>
      </c>
      <c r="B37" s="55" t="e">
        <f>(J19+P19)*'6-Opbouw uurtarief productie'!$E$47</f>
        <v>#DIV/0!</v>
      </c>
      <c r="C37" s="55" t="e">
        <f>(K19+Q19)*'6-Opbouw uurtarief productie'!$E$47</f>
        <v>#DIV/0!</v>
      </c>
      <c r="D37" s="520" t="e">
        <f>(L19+R19)*'6-Opbouw uurtarief productie'!$E$51</f>
        <v>#DIV/0!</v>
      </c>
      <c r="E37" s="520" t="e">
        <f>(M19+S19)*'6-Opbouw uurtarief productie'!$E$51</f>
        <v>#DIV/0!</v>
      </c>
      <c r="F37" s="520" t="e">
        <f>(N19+T19)*'6-Opbouw uurtarief productie'!$E$53</f>
        <v>#DIV/0!</v>
      </c>
      <c r="G37" s="520" t="e">
        <f>(O19+U19)*'6-Opbouw uurtarief productie'!$E$53</f>
        <v>#DIV/0!</v>
      </c>
      <c r="H37" s="56" t="e">
        <f t="shared" si="30"/>
        <v>#DIV/0!</v>
      </c>
      <c r="I37" s="56" t="e">
        <f>V19*'7-Opbouw uurtarief toezicht'!$E$46</f>
        <v>#DIV/0!</v>
      </c>
      <c r="J37" s="56" t="e">
        <f>W19*'7-Opbouw uurtarief toezicht'!$E$46</f>
        <v>#DIV/0!</v>
      </c>
      <c r="K37" s="316" t="e">
        <f>X19*'7-Opbouw uurtarief toezicht'!$E$50</f>
        <v>#DIV/0!</v>
      </c>
      <c r="L37" s="316" t="e">
        <f>Y19*'7-Opbouw uurtarief toezicht'!$E$50</f>
        <v>#DIV/0!</v>
      </c>
      <c r="M37" s="233" t="e">
        <f>Z19*'7-Opbouw uurtarief toezicht'!$E$52</f>
        <v>#DIV/0!</v>
      </c>
      <c r="N37" s="233" t="e">
        <f>AA19*'7-Opbouw uurtarief toezicht'!$E$52</f>
        <v>#DIV/0!</v>
      </c>
      <c r="O37" s="234" t="e">
        <f t="shared" si="31"/>
        <v>#DIV/0!</v>
      </c>
      <c r="P37" s="316">
        <f>SUMIF('8-Additionele kosten'!A:A,'2-Kosten per locatie'!A37,'8-Additionele kosten'!H:H)</f>
        <v>0</v>
      </c>
      <c r="Q37" s="316">
        <f>SUMIF('10-Glasbewassing'!A:A,'2-Kosten per locatie'!A37,'10-Glasbewassing'!H:H)</f>
        <v>0</v>
      </c>
      <c r="R37" s="316" t="e">
        <f t="shared" si="28"/>
        <v>#DIV/0!</v>
      </c>
      <c r="S37" s="316" t="e">
        <f t="shared" si="32"/>
        <v>#DIV/0!</v>
      </c>
      <c r="U37" s="507"/>
      <c r="V37" s="68"/>
      <c r="W37" s="521"/>
      <c r="X37" s="68"/>
      <c r="AF37" s="54"/>
      <c r="AG37" s="40"/>
    </row>
    <row r="38" spans="1:33" ht="15" customHeight="1">
      <c r="A38" s="313" t="str">
        <f t="shared" si="25"/>
        <v>De Sluis, Sporthal, Hoogkarspel</v>
      </c>
      <c r="B38" s="55" t="e">
        <f>(J20+P20)*'6-Opbouw uurtarief productie'!$E$47</f>
        <v>#DIV/0!</v>
      </c>
      <c r="C38" s="55" t="e">
        <f>(K20+Q20)*'6-Opbouw uurtarief productie'!$E$47</f>
        <v>#DIV/0!</v>
      </c>
      <c r="D38" s="520" t="e">
        <f>(L20+R20)*'6-Opbouw uurtarief productie'!$E$51</f>
        <v>#DIV/0!</v>
      </c>
      <c r="E38" s="520" t="e">
        <f>(M20+S20)*'6-Opbouw uurtarief productie'!$E$51</f>
        <v>#DIV/0!</v>
      </c>
      <c r="F38" s="520" t="e">
        <f>(N20+T20)*'6-Opbouw uurtarief productie'!$E$53</f>
        <v>#DIV/0!</v>
      </c>
      <c r="G38" s="520" t="e">
        <f>(O20+U20)*'6-Opbouw uurtarief productie'!$E$53</f>
        <v>#DIV/0!</v>
      </c>
      <c r="H38" s="56" t="e">
        <f t="shared" si="30"/>
        <v>#DIV/0!</v>
      </c>
      <c r="I38" s="56" t="e">
        <f>V20*'7-Opbouw uurtarief toezicht'!$E$46</f>
        <v>#DIV/0!</v>
      </c>
      <c r="J38" s="56" t="e">
        <f>W20*'7-Opbouw uurtarief toezicht'!$E$46</f>
        <v>#DIV/0!</v>
      </c>
      <c r="K38" s="316" t="e">
        <f>X20*'7-Opbouw uurtarief toezicht'!$E$50</f>
        <v>#DIV/0!</v>
      </c>
      <c r="L38" s="316" t="e">
        <f>Y20*'7-Opbouw uurtarief toezicht'!$E$50</f>
        <v>#DIV/0!</v>
      </c>
      <c r="M38" s="233" t="e">
        <f>Z20*'7-Opbouw uurtarief toezicht'!$E$52</f>
        <v>#DIV/0!</v>
      </c>
      <c r="N38" s="233" t="e">
        <f>AA20*'7-Opbouw uurtarief toezicht'!$E$52</f>
        <v>#DIV/0!</v>
      </c>
      <c r="O38" s="234" t="e">
        <f t="shared" si="31"/>
        <v>#DIV/0!</v>
      </c>
      <c r="P38" s="316">
        <f>SUMIF('8-Additionele kosten'!A:A,'2-Kosten per locatie'!A38,'8-Additionele kosten'!H:H)</f>
        <v>0</v>
      </c>
      <c r="Q38" s="316">
        <f>SUMIF('10-Glasbewassing'!A:A,'2-Kosten per locatie'!A38,'10-Glasbewassing'!H:H)</f>
        <v>0</v>
      </c>
      <c r="R38" s="316" t="e">
        <f t="shared" si="28"/>
        <v>#DIV/0!</v>
      </c>
      <c r="S38" s="316" t="e">
        <f t="shared" si="32"/>
        <v>#DIV/0!</v>
      </c>
      <c r="U38" s="507"/>
      <c r="V38" s="68"/>
      <c r="W38" s="522"/>
      <c r="X38" s="68"/>
      <c r="Y38" s="519"/>
      <c r="AF38" s="54"/>
      <c r="AG38" s="40"/>
    </row>
    <row r="39" spans="1:33" ht="15" customHeight="1">
      <c r="A39" s="313" t="str">
        <f t="shared" si="25"/>
        <v>De Woud, gymzaal, Grootebroek</v>
      </c>
      <c r="B39" s="55" t="e">
        <f>(J21+P21)*'6-Opbouw uurtarief productie'!$E$47</f>
        <v>#DIV/0!</v>
      </c>
      <c r="C39" s="55" t="e">
        <f>(K21+Q21)*'6-Opbouw uurtarief productie'!$E$47</f>
        <v>#DIV/0!</v>
      </c>
      <c r="D39" s="520" t="e">
        <f>(L21+R21)*'6-Opbouw uurtarief productie'!$E$51</f>
        <v>#DIV/0!</v>
      </c>
      <c r="E39" s="520" t="e">
        <f>(M21+S21)*'6-Opbouw uurtarief productie'!$E$51</f>
        <v>#DIV/0!</v>
      </c>
      <c r="F39" s="520" t="e">
        <f>(N21+T21)*'6-Opbouw uurtarief productie'!$E$53</f>
        <v>#DIV/0!</v>
      </c>
      <c r="G39" s="520" t="e">
        <f>(O21+U21)*'6-Opbouw uurtarief productie'!$E$53</f>
        <v>#DIV/0!</v>
      </c>
      <c r="H39" s="56" t="e">
        <f t="shared" si="30"/>
        <v>#DIV/0!</v>
      </c>
      <c r="I39" s="56" t="e">
        <f>V21*'7-Opbouw uurtarief toezicht'!$E$46</f>
        <v>#DIV/0!</v>
      </c>
      <c r="J39" s="56" t="e">
        <f>W21*'7-Opbouw uurtarief toezicht'!$E$46</f>
        <v>#DIV/0!</v>
      </c>
      <c r="K39" s="316" t="e">
        <f>X21*'7-Opbouw uurtarief toezicht'!$E$50</f>
        <v>#DIV/0!</v>
      </c>
      <c r="L39" s="316" t="e">
        <f>Y21*'7-Opbouw uurtarief toezicht'!$E$50</f>
        <v>#DIV/0!</v>
      </c>
      <c r="M39" s="233" t="e">
        <f>Z21*'7-Opbouw uurtarief toezicht'!$E$52</f>
        <v>#DIV/0!</v>
      </c>
      <c r="N39" s="233" t="e">
        <f>AA21*'7-Opbouw uurtarief toezicht'!$E$52</f>
        <v>#DIV/0!</v>
      </c>
      <c r="O39" s="234" t="e">
        <f t="shared" si="31"/>
        <v>#DIV/0!</v>
      </c>
      <c r="P39" s="316">
        <f>SUMIF('8-Additionele kosten'!A:A,'2-Kosten per locatie'!A39,'8-Additionele kosten'!H:H)</f>
        <v>0</v>
      </c>
      <c r="Q39" s="316">
        <f>SUMIF('10-Glasbewassing'!A:A,'2-Kosten per locatie'!A39,'10-Glasbewassing'!H:H)</f>
        <v>0</v>
      </c>
      <c r="R39" s="316" t="e">
        <f t="shared" si="28"/>
        <v>#DIV/0!</v>
      </c>
      <c r="S39" s="316" t="e">
        <f t="shared" si="32"/>
        <v>#DIV/0!</v>
      </c>
      <c r="U39" s="507"/>
      <c r="V39" s="68"/>
      <c r="W39" s="523"/>
      <c r="X39" s="68"/>
      <c r="Y39" s="519"/>
      <c r="AF39" s="54"/>
      <c r="AG39" s="40"/>
    </row>
    <row r="40" spans="1:33" ht="15" customHeight="1">
      <c r="A40" s="313" t="str">
        <f t="shared" si="25"/>
        <v>Om de Noord, gymzaal, Hoogkarspel</v>
      </c>
      <c r="B40" s="55" t="e">
        <f>(J22+P22)*'6-Opbouw uurtarief productie'!$E$47</f>
        <v>#DIV/0!</v>
      </c>
      <c r="C40" s="55" t="e">
        <f>(K22+Q22)*'6-Opbouw uurtarief productie'!$E$47</f>
        <v>#DIV/0!</v>
      </c>
      <c r="D40" s="520" t="e">
        <f>(L22+R22)*'6-Opbouw uurtarief productie'!$E$51</f>
        <v>#DIV/0!</v>
      </c>
      <c r="E40" s="520" t="e">
        <f>(M22+S22)*'6-Opbouw uurtarief productie'!$E$51</f>
        <v>#DIV/0!</v>
      </c>
      <c r="F40" s="520" t="e">
        <f>(N22+T22)*'6-Opbouw uurtarief productie'!$E$53</f>
        <v>#DIV/0!</v>
      </c>
      <c r="G40" s="520" t="e">
        <f>(O22+U22)*'6-Opbouw uurtarief productie'!$E$53</f>
        <v>#DIV/0!</v>
      </c>
      <c r="H40" s="56" t="e">
        <f t="shared" si="30"/>
        <v>#DIV/0!</v>
      </c>
      <c r="I40" s="56" t="e">
        <f>V22*'7-Opbouw uurtarief toezicht'!$E$46</f>
        <v>#DIV/0!</v>
      </c>
      <c r="J40" s="56" t="e">
        <f>W22*'7-Opbouw uurtarief toezicht'!$E$46</f>
        <v>#DIV/0!</v>
      </c>
      <c r="K40" s="316" t="e">
        <f>X22*'7-Opbouw uurtarief toezicht'!$E$50</f>
        <v>#DIV/0!</v>
      </c>
      <c r="L40" s="316" t="e">
        <f>Y22*'7-Opbouw uurtarief toezicht'!$E$50</f>
        <v>#DIV/0!</v>
      </c>
      <c r="M40" s="233" t="e">
        <f>Z22*'7-Opbouw uurtarief toezicht'!$E$52</f>
        <v>#DIV/0!</v>
      </c>
      <c r="N40" s="233" t="e">
        <f>AA22*'7-Opbouw uurtarief toezicht'!$E$52</f>
        <v>#DIV/0!</v>
      </c>
      <c r="O40" s="234" t="e">
        <f t="shared" si="31"/>
        <v>#DIV/0!</v>
      </c>
      <c r="P40" s="316">
        <f>SUMIF('8-Additionele kosten'!A:A,'2-Kosten per locatie'!A40,'8-Additionele kosten'!H:H)</f>
        <v>0</v>
      </c>
      <c r="Q40" s="316">
        <f>SUMIF('10-Glasbewassing'!A:A,'2-Kosten per locatie'!A40,'10-Glasbewassing'!H:H)</f>
        <v>0</v>
      </c>
      <c r="R40" s="316" t="e">
        <f t="shared" si="28"/>
        <v>#DIV/0!</v>
      </c>
      <c r="S40" s="316" t="e">
        <f t="shared" si="32"/>
        <v>#DIV/0!</v>
      </c>
      <c r="U40" s="507"/>
      <c r="V40" s="68"/>
      <c r="W40" s="523"/>
      <c r="X40" s="68"/>
      <c r="Y40" s="519"/>
      <c r="AB40" s="54"/>
      <c r="AC40" s="54"/>
      <c r="AD40" s="54"/>
      <c r="AE40" s="54"/>
      <c r="AF40" s="54"/>
      <c r="AG40" s="40"/>
    </row>
    <row r="41" spans="1:33" ht="15" customHeight="1">
      <c r="A41" s="313" t="str">
        <f t="shared" si="25"/>
        <v>Oostersluis, gymzaal, Grootebroek</v>
      </c>
      <c r="B41" s="55" t="e">
        <f>(J23+P23)*'6-Opbouw uurtarief productie'!$E$47</f>
        <v>#DIV/0!</v>
      </c>
      <c r="C41" s="55" t="e">
        <f>(K23+Q23)*'6-Opbouw uurtarief productie'!$E$47</f>
        <v>#DIV/0!</v>
      </c>
      <c r="D41" s="520" t="e">
        <f>(L23+R23)*'6-Opbouw uurtarief productie'!$E$51</f>
        <v>#DIV/0!</v>
      </c>
      <c r="E41" s="520" t="e">
        <f>(M23+S23)*'6-Opbouw uurtarief productie'!$E$51</f>
        <v>#DIV/0!</v>
      </c>
      <c r="F41" s="520" t="e">
        <f>(N23+T23)*'6-Opbouw uurtarief productie'!$E$53</f>
        <v>#DIV/0!</v>
      </c>
      <c r="G41" s="520" t="e">
        <f>(O23+U23)*'6-Opbouw uurtarief productie'!$E$53</f>
        <v>#DIV/0!</v>
      </c>
      <c r="H41" s="56" t="e">
        <f t="shared" si="30"/>
        <v>#DIV/0!</v>
      </c>
      <c r="I41" s="56" t="e">
        <f>V23*'7-Opbouw uurtarief toezicht'!$E$46</f>
        <v>#DIV/0!</v>
      </c>
      <c r="J41" s="56" t="e">
        <f>W23*'7-Opbouw uurtarief toezicht'!$E$46</f>
        <v>#DIV/0!</v>
      </c>
      <c r="K41" s="316" t="e">
        <f>X23*'7-Opbouw uurtarief toezicht'!$E$50</f>
        <v>#DIV/0!</v>
      </c>
      <c r="L41" s="316" t="e">
        <f>Y23*'7-Opbouw uurtarief toezicht'!$E$50</f>
        <v>#DIV/0!</v>
      </c>
      <c r="M41" s="233" t="e">
        <f>Z23*'7-Opbouw uurtarief toezicht'!$E$52</f>
        <v>#DIV/0!</v>
      </c>
      <c r="N41" s="233" t="e">
        <f>AA23*'7-Opbouw uurtarief toezicht'!$E$52</f>
        <v>#DIV/0!</v>
      </c>
      <c r="O41" s="234" t="e">
        <f t="shared" si="31"/>
        <v>#DIV/0!</v>
      </c>
      <c r="P41" s="316">
        <f>SUMIF('8-Additionele kosten'!A:A,'2-Kosten per locatie'!A41,'8-Additionele kosten'!H:H)</f>
        <v>0</v>
      </c>
      <c r="Q41" s="316">
        <f>SUMIF('10-Glasbewassing'!A:A,'2-Kosten per locatie'!A41,'10-Glasbewassing'!H:H)</f>
        <v>0</v>
      </c>
      <c r="R41" s="316" t="e">
        <f t="shared" si="28"/>
        <v>#DIV/0!</v>
      </c>
      <c r="S41" s="316" t="e">
        <f t="shared" si="32"/>
        <v>#DIV/0!</v>
      </c>
      <c r="U41" s="507"/>
      <c r="V41" s="68"/>
      <c r="W41" s="523"/>
      <c r="X41" s="68"/>
      <c r="Y41" s="519"/>
      <c r="AB41" s="54"/>
      <c r="AC41" s="54"/>
      <c r="AD41" s="54"/>
      <c r="AE41" s="54"/>
      <c r="AF41" s="54"/>
      <c r="AG41" s="40"/>
    </row>
    <row r="42" spans="1:33" ht="15" customHeight="1">
      <c r="A42" s="313" t="str">
        <f t="shared" si="25"/>
        <v>SAV (Atletiek) , Grootebroek</v>
      </c>
      <c r="B42" s="55" t="e">
        <f>(J24+P24)*'6-Opbouw uurtarief productie'!$E$47</f>
        <v>#DIV/0!</v>
      </c>
      <c r="C42" s="55" t="e">
        <f>(K24+Q24)*'6-Opbouw uurtarief productie'!$E$47</f>
        <v>#DIV/0!</v>
      </c>
      <c r="D42" s="520" t="e">
        <f>(L24+R24)*'6-Opbouw uurtarief productie'!$E$51</f>
        <v>#DIV/0!</v>
      </c>
      <c r="E42" s="520" t="e">
        <f>(M24+S24)*'6-Opbouw uurtarief productie'!$E$51</f>
        <v>#DIV/0!</v>
      </c>
      <c r="F42" s="520" t="e">
        <f>(N24+T24)*'6-Opbouw uurtarief productie'!$E$53</f>
        <v>#DIV/0!</v>
      </c>
      <c r="G42" s="520" t="e">
        <f>(O24+U24)*'6-Opbouw uurtarief productie'!$E$53</f>
        <v>#DIV/0!</v>
      </c>
      <c r="H42" s="56" t="e">
        <f t="shared" si="30"/>
        <v>#DIV/0!</v>
      </c>
      <c r="I42" s="56" t="e">
        <f>V24*'7-Opbouw uurtarief toezicht'!$E$46</f>
        <v>#DIV/0!</v>
      </c>
      <c r="J42" s="56" t="e">
        <f>W24*'7-Opbouw uurtarief toezicht'!$E$46</f>
        <v>#DIV/0!</v>
      </c>
      <c r="K42" s="316" t="e">
        <f>X24*'7-Opbouw uurtarief toezicht'!$E$50</f>
        <v>#DIV/0!</v>
      </c>
      <c r="L42" s="316" t="e">
        <f>Y24*'7-Opbouw uurtarief toezicht'!$E$50</f>
        <v>#DIV/0!</v>
      </c>
      <c r="M42" s="233" t="e">
        <f>Z24*'7-Opbouw uurtarief toezicht'!$E$52</f>
        <v>#DIV/0!</v>
      </c>
      <c r="N42" s="233" t="e">
        <f>AA24*'7-Opbouw uurtarief toezicht'!$E$52</f>
        <v>#DIV/0!</v>
      </c>
      <c r="O42" s="234" t="e">
        <f t="shared" si="31"/>
        <v>#DIV/0!</v>
      </c>
      <c r="P42" s="316">
        <f>SUMIF('8-Additionele kosten'!A:A,'2-Kosten per locatie'!A42,'8-Additionele kosten'!H:H)</f>
        <v>0</v>
      </c>
      <c r="Q42" s="316">
        <f>SUMIF('10-Glasbewassing'!A:A,'2-Kosten per locatie'!A42,'10-Glasbewassing'!H:H)</f>
        <v>0</v>
      </c>
      <c r="R42" s="316" t="e">
        <f t="shared" si="28"/>
        <v>#DIV/0!</v>
      </c>
      <c r="S42" s="316" t="e">
        <f t="shared" si="32"/>
        <v>#DIV/0!</v>
      </c>
      <c r="U42" s="507"/>
      <c r="V42" s="68"/>
      <c r="W42" s="523"/>
      <c r="X42" s="526"/>
      <c r="Y42" s="519"/>
      <c r="AB42" s="54"/>
      <c r="AC42" s="54"/>
      <c r="AD42" s="54"/>
      <c r="AE42" s="54"/>
      <c r="AF42" s="54"/>
      <c r="AG42" s="40"/>
    </row>
    <row r="43" spans="1:33" ht="15" customHeight="1">
      <c r="A43" s="313" t="str">
        <f t="shared" si="25"/>
        <v>Sporthal De Kloet, Grootebroek</v>
      </c>
      <c r="B43" s="55" t="e">
        <f>(J25+P25)*'6-Opbouw uurtarief productie'!$E$47</f>
        <v>#DIV/0!</v>
      </c>
      <c r="C43" s="55" t="e">
        <f>(K25+Q25)*'6-Opbouw uurtarief productie'!$E$47</f>
        <v>#DIV/0!</v>
      </c>
      <c r="D43" s="520" t="e">
        <f>(L25+R25)*'6-Opbouw uurtarief productie'!$E$51</f>
        <v>#DIV/0!</v>
      </c>
      <c r="E43" s="520" t="e">
        <f>(M25+S25)*'6-Opbouw uurtarief productie'!$E$51</f>
        <v>#DIV/0!</v>
      </c>
      <c r="F43" s="520" t="e">
        <f>(N25+T25)*'6-Opbouw uurtarief productie'!$E$53</f>
        <v>#DIV/0!</v>
      </c>
      <c r="G43" s="520" t="e">
        <f>(O25+U25)*'6-Opbouw uurtarief productie'!$E$53</f>
        <v>#DIV/0!</v>
      </c>
      <c r="H43" s="56" t="e">
        <f t="shared" si="30"/>
        <v>#DIV/0!</v>
      </c>
      <c r="I43" s="56" t="e">
        <f>V25*'7-Opbouw uurtarief toezicht'!$E$46</f>
        <v>#DIV/0!</v>
      </c>
      <c r="J43" s="56" t="e">
        <f>W25*'7-Opbouw uurtarief toezicht'!$E$46</f>
        <v>#DIV/0!</v>
      </c>
      <c r="K43" s="316" t="e">
        <f>X25*'7-Opbouw uurtarief toezicht'!$E$50</f>
        <v>#DIV/0!</v>
      </c>
      <c r="L43" s="316" t="e">
        <f>Y25*'7-Opbouw uurtarief toezicht'!$E$50</f>
        <v>#DIV/0!</v>
      </c>
      <c r="M43" s="233" t="e">
        <f>Z25*'7-Opbouw uurtarief toezicht'!$E$52</f>
        <v>#DIV/0!</v>
      </c>
      <c r="N43" s="233" t="e">
        <f>AA25*'7-Opbouw uurtarief toezicht'!$E$52</f>
        <v>#DIV/0!</v>
      </c>
      <c r="O43" s="234" t="e">
        <f t="shared" si="31"/>
        <v>#DIV/0!</v>
      </c>
      <c r="P43" s="316">
        <f>SUMIF('8-Additionele kosten'!A:A,'2-Kosten per locatie'!A43,'8-Additionele kosten'!H:H)</f>
        <v>0</v>
      </c>
      <c r="Q43" s="316">
        <f>SUMIF('10-Glasbewassing'!A:A,'2-Kosten per locatie'!A43,'10-Glasbewassing'!H:H)</f>
        <v>0</v>
      </c>
      <c r="R43" s="316" t="e">
        <f t="shared" si="28"/>
        <v>#DIV/0!</v>
      </c>
      <c r="S43" s="527" t="e">
        <f t="shared" si="32"/>
        <v>#DIV/0!</v>
      </c>
      <c r="T43" s="528"/>
      <c r="U43" s="507"/>
      <c r="V43" s="68"/>
      <c r="W43" s="522"/>
      <c r="X43" s="525"/>
      <c r="Y43" s="519"/>
      <c r="AB43" s="54"/>
      <c r="AC43" s="54"/>
      <c r="AD43" s="54"/>
      <c r="AE43" s="54"/>
      <c r="AF43" s="54"/>
      <c r="AG43" s="40"/>
    </row>
    <row r="44" spans="1:33" ht="15" customHeight="1">
      <c r="A44" s="313" t="str">
        <f t="shared" si="25"/>
        <v>VV De Zouaven, Grootebroek</v>
      </c>
      <c r="B44" s="55" t="e">
        <f>(J26+P26)*'6-Opbouw uurtarief productie'!$E$47</f>
        <v>#DIV/0!</v>
      </c>
      <c r="C44" s="55" t="e">
        <f>(K26+Q26)*'6-Opbouw uurtarief productie'!$E$47</f>
        <v>#DIV/0!</v>
      </c>
      <c r="D44" s="520" t="e">
        <f>(L26+R26)*'6-Opbouw uurtarief productie'!$E$51</f>
        <v>#DIV/0!</v>
      </c>
      <c r="E44" s="520" t="e">
        <f>(M26+S26)*'6-Opbouw uurtarief productie'!$E$51</f>
        <v>#DIV/0!</v>
      </c>
      <c r="F44" s="520" t="e">
        <f>(N26+T26)*'6-Opbouw uurtarief productie'!$E$53</f>
        <v>#DIV/0!</v>
      </c>
      <c r="G44" s="520" t="e">
        <f>(O26+U26)*'6-Opbouw uurtarief productie'!$E$53</f>
        <v>#DIV/0!</v>
      </c>
      <c r="H44" s="56" t="e">
        <f t="shared" si="30"/>
        <v>#DIV/0!</v>
      </c>
      <c r="I44" s="56" t="e">
        <f>V26*'7-Opbouw uurtarief toezicht'!$E$46</f>
        <v>#DIV/0!</v>
      </c>
      <c r="J44" s="56" t="e">
        <f>W26*'7-Opbouw uurtarief toezicht'!$E$46</f>
        <v>#DIV/0!</v>
      </c>
      <c r="K44" s="316" t="e">
        <f>X26*'7-Opbouw uurtarief toezicht'!$E$50</f>
        <v>#DIV/0!</v>
      </c>
      <c r="L44" s="316" t="e">
        <f>Y26*'7-Opbouw uurtarief toezicht'!$E$50</f>
        <v>#DIV/0!</v>
      </c>
      <c r="M44" s="233" t="e">
        <f>Z26*'7-Opbouw uurtarief toezicht'!$E$52</f>
        <v>#DIV/0!</v>
      </c>
      <c r="N44" s="233" t="e">
        <f>AA26*'7-Opbouw uurtarief toezicht'!$E$52</f>
        <v>#DIV/0!</v>
      </c>
      <c r="O44" s="234" t="e">
        <f t="shared" si="31"/>
        <v>#DIV/0!</v>
      </c>
      <c r="P44" s="316">
        <f>SUMIF('8-Additionele kosten'!A:A,'2-Kosten per locatie'!A44,'8-Additionele kosten'!H:H)</f>
        <v>0</v>
      </c>
      <c r="Q44" s="316">
        <f>SUMIF('10-Glasbewassing'!A:A,'2-Kosten per locatie'!A44,'10-Glasbewassing'!H:H)</f>
        <v>0</v>
      </c>
      <c r="R44" s="316" t="e">
        <f t="shared" si="28"/>
        <v>#DIV/0!</v>
      </c>
      <c r="S44" s="527" t="e">
        <f t="shared" si="32"/>
        <v>#DIV/0!</v>
      </c>
      <c r="T44" s="528"/>
      <c r="U44" s="507"/>
      <c r="V44" s="68"/>
      <c r="W44" s="523"/>
      <c r="X44" s="526"/>
      <c r="Y44" s="519"/>
      <c r="AB44" s="54"/>
      <c r="AC44" s="54"/>
      <c r="AD44" s="54"/>
      <c r="AE44" s="54"/>
      <c r="AF44" s="54"/>
      <c r="AG44" s="40"/>
    </row>
    <row r="45" spans="1:33" ht="15" customHeight="1">
      <c r="A45" s="313" t="str">
        <f t="shared" si="25"/>
        <v>Wiekslag, gymzaal, Wijdenes</v>
      </c>
      <c r="B45" s="55" t="e">
        <f>(J27+P27)*'6-Opbouw uurtarief productie'!$E$47</f>
        <v>#DIV/0!</v>
      </c>
      <c r="C45" s="55" t="e">
        <f>(K27+Q27)*'6-Opbouw uurtarief productie'!$E$47</f>
        <v>#DIV/0!</v>
      </c>
      <c r="D45" s="520" t="e">
        <f>(L27+R27)*'6-Opbouw uurtarief productie'!$E$51</f>
        <v>#DIV/0!</v>
      </c>
      <c r="E45" s="520" t="e">
        <f>(M27+S27)*'6-Opbouw uurtarief productie'!$E$51</f>
        <v>#DIV/0!</v>
      </c>
      <c r="F45" s="520" t="e">
        <f>(N27+T27)*'6-Opbouw uurtarief productie'!$E$53</f>
        <v>#DIV/0!</v>
      </c>
      <c r="G45" s="520" t="e">
        <f>(O27+U27)*'6-Opbouw uurtarief productie'!$E$53</f>
        <v>#DIV/0!</v>
      </c>
      <c r="H45" s="56" t="e">
        <f t="shared" si="30"/>
        <v>#DIV/0!</v>
      </c>
      <c r="I45" s="56" t="e">
        <f>V27*'7-Opbouw uurtarief toezicht'!$E$46</f>
        <v>#DIV/0!</v>
      </c>
      <c r="J45" s="56" t="e">
        <f>W27*'7-Opbouw uurtarief toezicht'!$E$46</f>
        <v>#DIV/0!</v>
      </c>
      <c r="K45" s="316" t="e">
        <f>X27*'7-Opbouw uurtarief toezicht'!$E$50</f>
        <v>#DIV/0!</v>
      </c>
      <c r="L45" s="316" t="e">
        <f>Y27*'7-Opbouw uurtarief toezicht'!$E$50</f>
        <v>#DIV/0!</v>
      </c>
      <c r="M45" s="233" t="e">
        <f>Z27*'7-Opbouw uurtarief toezicht'!$E$52</f>
        <v>#DIV/0!</v>
      </c>
      <c r="N45" s="233" t="e">
        <f>AA27*'7-Opbouw uurtarief toezicht'!$E$52</f>
        <v>#DIV/0!</v>
      </c>
      <c r="O45" s="234" t="e">
        <f t="shared" si="31"/>
        <v>#DIV/0!</v>
      </c>
      <c r="P45" s="316">
        <f>SUMIF('8-Additionele kosten'!A:A,'2-Kosten per locatie'!A45,'8-Additionele kosten'!H:H)</f>
        <v>0</v>
      </c>
      <c r="Q45" s="316">
        <f>SUMIF('10-Glasbewassing'!A:A,'2-Kosten per locatie'!A45,'10-Glasbewassing'!H:H)</f>
        <v>0</v>
      </c>
      <c r="R45" s="316" t="e">
        <f t="shared" si="28"/>
        <v>#DIV/0!</v>
      </c>
      <c r="S45" s="527" t="e">
        <f t="shared" si="32"/>
        <v>#DIV/0!</v>
      </c>
      <c r="T45" s="528"/>
      <c r="U45" s="507"/>
      <c r="V45" s="68"/>
      <c r="W45" s="521"/>
      <c r="X45" s="68"/>
      <c r="AB45" s="54"/>
      <c r="AC45" s="54"/>
      <c r="AD45" s="54"/>
      <c r="AE45" s="54"/>
      <c r="AF45" s="54"/>
      <c r="AG45" s="40"/>
    </row>
    <row r="46" spans="1:33" ht="15" customHeight="1">
      <c r="A46" s="313" t="str">
        <f t="shared" si="25"/>
        <v>Zwembad De Kloet, Grootebroek</v>
      </c>
      <c r="B46" s="55" t="e">
        <f>(J28+P28)*'6-Opbouw uurtarief productie'!$E$47</f>
        <v>#DIV/0!</v>
      </c>
      <c r="C46" s="55" t="e">
        <f>(K28+Q28)*'6-Opbouw uurtarief productie'!$E$47</f>
        <v>#DIV/0!</v>
      </c>
      <c r="D46" s="520" t="e">
        <f>(L28+R28)*'6-Opbouw uurtarief productie'!$E$51</f>
        <v>#DIV/0!</v>
      </c>
      <c r="E46" s="520" t="e">
        <f>(M28+S28)*'6-Opbouw uurtarief productie'!$E$51</f>
        <v>#DIV/0!</v>
      </c>
      <c r="F46" s="520" t="e">
        <f>(N28+T28)*'6-Opbouw uurtarief productie'!$E$53</f>
        <v>#DIV/0!</v>
      </c>
      <c r="G46" s="520" t="e">
        <f>(O28+U28)*'6-Opbouw uurtarief productie'!$E$53</f>
        <v>#DIV/0!</v>
      </c>
      <c r="H46" s="56" t="e">
        <f t="shared" si="30"/>
        <v>#DIV/0!</v>
      </c>
      <c r="I46" s="56" t="e">
        <f>V28*'7-Opbouw uurtarief toezicht'!$E$46</f>
        <v>#DIV/0!</v>
      </c>
      <c r="J46" s="56" t="e">
        <f>W28*'7-Opbouw uurtarief toezicht'!$E$46</f>
        <v>#DIV/0!</v>
      </c>
      <c r="K46" s="316" t="e">
        <f>X28*'7-Opbouw uurtarief toezicht'!$E$50</f>
        <v>#DIV/0!</v>
      </c>
      <c r="L46" s="316" t="e">
        <f>Y28*'7-Opbouw uurtarief toezicht'!$E$50</f>
        <v>#DIV/0!</v>
      </c>
      <c r="M46" s="233" t="e">
        <f>Z28*'7-Opbouw uurtarief toezicht'!$E$52</f>
        <v>#DIV/0!</v>
      </c>
      <c r="N46" s="233" t="e">
        <f>AA28*'7-Opbouw uurtarief toezicht'!$E$52</f>
        <v>#DIV/0!</v>
      </c>
      <c r="O46" s="234" t="e">
        <f t="shared" si="31"/>
        <v>#DIV/0!</v>
      </c>
      <c r="P46" s="316">
        <f>SUMIF('8-Additionele kosten'!A:A,'2-Kosten per locatie'!A46,'8-Additionele kosten'!H:H)</f>
        <v>0</v>
      </c>
      <c r="Q46" s="316">
        <f>SUMIF('10-Glasbewassing'!A:A,'2-Kosten per locatie'!A46,'10-Glasbewassing'!H:H)</f>
        <v>0</v>
      </c>
      <c r="R46" s="316" t="e">
        <f t="shared" si="28"/>
        <v>#DIV/0!</v>
      </c>
      <c r="S46" s="527" t="e">
        <f t="shared" si="32"/>
        <v>#DIV/0!</v>
      </c>
      <c r="T46" s="528"/>
      <c r="U46" s="507"/>
      <c r="V46" s="68"/>
      <c r="W46" s="521"/>
      <c r="X46" s="68"/>
      <c r="AB46" s="54"/>
      <c r="AC46" s="54"/>
      <c r="AD46" s="54"/>
      <c r="AE46" s="54"/>
      <c r="AF46" s="54"/>
      <c r="AG46" s="40"/>
    </row>
    <row r="47" spans="1:33" ht="15" customHeight="1">
      <c r="A47" s="313" t="str">
        <f t="shared" si="25"/>
        <v>Algemeen</v>
      </c>
      <c r="B47" s="55" t="e">
        <f>(J29+P29)*'6-Opbouw uurtarief productie'!$E$47</f>
        <v>#DIV/0!</v>
      </c>
      <c r="C47" s="55" t="e">
        <f>(K29+Q29)*'6-Opbouw uurtarief productie'!$E$47</f>
        <v>#DIV/0!</v>
      </c>
      <c r="D47" s="520" t="e">
        <f>(L29+R29)*'6-Opbouw uurtarief productie'!$E$51</f>
        <v>#DIV/0!</v>
      </c>
      <c r="E47" s="520" t="e">
        <f>(M29+S29)*'6-Opbouw uurtarief productie'!$E$51</f>
        <v>#DIV/0!</v>
      </c>
      <c r="F47" s="520" t="e">
        <f>(N29+T29)*'6-Opbouw uurtarief productie'!$E$53</f>
        <v>#DIV/0!</v>
      </c>
      <c r="G47" s="520" t="e">
        <f>(O29+U29)*'6-Opbouw uurtarief productie'!$E$53</f>
        <v>#DIV/0!</v>
      </c>
      <c r="H47" s="56" t="e">
        <f t="shared" ref="H47" si="33">SUM(B47:G47)</f>
        <v>#DIV/0!</v>
      </c>
      <c r="I47" s="56" t="e">
        <f>V29*'7-Opbouw uurtarief toezicht'!$E$46</f>
        <v>#DIV/0!</v>
      </c>
      <c r="J47" s="56" t="e">
        <f>W29*'7-Opbouw uurtarief toezicht'!$E$46</f>
        <v>#DIV/0!</v>
      </c>
      <c r="K47" s="316" t="e">
        <f>X29*'7-Opbouw uurtarief toezicht'!$E$50</f>
        <v>#DIV/0!</v>
      </c>
      <c r="L47" s="316" t="e">
        <f>Y29*'7-Opbouw uurtarief toezicht'!$E$50</f>
        <v>#DIV/0!</v>
      </c>
      <c r="M47" s="233" t="e">
        <f>Z29*'7-Opbouw uurtarief toezicht'!$E$52</f>
        <v>#DIV/0!</v>
      </c>
      <c r="N47" s="233" t="e">
        <f>AA29*'7-Opbouw uurtarief toezicht'!$E$52</f>
        <v>#DIV/0!</v>
      </c>
      <c r="O47" s="234" t="e">
        <f t="shared" ref="O47" si="34">SUM(I47:N47)</f>
        <v>#DIV/0!</v>
      </c>
      <c r="P47" s="316">
        <f>SUMIF('8-Additionele kosten'!A:A,'2-Kosten per locatie'!A47,'8-Additionele kosten'!H:H)</f>
        <v>0</v>
      </c>
      <c r="Q47" s="316">
        <f>SUMIF('10-Glasbewassing'!A:A,'2-Kosten per locatie'!A47,'10-Glasbewassing'!H:H)</f>
        <v>0</v>
      </c>
      <c r="R47" s="316" t="e">
        <f t="shared" ref="R47" si="35">H47+O47+P47+Q47</f>
        <v>#DIV/0!</v>
      </c>
      <c r="S47" s="316" t="e">
        <f t="shared" ref="S47" si="36">R47/12</f>
        <v>#DIV/0!</v>
      </c>
      <c r="U47" s="507"/>
      <c r="V47" s="68"/>
      <c r="W47" s="521"/>
      <c r="X47" s="68"/>
      <c r="AB47" s="54"/>
      <c r="AC47" s="54"/>
      <c r="AD47" s="54"/>
      <c r="AE47" s="54"/>
      <c r="AF47" s="54"/>
      <c r="AG47" s="40"/>
    </row>
    <row r="48" spans="1:33" s="57" customFormat="1" ht="15" customHeight="1">
      <c r="A48" s="315" t="s">
        <v>50</v>
      </c>
      <c r="B48" s="317" t="e">
        <f>SUM(B33:B46)</f>
        <v>#DIV/0!</v>
      </c>
      <c r="C48" s="317" t="e">
        <f>SUM(C33:C46)</f>
        <v>#DIV/0!</v>
      </c>
      <c r="D48" s="500" t="e">
        <f>(L30+R30)*'6-Opbouw uurtarief productie'!$E$51</f>
        <v>#DIV/0!</v>
      </c>
      <c r="E48" s="317" t="e">
        <f t="shared" ref="E48:O48" si="37">SUM(E33:E46)</f>
        <v>#DIV/0!</v>
      </c>
      <c r="F48" s="317" t="e">
        <f t="shared" si="37"/>
        <v>#DIV/0!</v>
      </c>
      <c r="G48" s="317" t="e">
        <f t="shared" si="37"/>
        <v>#DIV/0!</v>
      </c>
      <c r="H48" s="317" t="e">
        <f t="shared" si="37"/>
        <v>#DIV/0!</v>
      </c>
      <c r="I48" s="317" t="e">
        <f t="shared" si="37"/>
        <v>#DIV/0!</v>
      </c>
      <c r="J48" s="317" t="e">
        <f t="shared" si="37"/>
        <v>#DIV/0!</v>
      </c>
      <c r="K48" s="318" t="e">
        <f t="shared" si="37"/>
        <v>#DIV/0!</v>
      </c>
      <c r="L48" s="318" t="e">
        <f t="shared" si="37"/>
        <v>#DIV/0!</v>
      </c>
      <c r="M48" s="318" t="e">
        <f t="shared" si="37"/>
        <v>#DIV/0!</v>
      </c>
      <c r="N48" s="318" t="e">
        <f t="shared" si="37"/>
        <v>#DIV/0!</v>
      </c>
      <c r="O48" s="318" t="e">
        <f t="shared" si="37"/>
        <v>#DIV/0!</v>
      </c>
      <c r="P48" s="318">
        <f>SUM(P33:P47)</f>
        <v>0</v>
      </c>
      <c r="Q48" s="318">
        <f>SUM(Q33:Q46)</f>
        <v>0</v>
      </c>
      <c r="R48" s="318" t="e">
        <f>SUM(R33:R46)</f>
        <v>#DIV/0!</v>
      </c>
      <c r="S48" s="318" t="e">
        <f>SUM(S33:S46)</f>
        <v>#DIV/0!</v>
      </c>
      <c r="U48" s="507"/>
      <c r="V48" s="68"/>
      <c r="W48" s="524"/>
      <c r="X48" s="524"/>
      <c r="AB48" s="54"/>
      <c r="AC48" s="54"/>
      <c r="AD48" s="54"/>
      <c r="AE48" s="54"/>
      <c r="AF48" s="54"/>
    </row>
    <row r="49" spans="2:33" ht="14.1" customHeight="1">
      <c r="AC49" s="54"/>
      <c r="AD49" s="54"/>
      <c r="AE49" s="54"/>
      <c r="AF49" s="54"/>
      <c r="AG49" s="54"/>
    </row>
    <row r="50" spans="2:33" ht="14.1" customHeight="1">
      <c r="B50" s="501"/>
    </row>
    <row r="51" spans="2:33" ht="14.1" customHeight="1">
      <c r="B51" s="501"/>
    </row>
  </sheetData>
  <mergeCells count="3">
    <mergeCell ref="P13:U13"/>
    <mergeCell ref="J13:O13"/>
    <mergeCell ref="V13:AA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38"/>
  <sheetViews>
    <sheetView showGridLines="0" zoomScale="85" zoomScaleNormal="85" workbookViewId="0">
      <pane ySplit="9" topLeftCell="A10" activePane="bottomLeft" state="frozen"/>
      <selection activeCell="B1" sqref="B1"/>
      <selection pane="bottomLeft" activeCell="S4" sqref="S4"/>
    </sheetView>
  </sheetViews>
  <sheetFormatPr defaultColWidth="9.109375" defaultRowHeight="13.2"/>
  <cols>
    <col min="1" max="1" width="29.6640625" style="58" customWidth="1"/>
    <col min="2" max="2" width="9.109375" style="58" customWidth="1"/>
    <col min="3" max="8" width="9.109375" style="58"/>
    <col min="9" max="9" width="11.77734375" style="58" customWidth="1"/>
    <col min="10" max="10" width="9.109375" style="58"/>
    <col min="11" max="11" width="8" style="58" customWidth="1"/>
    <col min="12" max="12" width="9.109375" style="59"/>
    <col min="13" max="13" width="10.109375" style="58" customWidth="1"/>
    <col min="14" max="14" width="11.6640625" style="58" customWidth="1"/>
    <col min="15" max="15" width="11" style="58" customWidth="1"/>
    <col min="16" max="16" width="9.77734375" style="58" customWidth="1"/>
    <col min="17" max="17" width="9.109375" style="59"/>
    <col min="18" max="18" width="9.109375" style="2"/>
    <col min="19" max="19" width="30.44140625" style="2" customWidth="1"/>
    <col min="20" max="16384" width="9.109375" style="2"/>
  </cols>
  <sheetData>
    <row r="1" spans="1:20">
      <c r="A1" s="486" t="s">
        <v>5</v>
      </c>
    </row>
    <row r="3" spans="1:20" ht="15.6">
      <c r="A3" s="38" t="str">
        <f>'2-Kosten per locatie'!A3</f>
        <v>Naam opdrachtgever</v>
      </c>
      <c r="B3" s="47" t="str">
        <f>'2-Kosten per locatie'!B3</f>
        <v>SED organisatie</v>
      </c>
      <c r="C3" s="60"/>
      <c r="D3" s="60"/>
      <c r="E3" s="60"/>
    </row>
    <row r="4" spans="1:20" ht="15.6">
      <c r="A4" s="38" t="str">
        <f>'2-Kosten per locatie'!A4</f>
        <v>Calculatie onderdeel</v>
      </c>
      <c r="B4" s="47" t="str">
        <f ca="1">MID(CELL("bestandsnaam",$B$7),SEARCH("]",CELL("bestandsnaam",$B$7),1)+1,256)</f>
        <v>3-Productie normen</v>
      </c>
      <c r="C4" s="47"/>
      <c r="D4" s="47"/>
      <c r="E4" s="47"/>
    </row>
    <row r="5" spans="1:20" ht="15.6">
      <c r="A5" s="38" t="str">
        <f>'2-Kosten per locatie'!A5</f>
        <v>Gebouw/plaats</v>
      </c>
      <c r="B5" s="47" t="str">
        <f>'2-Kosten per locatie'!B5</f>
        <v>Perceel 2</v>
      </c>
      <c r="C5" s="47"/>
      <c r="D5" s="47"/>
      <c r="E5" s="47"/>
    </row>
    <row r="6" spans="1:20" ht="15.6">
      <c r="A6" s="38" t="str">
        <f>'2-Kosten per locatie'!A6</f>
        <v>Referentie nummer</v>
      </c>
      <c r="B6" s="47">
        <f>'2-Kosten per locatie'!B6</f>
        <v>0</v>
      </c>
      <c r="C6" s="47"/>
      <c r="D6" s="47"/>
      <c r="E6" s="47"/>
      <c r="G6" s="319" t="s">
        <v>69</v>
      </c>
      <c r="H6" s="320"/>
      <c r="I6" s="321" t="e">
        <f>SUM('4-Basis ruimtestaat'!AE:AE)/SUM('4-Basis ruimtestaat'!Q:V)</f>
        <v>#DIV/0!</v>
      </c>
      <c r="J6" s="322" t="s">
        <v>70</v>
      </c>
    </row>
    <row r="7" spans="1:20">
      <c r="A7" s="61"/>
      <c r="B7" s="62"/>
      <c r="C7" s="62"/>
      <c r="D7" s="62"/>
      <c r="E7" s="62"/>
      <c r="F7" s="63"/>
      <c r="G7" s="64"/>
      <c r="H7" s="64"/>
      <c r="I7" s="65"/>
      <c r="J7" s="66"/>
      <c r="K7" s="67"/>
      <c r="M7" s="68"/>
      <c r="N7" s="68"/>
      <c r="O7" s="67"/>
      <c r="P7" s="67"/>
      <c r="Q7" s="69"/>
    </row>
    <row r="8" spans="1:20" ht="27.75" customHeight="1">
      <c r="A8" s="323" t="s">
        <v>71</v>
      </c>
      <c r="B8" s="324">
        <v>12</v>
      </c>
      <c r="C8" s="324">
        <v>40</v>
      </c>
      <c r="D8" s="324">
        <v>46</v>
      </c>
      <c r="E8" s="324">
        <v>52</v>
      </c>
      <c r="F8" s="324">
        <v>90</v>
      </c>
      <c r="G8" s="324">
        <v>104</v>
      </c>
      <c r="H8" s="324">
        <v>130</v>
      </c>
      <c r="I8" s="324">
        <v>156</v>
      </c>
      <c r="J8" s="324">
        <v>200</v>
      </c>
      <c r="K8" s="324">
        <v>230</v>
      </c>
      <c r="L8" s="324">
        <v>240</v>
      </c>
      <c r="M8" s="324">
        <v>255</v>
      </c>
      <c r="N8" s="67"/>
      <c r="O8" s="205"/>
      <c r="P8" s="325"/>
      <c r="Q8" s="325"/>
      <c r="R8" s="325"/>
      <c r="S8" s="206"/>
      <c r="T8" s="69"/>
    </row>
    <row r="9" spans="1:20" ht="60.6" customHeight="1">
      <c r="A9" s="326" t="s">
        <v>72</v>
      </c>
      <c r="B9" s="508" t="s">
        <v>73</v>
      </c>
      <c r="C9" s="509"/>
      <c r="D9" s="509"/>
      <c r="E9" s="509"/>
      <c r="F9" s="509"/>
      <c r="G9" s="509"/>
      <c r="H9" s="509"/>
      <c r="I9" s="509"/>
      <c r="J9" s="509"/>
      <c r="K9" s="509"/>
      <c r="L9" s="509"/>
      <c r="M9" s="510"/>
      <c r="N9" s="67"/>
      <c r="O9" s="327" t="s">
        <v>74</v>
      </c>
      <c r="P9" s="328" t="s">
        <v>75</v>
      </c>
      <c r="Q9" s="328" t="s">
        <v>76</v>
      </c>
      <c r="R9" s="328" t="s">
        <v>77</v>
      </c>
      <c r="S9" s="206"/>
      <c r="T9" s="327" t="s">
        <v>78</v>
      </c>
    </row>
    <row r="10" spans="1:20">
      <c r="A10" s="329" t="s">
        <v>79</v>
      </c>
      <c r="B10" s="330"/>
      <c r="C10" s="330"/>
      <c r="D10" s="330"/>
      <c r="E10" s="330"/>
      <c r="F10" s="330"/>
      <c r="G10" s="330"/>
      <c r="H10" s="330"/>
      <c r="I10" s="330"/>
      <c r="J10" s="330"/>
      <c r="K10" s="330"/>
      <c r="L10" s="330"/>
      <c r="M10" s="330"/>
      <c r="N10" s="247"/>
      <c r="O10" s="331">
        <f>SUMIF('4-Basis ruimtestaat'!G:G,'3-Productie normen'!A10,'4-Basis ruimtestaat'!I:I)</f>
        <v>78.010000000000005</v>
      </c>
      <c r="P10" s="70"/>
      <c r="Q10" s="58"/>
      <c r="R10" s="67"/>
      <c r="S10" s="67"/>
      <c r="T10" s="332" t="s">
        <v>80</v>
      </c>
    </row>
    <row r="11" spans="1:20">
      <c r="A11" s="329" t="s">
        <v>341</v>
      </c>
      <c r="B11" s="330"/>
      <c r="C11" s="330"/>
      <c r="D11" s="330"/>
      <c r="E11" s="330"/>
      <c r="F11" s="330"/>
      <c r="G11" s="330"/>
      <c r="H11" s="330"/>
      <c r="I11" s="330"/>
      <c r="J11" s="330"/>
      <c r="K11" s="330"/>
      <c r="L11" s="330"/>
      <c r="M11" s="330"/>
      <c r="N11" s="247"/>
      <c r="O11" s="331">
        <f>SUMIF('4-Basis ruimtestaat'!G:G,'3-Productie normen'!A11,'4-Basis ruimtestaat'!I:I)</f>
        <v>452.79000000000019</v>
      </c>
      <c r="Q11" s="58"/>
      <c r="R11" s="58"/>
      <c r="S11" s="67"/>
      <c r="T11" s="332" t="s">
        <v>82</v>
      </c>
    </row>
    <row r="12" spans="1:20">
      <c r="A12" s="329" t="s">
        <v>89</v>
      </c>
      <c r="B12" s="330"/>
      <c r="C12" s="330"/>
      <c r="D12" s="330"/>
      <c r="E12" s="330"/>
      <c r="F12" s="330"/>
      <c r="G12" s="330"/>
      <c r="H12" s="330"/>
      <c r="I12" s="330"/>
      <c r="J12" s="330"/>
      <c r="K12" s="330"/>
      <c r="L12" s="330"/>
      <c r="M12" s="330"/>
      <c r="N12" s="247"/>
      <c r="O12" s="331">
        <f>SUMIF('4-Basis ruimtestaat'!G:G,'3-Productie normen'!A12,'4-Basis ruimtestaat'!I:I)</f>
        <v>78.48</v>
      </c>
      <c r="Q12" s="58"/>
      <c r="R12" s="58"/>
      <c r="S12" s="58"/>
      <c r="T12" s="332" t="s">
        <v>84</v>
      </c>
    </row>
    <row r="13" spans="1:20">
      <c r="A13" s="333" t="s">
        <v>83</v>
      </c>
      <c r="B13" s="330"/>
      <c r="C13" s="330"/>
      <c r="D13" s="330"/>
      <c r="E13" s="330"/>
      <c r="F13" s="330"/>
      <c r="G13" s="330"/>
      <c r="H13" s="330"/>
      <c r="I13" s="330"/>
      <c r="J13" s="330"/>
      <c r="K13" s="330"/>
      <c r="L13" s="330"/>
      <c r="M13" s="330"/>
      <c r="N13" s="247"/>
      <c r="O13" s="331">
        <f>SUMIF('4-Basis ruimtestaat'!G:G,'3-Productie normen'!A13,'4-Basis ruimtestaat'!I:I)</f>
        <v>773.68459999999982</v>
      </c>
      <c r="Q13" s="58"/>
      <c r="R13" s="58"/>
      <c r="S13" s="58"/>
      <c r="T13" s="332" t="s">
        <v>84</v>
      </c>
    </row>
    <row r="14" spans="1:20">
      <c r="A14" s="329" t="s">
        <v>338</v>
      </c>
      <c r="B14" s="330"/>
      <c r="C14" s="330"/>
      <c r="D14" s="330"/>
      <c r="E14" s="330"/>
      <c r="F14" s="330"/>
      <c r="G14" s="330"/>
      <c r="H14" s="330"/>
      <c r="I14" s="330"/>
      <c r="J14" s="330"/>
      <c r="K14" s="330"/>
      <c r="L14" s="330"/>
      <c r="M14" s="330"/>
      <c r="N14" s="247"/>
      <c r="O14" s="331">
        <f>SUMIF('4-Basis ruimtestaat'!G:G,'3-Productie normen'!A14,'4-Basis ruimtestaat'!I:I)</f>
        <v>11.46</v>
      </c>
      <c r="Q14" s="58"/>
      <c r="R14" s="58"/>
      <c r="S14" s="58"/>
      <c r="T14" s="332" t="s">
        <v>84</v>
      </c>
    </row>
    <row r="15" spans="1:20">
      <c r="A15" s="329" t="s">
        <v>85</v>
      </c>
      <c r="B15" s="330"/>
      <c r="C15" s="330"/>
      <c r="D15" s="330"/>
      <c r="E15" s="330"/>
      <c r="F15" s="330"/>
      <c r="G15" s="330"/>
      <c r="H15" s="330"/>
      <c r="I15" s="330"/>
      <c r="J15" s="330"/>
      <c r="K15" s="330"/>
      <c r="L15" s="330"/>
      <c r="M15" s="330"/>
      <c r="N15" s="247"/>
      <c r="O15" s="331">
        <f>SUMIF('4-Basis ruimtestaat'!G:G,'3-Productie normen'!A15,'4-Basis ruimtestaat'!I:I)</f>
        <v>1367.5950000000007</v>
      </c>
      <c r="Q15" s="58"/>
      <c r="R15" s="58"/>
      <c r="S15" s="58"/>
      <c r="T15" s="332" t="s">
        <v>82</v>
      </c>
    </row>
    <row r="16" spans="1:20">
      <c r="A16" s="329" t="s">
        <v>87</v>
      </c>
      <c r="B16" s="330"/>
      <c r="C16" s="330"/>
      <c r="D16" s="330"/>
      <c r="E16" s="330"/>
      <c r="F16" s="330"/>
      <c r="G16" s="330"/>
      <c r="H16" s="330"/>
      <c r="I16" s="330"/>
      <c r="J16" s="330"/>
      <c r="K16" s="330"/>
      <c r="L16" s="330"/>
      <c r="M16" s="330"/>
      <c r="N16" s="247"/>
      <c r="O16" s="331">
        <f>SUMIF('4-Basis ruimtestaat'!G:G,'3-Productie normen'!A16,'4-Basis ruimtestaat'!I:I)</f>
        <v>661.27599999999984</v>
      </c>
      <c r="Q16" s="58"/>
      <c r="R16" s="58"/>
      <c r="S16" s="58"/>
      <c r="T16" s="332" t="s">
        <v>84</v>
      </c>
    </row>
    <row r="17" spans="1:20">
      <c r="A17" s="329" t="s">
        <v>343</v>
      </c>
      <c r="B17" s="330"/>
      <c r="C17" s="330"/>
      <c r="D17" s="330"/>
      <c r="E17" s="330"/>
      <c r="F17" s="330"/>
      <c r="G17" s="330"/>
      <c r="H17" s="330"/>
      <c r="I17" s="330"/>
      <c r="J17" s="330"/>
      <c r="K17" s="330"/>
      <c r="L17" s="330"/>
      <c r="M17" s="330"/>
      <c r="N17" s="247"/>
      <c r="O17" s="331">
        <f>SUMIF('4-Basis ruimtestaat'!G:G,'3-Productie normen'!A17,'4-Basis ruimtestaat'!I:I)</f>
        <v>365.82</v>
      </c>
      <c r="Q17" s="58"/>
      <c r="R17" s="58"/>
      <c r="S17" s="58"/>
      <c r="T17" s="332" t="s">
        <v>84</v>
      </c>
    </row>
    <row r="18" spans="1:20">
      <c r="A18" s="329" t="s">
        <v>81</v>
      </c>
      <c r="B18" s="330"/>
      <c r="C18" s="330"/>
      <c r="D18" s="330"/>
      <c r="E18" s="330"/>
      <c r="F18" s="330"/>
      <c r="G18" s="330"/>
      <c r="H18" s="330"/>
      <c r="I18" s="330"/>
      <c r="J18" s="330"/>
      <c r="K18" s="330"/>
      <c r="L18" s="330"/>
      <c r="M18" s="330"/>
      <c r="N18" s="247"/>
      <c r="O18" s="331">
        <f>SUMIF('4-Basis ruimtestaat'!G:G,'3-Productie normen'!A18,'4-Basis ruimtestaat'!I:I)</f>
        <v>235.06999999999988</v>
      </c>
      <c r="Q18" s="58"/>
      <c r="R18" s="58"/>
      <c r="S18" s="58"/>
      <c r="T18" s="332" t="s">
        <v>82</v>
      </c>
    </row>
    <row r="19" spans="1:20">
      <c r="A19" s="333" t="s">
        <v>88</v>
      </c>
      <c r="B19" s="330"/>
      <c r="C19" s="330"/>
      <c r="D19" s="330"/>
      <c r="E19" s="330"/>
      <c r="F19" s="330"/>
      <c r="G19" s="330"/>
      <c r="H19" s="330"/>
      <c r="I19" s="330"/>
      <c r="J19" s="330"/>
      <c r="K19" s="330"/>
      <c r="L19" s="330"/>
      <c r="M19" s="330"/>
      <c r="N19" s="247"/>
      <c r="O19" s="331">
        <f>SUMIF('4-Basis ruimtestaat'!G:G,'3-Productie normen'!A19,'4-Basis ruimtestaat'!I:I)</f>
        <v>6683.51</v>
      </c>
      <c r="Q19" s="58"/>
      <c r="R19" s="58"/>
      <c r="S19" s="58"/>
      <c r="T19" s="332" t="s">
        <v>84</v>
      </c>
    </row>
    <row r="20" spans="1:20">
      <c r="A20" s="333" t="s">
        <v>90</v>
      </c>
      <c r="B20" s="330"/>
      <c r="C20" s="330"/>
      <c r="D20" s="330"/>
      <c r="E20" s="330"/>
      <c r="F20" s="330"/>
      <c r="G20" s="330"/>
      <c r="H20" s="330"/>
      <c r="I20" s="330"/>
      <c r="J20" s="330"/>
      <c r="K20" s="330"/>
      <c r="L20" s="330"/>
      <c r="M20" s="330"/>
      <c r="N20" s="247"/>
      <c r="O20" s="331">
        <f>SUMIF('4-Basis ruimtestaat'!G:G,'3-Productie normen'!A20,'4-Basis ruimtestaat'!I:I)</f>
        <v>24.734000000000002</v>
      </c>
      <c r="Q20" s="58"/>
      <c r="R20" s="71"/>
      <c r="S20" s="58"/>
      <c r="T20" s="332" t="s">
        <v>84</v>
      </c>
    </row>
    <row r="21" spans="1:20">
      <c r="A21" s="333" t="s">
        <v>86</v>
      </c>
      <c r="B21" s="330"/>
      <c r="C21" s="330"/>
      <c r="D21" s="330"/>
      <c r="E21" s="330"/>
      <c r="F21" s="330"/>
      <c r="G21" s="330"/>
      <c r="H21" s="330"/>
      <c r="I21" s="330"/>
      <c r="J21" s="330"/>
      <c r="K21" s="330"/>
      <c r="L21" s="330"/>
      <c r="M21" s="330"/>
      <c r="N21" s="247"/>
      <c r="O21" s="331">
        <f>SUMIF('4-Basis ruimtestaat'!G:G,'3-Productie normen'!A21,'4-Basis ruimtestaat'!I:I)</f>
        <v>30.59</v>
      </c>
      <c r="Q21" s="58"/>
      <c r="R21" s="71"/>
      <c r="S21" s="58"/>
      <c r="T21" s="332" t="s">
        <v>80</v>
      </c>
    </row>
    <row r="22" spans="1:20">
      <c r="A22" s="334" t="s">
        <v>50</v>
      </c>
      <c r="B22" s="335"/>
      <c r="C22" s="335"/>
      <c r="D22" s="335"/>
      <c r="E22" s="335"/>
      <c r="F22" s="335"/>
      <c r="G22" s="335"/>
      <c r="H22" s="335"/>
      <c r="I22" s="335"/>
      <c r="J22" s="335"/>
      <c r="K22" s="335"/>
      <c r="L22" s="335"/>
      <c r="M22" s="336"/>
      <c r="N22" s="248"/>
      <c r="O22" s="337">
        <f>SUM(O10:O21)</f>
        <v>10763.019600000001</v>
      </c>
      <c r="Q22" s="58"/>
      <c r="R22" s="67"/>
      <c r="S22" s="67"/>
      <c r="T22" s="338"/>
    </row>
    <row r="23" spans="1:20">
      <c r="L23" s="58"/>
      <c r="O23" s="67"/>
      <c r="P23" s="67"/>
      <c r="Q23" s="58"/>
    </row>
    <row r="24" spans="1:20" ht="16.2">
      <c r="A24" s="339" t="s">
        <v>91</v>
      </c>
      <c r="B24" s="340">
        <v>2</v>
      </c>
      <c r="C24" s="340">
        <v>3</v>
      </c>
      <c r="D24" s="340">
        <v>4</v>
      </c>
      <c r="E24" s="340">
        <v>5</v>
      </c>
      <c r="F24" s="340">
        <v>6</v>
      </c>
      <c r="G24" s="340">
        <v>7</v>
      </c>
      <c r="H24" s="340">
        <v>8</v>
      </c>
      <c r="I24" s="340">
        <v>9</v>
      </c>
      <c r="J24" s="340">
        <v>10</v>
      </c>
      <c r="K24" s="340">
        <v>11</v>
      </c>
      <c r="L24" s="340">
        <v>12</v>
      </c>
      <c r="M24" s="340">
        <v>13</v>
      </c>
      <c r="O24" s="67"/>
    </row>
    <row r="26" spans="1:20">
      <c r="A26" s="197" t="s">
        <v>92</v>
      </c>
      <c r="B26" s="197" t="s">
        <v>93</v>
      </c>
      <c r="C26" s="198" t="s">
        <v>94</v>
      </c>
    </row>
    <row r="27" spans="1:20">
      <c r="A27" s="72" t="s">
        <v>95</v>
      </c>
      <c r="B27" s="73">
        <v>12</v>
      </c>
      <c r="C27" s="207">
        <v>2</v>
      </c>
      <c r="D27" s="506"/>
      <c r="E27" s="506"/>
    </row>
    <row r="28" spans="1:20">
      <c r="A28" s="72" t="s">
        <v>462</v>
      </c>
      <c r="B28" s="73">
        <v>40</v>
      </c>
      <c r="C28" s="207">
        <v>3</v>
      </c>
      <c r="D28" s="506"/>
      <c r="E28" s="506"/>
    </row>
    <row r="29" spans="1:20">
      <c r="A29" s="72" t="s">
        <v>463</v>
      </c>
      <c r="B29" s="73">
        <v>46</v>
      </c>
      <c r="C29" s="207">
        <v>4</v>
      </c>
      <c r="D29" s="506"/>
      <c r="E29" s="506"/>
    </row>
    <row r="30" spans="1:20">
      <c r="A30" s="72" t="s">
        <v>96</v>
      </c>
      <c r="B30" s="73">
        <v>52</v>
      </c>
      <c r="C30" s="207">
        <v>5</v>
      </c>
      <c r="D30" s="506"/>
      <c r="E30" s="506"/>
    </row>
    <row r="31" spans="1:20">
      <c r="A31" s="72" t="s">
        <v>475</v>
      </c>
      <c r="B31" s="73">
        <v>90</v>
      </c>
      <c r="C31" s="207">
        <v>6</v>
      </c>
      <c r="D31" s="506"/>
      <c r="E31" s="506"/>
    </row>
    <row r="32" spans="1:20">
      <c r="A32" s="72" t="s">
        <v>474</v>
      </c>
      <c r="B32" s="73">
        <v>104</v>
      </c>
      <c r="C32" s="207">
        <v>7</v>
      </c>
      <c r="D32" s="506"/>
      <c r="E32" s="506"/>
    </row>
    <row r="33" spans="1:5">
      <c r="A33" s="72" t="s">
        <v>464</v>
      </c>
      <c r="B33" s="73">
        <v>130</v>
      </c>
      <c r="C33" s="207">
        <v>8</v>
      </c>
      <c r="D33" s="506"/>
      <c r="E33" s="506"/>
    </row>
    <row r="34" spans="1:5">
      <c r="A34" s="72" t="s">
        <v>473</v>
      </c>
      <c r="B34" s="73">
        <v>156</v>
      </c>
      <c r="C34" s="207">
        <v>9</v>
      </c>
      <c r="D34" s="506"/>
      <c r="E34" s="506"/>
    </row>
    <row r="35" spans="1:5">
      <c r="A35" s="72" t="s">
        <v>465</v>
      </c>
      <c r="B35" s="73">
        <v>200</v>
      </c>
      <c r="C35" s="207">
        <v>10</v>
      </c>
      <c r="D35" s="506"/>
      <c r="E35" s="506"/>
    </row>
    <row r="36" spans="1:5">
      <c r="A36" s="72" t="s">
        <v>466</v>
      </c>
      <c r="B36" s="74">
        <v>230</v>
      </c>
      <c r="C36" s="207">
        <v>11</v>
      </c>
    </row>
    <row r="37" spans="1:5">
      <c r="A37" s="72" t="s">
        <v>476</v>
      </c>
      <c r="B37" s="74">
        <v>240</v>
      </c>
      <c r="C37" s="207">
        <v>12</v>
      </c>
    </row>
    <row r="38" spans="1:5">
      <c r="A38" s="72" t="s">
        <v>97</v>
      </c>
      <c r="B38" s="74">
        <v>255</v>
      </c>
      <c r="C38" s="207">
        <v>13</v>
      </c>
    </row>
  </sheetData>
  <conditionalFormatting sqref="P8:R8">
    <cfRule type="cellIs" dxfId="8" priority="1" operator="lessThan">
      <formula>1</formula>
    </cfRule>
  </conditionalFormatting>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640"/>
  <sheetViews>
    <sheetView showGridLines="0" showZeros="0" zoomScale="76" zoomScaleNormal="76" zoomScalePageLayoutView="75" workbookViewId="0">
      <pane xSplit="1" ySplit="9" topLeftCell="B10" activePane="bottomRight" state="frozen"/>
      <selection pane="topRight" activeCell="B1" sqref="B1"/>
      <selection pane="bottomLeft" activeCell="B1" sqref="B1"/>
      <selection pane="bottomRight" activeCell="A109" sqref="A109"/>
    </sheetView>
  </sheetViews>
  <sheetFormatPr defaultColWidth="8.6640625" defaultRowHeight="14.1" customHeight="1"/>
  <cols>
    <col min="1" max="1" width="5" style="58" bestFit="1" customWidth="1"/>
    <col min="2" max="2" width="30.109375" style="497" customWidth="1"/>
    <col min="3" max="3" width="35.44140625" style="58" customWidth="1"/>
    <col min="4" max="4" width="13.109375" style="58" customWidth="1"/>
    <col min="5" max="5" width="20.33203125" style="250" bestFit="1" customWidth="1"/>
    <col min="6" max="6" width="26.77734375" style="58" customWidth="1"/>
    <col min="7" max="7" width="29.21875" style="58" customWidth="1"/>
    <col min="8" max="8" width="12.109375" style="58" bestFit="1" customWidth="1"/>
    <col min="9" max="9" width="8" style="58" bestFit="1" customWidth="1"/>
    <col min="10" max="10" width="12.5546875" style="75" customWidth="1"/>
    <col min="11" max="16" width="9.109375" style="101" customWidth="1"/>
    <col min="17" max="18" width="12.5546875" style="58" bestFit="1" customWidth="1"/>
    <col min="19" max="22" width="9.88671875" style="58" customWidth="1"/>
    <col min="23" max="23" width="12" style="58" bestFit="1" customWidth="1"/>
    <col min="24" max="24" width="16.6640625" style="58" customWidth="1"/>
    <col min="25" max="25" width="13" style="58" customWidth="1"/>
    <col min="26" max="26" width="14.6640625" style="58" customWidth="1"/>
    <col min="27" max="28" width="9.33203125" style="58" customWidth="1"/>
    <col min="29" max="29" width="35.109375" style="58" customWidth="1"/>
    <col min="30" max="30" width="3" style="58" customWidth="1"/>
    <col min="31" max="31" width="11.109375" style="58" customWidth="1"/>
    <col min="32" max="32" width="15.5546875" style="2" bestFit="1" customWidth="1"/>
    <col min="33" max="16384" width="8.6640625" style="2"/>
  </cols>
  <sheetData>
    <row r="1" spans="1:31" ht="13.2">
      <c r="B1" s="58"/>
      <c r="K1" s="58"/>
      <c r="L1" s="59"/>
      <c r="M1" s="58"/>
      <c r="N1" s="58"/>
      <c r="O1" s="58"/>
      <c r="P1" s="58"/>
    </row>
    <row r="2" spans="1:31" ht="14.1" customHeight="1">
      <c r="A2" s="76">
        <v>2</v>
      </c>
      <c r="B2" s="208"/>
      <c r="C2" s="77"/>
      <c r="D2" s="78"/>
      <c r="E2" s="251"/>
      <c r="F2" s="79"/>
      <c r="G2" s="79"/>
      <c r="H2" s="80"/>
      <c r="I2" s="81"/>
      <c r="J2" s="82"/>
      <c r="K2" s="83"/>
      <c r="L2" s="83"/>
      <c r="M2" s="83"/>
      <c r="N2" s="83"/>
      <c r="O2" s="83"/>
      <c r="P2" s="83"/>
      <c r="Q2" s="80"/>
      <c r="R2" s="80"/>
      <c r="S2" s="84"/>
      <c r="T2" s="84"/>
      <c r="U2" s="84"/>
      <c r="V2" s="84"/>
      <c r="W2" s="84"/>
      <c r="X2" s="84"/>
      <c r="Y2" s="84"/>
      <c r="Z2" s="84"/>
      <c r="AA2" s="79"/>
      <c r="AB2" s="79"/>
      <c r="AC2" s="79"/>
    </row>
    <row r="3" spans="1:31" ht="14.1" customHeight="1">
      <c r="A3" s="76">
        <v>3</v>
      </c>
      <c r="B3" s="38" t="str">
        <f>'2-Kosten per locatie'!A3</f>
        <v>Naam opdrachtgever</v>
      </c>
      <c r="C3" s="47" t="str">
        <f>'2-Kosten per locatie'!B3</f>
        <v>SED organisatie</v>
      </c>
      <c r="E3" s="252"/>
      <c r="H3" s="80"/>
      <c r="I3" s="81"/>
      <c r="J3" s="82"/>
      <c r="K3" s="83"/>
      <c r="L3" s="83"/>
      <c r="M3" s="83"/>
      <c r="N3" s="83"/>
      <c r="O3" s="83"/>
      <c r="P3" s="83"/>
      <c r="Q3" s="80"/>
      <c r="R3" s="80"/>
      <c r="S3" s="84"/>
      <c r="T3" s="84"/>
      <c r="U3" s="84"/>
      <c r="V3" s="84"/>
      <c r="W3" s="84"/>
      <c r="X3" s="84"/>
      <c r="Y3" s="84"/>
      <c r="Z3" s="84"/>
      <c r="AA3" s="79"/>
      <c r="AB3" s="79"/>
      <c r="AC3" s="79"/>
    </row>
    <row r="4" spans="1:31" ht="14.1" customHeight="1">
      <c r="A4" s="76">
        <v>4</v>
      </c>
      <c r="B4" s="38" t="str">
        <f>'2-Kosten per locatie'!A4</f>
        <v>Calculatie onderdeel</v>
      </c>
      <c r="C4" s="47" t="str">
        <f ca="1">MID(CELL("bestandsnaam",$D$9),SEARCH("]",CELL("bestandsnaam",$D$9),1)+1,256)</f>
        <v>4-Basis ruimtestaat</v>
      </c>
      <c r="E4" s="253"/>
      <c r="G4" s="511"/>
      <c r="H4" s="512"/>
      <c r="I4" s="513"/>
      <c r="J4" s="512"/>
      <c r="K4" s="514"/>
      <c r="L4" s="514"/>
      <c r="M4" s="514"/>
      <c r="N4" s="514"/>
      <c r="O4" s="514"/>
      <c r="P4" s="514"/>
      <c r="Q4" s="515"/>
      <c r="R4" s="80"/>
      <c r="S4" s="84"/>
      <c r="T4" s="84"/>
      <c r="U4" s="84"/>
      <c r="V4" s="84"/>
      <c r="W4" s="84"/>
      <c r="X4" s="84"/>
      <c r="Y4" s="84"/>
      <c r="Z4" s="84"/>
      <c r="AA4" s="79"/>
      <c r="AB4" s="79"/>
      <c r="AC4" s="79"/>
    </row>
    <row r="5" spans="1:31" ht="14.1" customHeight="1">
      <c r="A5" s="76">
        <v>5</v>
      </c>
      <c r="B5" s="38" t="str">
        <f>'2-Kosten per locatie'!A5</f>
        <v>Gebouw/plaats</v>
      </c>
      <c r="C5" s="47" t="str">
        <f>'2-Kosten per locatie'!B5</f>
        <v>Perceel 2</v>
      </c>
      <c r="E5" s="252"/>
      <c r="G5" s="511"/>
      <c r="H5" s="512"/>
      <c r="I5" s="513"/>
      <c r="J5" s="512"/>
      <c r="K5" s="512"/>
      <c r="L5" s="514"/>
      <c r="M5" s="514"/>
      <c r="N5" s="514"/>
      <c r="O5" s="514"/>
      <c r="P5" s="514"/>
      <c r="Q5" s="515"/>
      <c r="R5" s="80"/>
      <c r="S5" s="84"/>
      <c r="T5" s="84"/>
      <c r="U5" s="84"/>
      <c r="V5" s="84"/>
      <c r="W5" s="84"/>
      <c r="X5" s="84"/>
      <c r="Y5" s="84"/>
      <c r="Z5" s="84"/>
      <c r="AA5" s="79"/>
      <c r="AB5" s="79"/>
      <c r="AC5" s="79"/>
    </row>
    <row r="6" spans="1:31" ht="14.1" customHeight="1">
      <c r="A6" s="76">
        <v>6</v>
      </c>
      <c r="B6" s="38" t="str">
        <f>'2-Kosten per locatie'!A6</f>
        <v>Referentie nummer</v>
      </c>
      <c r="C6" s="47">
        <f>'2-Kosten per locatie'!B6</f>
        <v>0</v>
      </c>
      <c r="E6" s="252"/>
      <c r="G6" s="511"/>
      <c r="H6" s="512"/>
      <c r="I6" s="516"/>
      <c r="J6" s="512"/>
      <c r="K6" s="514"/>
      <c r="L6" s="514"/>
      <c r="M6" s="514"/>
      <c r="N6" s="514"/>
      <c r="O6" s="514"/>
      <c r="P6" s="514"/>
      <c r="Q6" s="515"/>
      <c r="R6" s="80"/>
      <c r="S6" s="84"/>
      <c r="T6" s="84"/>
      <c r="U6" s="84"/>
      <c r="V6" s="84"/>
      <c r="W6" s="84"/>
      <c r="X6" s="535" t="s">
        <v>98</v>
      </c>
      <c r="Y6" s="536"/>
      <c r="Z6" s="537"/>
      <c r="AA6" s="79"/>
      <c r="AB6" s="79"/>
      <c r="AC6" s="79"/>
    </row>
    <row r="7" spans="1:31" ht="12.75" customHeight="1">
      <c r="A7" s="76">
        <v>7</v>
      </c>
      <c r="B7" s="38" t="str">
        <f>'2-Kosten per locatie'!A7</f>
        <v>Naam dienstverlener</v>
      </c>
      <c r="C7" s="47">
        <f>'2-Kosten per locatie'!B7</f>
        <v>0</v>
      </c>
      <c r="E7" s="252"/>
      <c r="H7" s="80"/>
      <c r="I7" s="81"/>
      <c r="J7" s="82"/>
      <c r="K7" s="83"/>
      <c r="L7" s="83"/>
      <c r="M7" s="83"/>
      <c r="N7" s="83"/>
      <c r="O7" s="83"/>
      <c r="P7" s="83"/>
      <c r="Q7" s="80"/>
      <c r="R7" s="80"/>
      <c r="S7" s="84"/>
      <c r="T7" s="84"/>
      <c r="U7" s="84"/>
      <c r="V7" s="84"/>
      <c r="W7" s="84"/>
      <c r="X7" s="538"/>
      <c r="Y7" s="539"/>
      <c r="Z7" s="540"/>
      <c r="AA7" s="79"/>
      <c r="AB7" s="79"/>
      <c r="AC7" s="79"/>
    </row>
    <row r="8" spans="1:31" ht="14.1" customHeight="1">
      <c r="A8" s="76">
        <v>8</v>
      </c>
      <c r="B8" s="79"/>
      <c r="C8" s="79"/>
      <c r="D8" s="78"/>
      <c r="E8" s="251"/>
      <c r="F8" s="79"/>
      <c r="G8" s="79"/>
      <c r="H8" s="80"/>
      <c r="I8" s="81"/>
      <c r="J8" s="82"/>
      <c r="K8" s="83"/>
      <c r="L8" s="83"/>
      <c r="M8" s="83"/>
      <c r="N8" s="83"/>
      <c r="O8" s="83"/>
      <c r="P8" s="83"/>
      <c r="Q8" s="80"/>
      <c r="R8" s="80"/>
      <c r="S8" s="80"/>
      <c r="T8" s="80"/>
      <c r="U8" s="80"/>
      <c r="V8" s="80"/>
      <c r="W8" s="80"/>
      <c r="X8" s="341">
        <f>'3-Productie normen'!P8</f>
        <v>0</v>
      </c>
      <c r="Y8" s="341">
        <f>'3-Productie normen'!Q8</f>
        <v>0</v>
      </c>
      <c r="Z8" s="341">
        <f>'3-Productie normen'!R8</f>
        <v>0</v>
      </c>
      <c r="AA8" s="79"/>
      <c r="AB8" s="79"/>
      <c r="AC8" s="79"/>
    </row>
    <row r="9" spans="1:31" ht="44.1" customHeight="1">
      <c r="A9" s="76">
        <v>9</v>
      </c>
      <c r="B9" s="220" t="s">
        <v>99</v>
      </c>
      <c r="C9" s="220" t="s">
        <v>100</v>
      </c>
      <c r="D9" s="220" t="s">
        <v>101</v>
      </c>
      <c r="E9" s="220" t="s">
        <v>102</v>
      </c>
      <c r="F9" s="220" t="s">
        <v>103</v>
      </c>
      <c r="G9" s="220" t="s">
        <v>104</v>
      </c>
      <c r="H9" s="342" t="s">
        <v>105</v>
      </c>
      <c r="I9" s="343" t="s">
        <v>106</v>
      </c>
      <c r="J9" s="344" t="s">
        <v>107</v>
      </c>
      <c r="K9" s="204" t="s">
        <v>108</v>
      </c>
      <c r="L9" s="204" t="s">
        <v>109</v>
      </c>
      <c r="M9" s="204" t="s">
        <v>110</v>
      </c>
      <c r="N9" s="204" t="s">
        <v>111</v>
      </c>
      <c r="O9" s="204" t="s">
        <v>112</v>
      </c>
      <c r="P9" s="204" t="s">
        <v>113</v>
      </c>
      <c r="Q9" s="344" t="s">
        <v>114</v>
      </c>
      <c r="R9" s="344" t="s">
        <v>115</v>
      </c>
      <c r="S9" s="344" t="s">
        <v>116</v>
      </c>
      <c r="T9" s="344" t="s">
        <v>117</v>
      </c>
      <c r="U9" s="344" t="s">
        <v>118</v>
      </c>
      <c r="V9" s="344" t="s">
        <v>119</v>
      </c>
      <c r="W9" s="344" t="s">
        <v>120</v>
      </c>
      <c r="X9" s="344" t="s">
        <v>75</v>
      </c>
      <c r="Y9" s="344" t="s">
        <v>76</v>
      </c>
      <c r="Z9" s="344" t="s">
        <v>77</v>
      </c>
      <c r="AA9" s="209" t="s">
        <v>121</v>
      </c>
      <c r="AB9" s="209" t="s">
        <v>122</v>
      </c>
      <c r="AC9" s="209" t="s">
        <v>123</v>
      </c>
      <c r="AD9" s="210"/>
      <c r="AE9" s="209" t="s">
        <v>124</v>
      </c>
    </row>
    <row r="10" spans="1:31" s="13" customFormat="1" ht="14.1" customHeight="1">
      <c r="A10" s="76">
        <v>10</v>
      </c>
      <c r="B10" s="496" t="s">
        <v>280</v>
      </c>
      <c r="C10" s="312" t="s">
        <v>281</v>
      </c>
      <c r="D10" s="345" t="s">
        <v>307</v>
      </c>
      <c r="E10" s="346">
        <v>1</v>
      </c>
      <c r="F10" s="312" t="s">
        <v>308</v>
      </c>
      <c r="G10" s="312" t="s">
        <v>79</v>
      </c>
      <c r="H10" s="72" t="s">
        <v>309</v>
      </c>
      <c r="I10" s="502">
        <v>3.3</v>
      </c>
      <c r="J10" s="347">
        <f>SUM(K10:P10)</f>
        <v>90</v>
      </c>
      <c r="K10" s="260">
        <v>90</v>
      </c>
      <c r="L10" s="260"/>
      <c r="M10" s="260"/>
      <c r="N10" s="260"/>
      <c r="O10" s="260"/>
      <c r="P10" s="260"/>
      <c r="Q10" s="259" t="e">
        <f>IF(K10="nio",0,IF(K10&gt;0,K10*I10/W10,0))*VLOOKUP(B10,'2-Kosten per locatie'!$A$14:$C$28,3,FALSE)</f>
        <v>#DIV/0!</v>
      </c>
      <c r="R10" s="259">
        <f>IF(L10&gt;0,L10*I10/X10,0)*VLOOKUP(B10,'2-Kosten per locatie'!$A$14:$C$28,3,FALSE)</f>
        <v>0</v>
      </c>
      <c r="S10" s="259">
        <f>IF(M10&gt;0,M10*I10/Y10,0)*VLOOKUP(B10,'2-Kosten per locatie'!$A$14:$C$28,3,FALSE)</f>
        <v>0</v>
      </c>
      <c r="T10" s="259">
        <f>IF(N10&gt;0,N10*I10/Z10,0)*VLOOKUP(B10,'2-Kosten per locatie'!$A$14:$C$28,3,FALSE)</f>
        <v>0</v>
      </c>
      <c r="U10" s="259">
        <f>IF(O10&gt;0,O10*I10/Y10,0)*VLOOKUP(B10,'2-Kosten per locatie'!$A$14:$C$28,3,FALSE)</f>
        <v>0</v>
      </c>
      <c r="V10" s="259">
        <f>IF(P10&gt;0,P10*I10/Z10,0)*VLOOKUP(B10,'2-Kosten per locatie'!$A$14:$C$28,3,FALSE)</f>
        <v>0</v>
      </c>
      <c r="W10" s="348">
        <f>IF(K10="nio",0,IF(K10&gt;0,VLOOKUP(G10,'3-Productie normen'!A:N,VLOOKUP(K10,'3-Productie normen'!$B$27:$C$38,2,FALSE),FALSE)))</f>
        <v>0</v>
      </c>
      <c r="X10" s="348">
        <f t="shared" ref="X10" si="0">IF(L10&gt;0,W10*$X$8,0)</f>
        <v>0</v>
      </c>
      <c r="Y10" s="348">
        <f>IF((OR(M10&gt;0,O10&gt;0)),W10*$Y$8,0)</f>
        <v>0</v>
      </c>
      <c r="Z10" s="348">
        <f>IF((OR(N10&gt;0,P10&gt;0)),W10*$Z$8,0)</f>
        <v>0</v>
      </c>
      <c r="AA10" s="349">
        <f>VLOOKUP(G10,'3-Productie normen'!A:Q,15,FALSE)</f>
        <v>78.010000000000005</v>
      </c>
      <c r="AB10" s="350">
        <f>VLOOKUP(G10,'3-Productie normen'!A:Q,16,FALSE)</f>
        <v>0</v>
      </c>
      <c r="AC10" s="349"/>
      <c r="AD10" s="58"/>
      <c r="AE10" s="351">
        <f t="shared" ref="AE10:AE73" si="1">J10*I10</f>
        <v>297</v>
      </c>
    </row>
    <row r="11" spans="1:31" ht="14.1" customHeight="1">
      <c r="A11" s="76">
        <v>11</v>
      </c>
      <c r="B11" s="496" t="s">
        <v>280</v>
      </c>
      <c r="C11" s="312" t="s">
        <v>281</v>
      </c>
      <c r="D11" s="345" t="s">
        <v>307</v>
      </c>
      <c r="E11" s="346">
        <v>2</v>
      </c>
      <c r="F11" s="312" t="s">
        <v>310</v>
      </c>
      <c r="G11" s="312" t="s">
        <v>81</v>
      </c>
      <c r="H11" s="72" t="s">
        <v>311</v>
      </c>
      <c r="I11" s="502">
        <v>2.8</v>
      </c>
      <c r="J11" s="347">
        <f t="shared" ref="J11:J74" si="2">SUM(K11:P11)</f>
        <v>230</v>
      </c>
      <c r="K11" s="260">
        <v>230</v>
      </c>
      <c r="L11" s="260"/>
      <c r="M11" s="260"/>
      <c r="N11" s="260"/>
      <c r="O11" s="260"/>
      <c r="P11" s="260"/>
      <c r="Q11" s="259" t="e">
        <f>IF(K11="nio",0,IF(K11&gt;0,K11*I11/W11,0))*VLOOKUP(B11,'2-Kosten per locatie'!$A$14:$C$28,3,FALSE)</f>
        <v>#DIV/0!</v>
      </c>
      <c r="R11" s="259">
        <f>IF(L11&gt;0,L11*I11/X11,0)*VLOOKUP(B11,'2-Kosten per locatie'!$A$14:$C$28,3,FALSE)</f>
        <v>0</v>
      </c>
      <c r="S11" s="259">
        <f>IF(M11&gt;0,M11*I11/Y11,0)*VLOOKUP(B11,'2-Kosten per locatie'!$A$14:$C$28,3,FALSE)</f>
        <v>0</v>
      </c>
      <c r="T11" s="259">
        <f>IF(N11&gt;0,N11*I11/Z11,0)*VLOOKUP(B11,'2-Kosten per locatie'!$A$14:$C$28,3,FALSE)</f>
        <v>0</v>
      </c>
      <c r="U11" s="259">
        <f>IF(O11&gt;0,O11*I11/Y11,0)*VLOOKUP(B11,'2-Kosten per locatie'!$A$14:$C$28,3,FALSE)</f>
        <v>0</v>
      </c>
      <c r="V11" s="259">
        <f>IF(P11&gt;0,P11*I11/Z11,0)*VLOOKUP(B11,'2-Kosten per locatie'!$A$14:$C$28,3,FALSE)</f>
        <v>0</v>
      </c>
      <c r="W11" s="348">
        <f>IF(K11="nio",0,IF(K11&gt;0,VLOOKUP(G11,'3-Productie normen'!A:N,VLOOKUP(K11,'3-Productie normen'!$B$27:$C$38,2,FALSE),FALSE)))</f>
        <v>0</v>
      </c>
      <c r="X11" s="348">
        <f t="shared" ref="X11:X74" si="3">IF(L11&gt;0,W11*$X$8,0)</f>
        <v>0</v>
      </c>
      <c r="Y11" s="348">
        <f t="shared" ref="Y11:Y74" si="4">IF((OR(M11&gt;0,O11&gt;0)),W11*$Y$8,0)</f>
        <v>0</v>
      </c>
      <c r="Z11" s="348">
        <f t="shared" ref="Z11:Z74" si="5">IF((OR(N11&gt;0,P11&gt;0)),W11*$Z$8,0)</f>
        <v>0</v>
      </c>
      <c r="AA11" s="349">
        <f>VLOOKUP(G11,'3-Productie normen'!A:Q,15,FALSE)</f>
        <v>235.06999999999988</v>
      </c>
      <c r="AB11" s="350">
        <f>VLOOKUP(G11,'3-Productie normen'!A:Q,16,FALSE)</f>
        <v>0</v>
      </c>
      <c r="AC11" s="349"/>
      <c r="AE11" s="351">
        <f t="shared" si="1"/>
        <v>644</v>
      </c>
    </row>
    <row r="12" spans="1:31" ht="14.1" customHeight="1">
      <c r="A12" s="76">
        <v>12</v>
      </c>
      <c r="B12" s="496" t="s">
        <v>280</v>
      </c>
      <c r="C12" s="312" t="s">
        <v>281</v>
      </c>
      <c r="D12" s="345" t="s">
        <v>307</v>
      </c>
      <c r="E12" s="346">
        <v>3</v>
      </c>
      <c r="F12" s="312" t="s">
        <v>312</v>
      </c>
      <c r="G12" s="312" t="s">
        <v>83</v>
      </c>
      <c r="H12" s="72" t="s">
        <v>311</v>
      </c>
      <c r="I12" s="502">
        <v>36.71</v>
      </c>
      <c r="J12" s="347">
        <f t="shared" si="2"/>
        <v>230</v>
      </c>
      <c r="K12" s="260">
        <v>230</v>
      </c>
      <c r="L12" s="260"/>
      <c r="M12" s="260"/>
      <c r="N12" s="260"/>
      <c r="O12" s="260"/>
      <c r="P12" s="260"/>
      <c r="Q12" s="259" t="e">
        <f>IF(K12="nio",0,IF(K12&gt;0,K12*I12/W12,0))*VLOOKUP(B12,'2-Kosten per locatie'!$A$14:$C$28,3,FALSE)</f>
        <v>#DIV/0!</v>
      </c>
      <c r="R12" s="259">
        <f>IF(L12&gt;0,L12*I12/X12,0)*VLOOKUP(B12,'2-Kosten per locatie'!$A$14:$C$28,3,FALSE)</f>
        <v>0</v>
      </c>
      <c r="S12" s="259">
        <f>IF(M12&gt;0,M12*I12/Y12,0)*VLOOKUP(B12,'2-Kosten per locatie'!$A$14:$C$28,3,FALSE)</f>
        <v>0</v>
      </c>
      <c r="T12" s="259">
        <f>IF(N12&gt;0,N12*I12/Z12,0)*VLOOKUP(B12,'2-Kosten per locatie'!$A$14:$C$28,3,FALSE)</f>
        <v>0</v>
      </c>
      <c r="U12" s="259">
        <f>IF(O12&gt;0,O12*I12/Y12,0)*VLOOKUP(B12,'2-Kosten per locatie'!$A$14:$C$28,3,FALSE)</f>
        <v>0</v>
      </c>
      <c r="V12" s="259">
        <f>IF(P12&gt;0,P12*I12/Z12,0)*VLOOKUP(B12,'2-Kosten per locatie'!$A$14:$C$28,3,FALSE)</f>
        <v>0</v>
      </c>
      <c r="W12" s="348">
        <f>IF(K12="nio",0,IF(K12&gt;0,VLOOKUP(G12,'3-Productie normen'!A:N,VLOOKUP(K12,'3-Productie normen'!$B$27:$C$38,2,FALSE),FALSE)))</f>
        <v>0</v>
      </c>
      <c r="X12" s="348">
        <f t="shared" si="3"/>
        <v>0</v>
      </c>
      <c r="Y12" s="348">
        <f t="shared" si="4"/>
        <v>0</v>
      </c>
      <c r="Z12" s="348">
        <f t="shared" si="5"/>
        <v>0</v>
      </c>
      <c r="AA12" s="349">
        <f>VLOOKUP(G12,'3-Productie normen'!A:Q,15,FALSE)</f>
        <v>773.68459999999982</v>
      </c>
      <c r="AB12" s="350">
        <f>VLOOKUP(G12,'3-Productie normen'!A:Q,16,FALSE)</f>
        <v>0</v>
      </c>
      <c r="AC12" s="349"/>
      <c r="AE12" s="351">
        <f t="shared" si="1"/>
        <v>8443.3000000000011</v>
      </c>
    </row>
    <row r="13" spans="1:31" ht="14.1" customHeight="1">
      <c r="A13" s="76">
        <v>13</v>
      </c>
      <c r="B13" s="496" t="s">
        <v>280</v>
      </c>
      <c r="C13" s="312" t="s">
        <v>281</v>
      </c>
      <c r="D13" s="345" t="s">
        <v>307</v>
      </c>
      <c r="E13" s="346">
        <v>4</v>
      </c>
      <c r="F13" s="72" t="s">
        <v>313</v>
      </c>
      <c r="G13" s="72" t="s">
        <v>85</v>
      </c>
      <c r="H13" s="72" t="s">
        <v>311</v>
      </c>
      <c r="I13" s="502">
        <v>28.46</v>
      </c>
      <c r="J13" s="347">
        <f t="shared" si="2"/>
        <v>230</v>
      </c>
      <c r="K13" s="260">
        <v>230</v>
      </c>
      <c r="L13" s="260"/>
      <c r="M13" s="260"/>
      <c r="N13" s="260"/>
      <c r="O13" s="260"/>
      <c r="P13" s="260"/>
      <c r="Q13" s="259" t="e">
        <f>IF(K13="nio",0,IF(K13&gt;0,K13*I13/W13,0))*VLOOKUP(B13,'2-Kosten per locatie'!$A$14:$C$28,3,FALSE)</f>
        <v>#DIV/0!</v>
      </c>
      <c r="R13" s="259">
        <f>IF(L13&gt;0,L13*I13/X13,0)*VLOOKUP(B13,'2-Kosten per locatie'!$A$14:$C$28,3,FALSE)</f>
        <v>0</v>
      </c>
      <c r="S13" s="259">
        <f>IF(M13&gt;0,M13*I13/Y13,0)*VLOOKUP(B13,'2-Kosten per locatie'!$A$14:$C$28,3,FALSE)</f>
        <v>0</v>
      </c>
      <c r="T13" s="259">
        <f>IF(N13&gt;0,N13*I13/Z13,0)*VLOOKUP(B13,'2-Kosten per locatie'!$A$14:$C$28,3,FALSE)</f>
        <v>0</v>
      </c>
      <c r="U13" s="259">
        <f>IF(O13&gt;0,O13*I13/Y13,0)*VLOOKUP(B13,'2-Kosten per locatie'!$A$14:$C$28,3,FALSE)</f>
        <v>0</v>
      </c>
      <c r="V13" s="259">
        <f>IF(P13&gt;0,P13*I13/Z13,0)*VLOOKUP(B13,'2-Kosten per locatie'!$A$14:$C$28,3,FALSE)</f>
        <v>0</v>
      </c>
      <c r="W13" s="348">
        <f>IF(K13="nio",0,IF(K13&gt;0,VLOOKUP(G13,'3-Productie normen'!A:N,VLOOKUP(K13,'3-Productie normen'!$B$27:$C$38,2,FALSE),FALSE)))</f>
        <v>0</v>
      </c>
      <c r="X13" s="348">
        <f t="shared" si="3"/>
        <v>0</v>
      </c>
      <c r="Y13" s="348">
        <f t="shared" si="4"/>
        <v>0</v>
      </c>
      <c r="Z13" s="348">
        <f t="shared" si="5"/>
        <v>0</v>
      </c>
      <c r="AA13" s="349">
        <f>VLOOKUP(G13,'3-Productie normen'!A:Q,15,FALSE)</f>
        <v>1367.5950000000007</v>
      </c>
      <c r="AB13" s="350">
        <f>VLOOKUP(G13,'3-Productie normen'!A:Q,16,FALSE)</f>
        <v>0</v>
      </c>
      <c r="AC13" s="349"/>
      <c r="AE13" s="351">
        <f t="shared" si="1"/>
        <v>6545.8</v>
      </c>
    </row>
    <row r="14" spans="1:31" ht="14.1" customHeight="1">
      <c r="A14" s="76">
        <v>14</v>
      </c>
      <c r="B14" s="496" t="s">
        <v>280</v>
      </c>
      <c r="C14" s="312" t="s">
        <v>281</v>
      </c>
      <c r="D14" s="345" t="s">
        <v>307</v>
      </c>
      <c r="E14" s="254">
        <v>5</v>
      </c>
      <c r="F14" s="86" t="s">
        <v>314</v>
      </c>
      <c r="G14" s="329" t="s">
        <v>341</v>
      </c>
      <c r="H14" s="72" t="s">
        <v>311</v>
      </c>
      <c r="I14" s="502">
        <v>13.81</v>
      </c>
      <c r="J14" s="347">
        <f t="shared" si="2"/>
        <v>230</v>
      </c>
      <c r="K14" s="260">
        <v>230</v>
      </c>
      <c r="L14" s="260"/>
      <c r="M14" s="260"/>
      <c r="N14" s="260"/>
      <c r="O14" s="260"/>
      <c r="P14" s="260"/>
      <c r="Q14" s="259" t="e">
        <f>IF(K14="nio",0,IF(K14&gt;0,K14*I14/W14,0))*VLOOKUP(B14,'2-Kosten per locatie'!$A$14:$C$28,3,FALSE)</f>
        <v>#DIV/0!</v>
      </c>
      <c r="R14" s="259">
        <f>IF(L14&gt;0,L14*I14/X14,0)*VLOOKUP(B14,'2-Kosten per locatie'!$A$14:$C$28,3,FALSE)</f>
        <v>0</v>
      </c>
      <c r="S14" s="259">
        <f>IF(M14&gt;0,M14*I14/Y14,0)*VLOOKUP(B14,'2-Kosten per locatie'!$A$14:$C$28,3,FALSE)</f>
        <v>0</v>
      </c>
      <c r="T14" s="259">
        <f>IF(N14&gt;0,N14*I14/Z14,0)*VLOOKUP(B14,'2-Kosten per locatie'!$A$14:$C$28,3,FALSE)</f>
        <v>0</v>
      </c>
      <c r="U14" s="259">
        <f>IF(O14&gt;0,O14*I14/Y14,0)*VLOOKUP(B14,'2-Kosten per locatie'!$A$14:$C$28,3,FALSE)</f>
        <v>0</v>
      </c>
      <c r="V14" s="259">
        <f>IF(P14&gt;0,P14*I14/Z14,0)*VLOOKUP(B14,'2-Kosten per locatie'!$A$14:$C$28,3,FALSE)</f>
        <v>0</v>
      </c>
      <c r="W14" s="348">
        <f>IF(K14="nio",0,IF(K14&gt;0,VLOOKUP(G14,'3-Productie normen'!A:N,VLOOKUP(K14,'3-Productie normen'!$B$27:$C$38,2,FALSE),FALSE)))</f>
        <v>0</v>
      </c>
      <c r="X14" s="348">
        <f t="shared" si="3"/>
        <v>0</v>
      </c>
      <c r="Y14" s="348">
        <f t="shared" si="4"/>
        <v>0</v>
      </c>
      <c r="Z14" s="348">
        <f t="shared" si="5"/>
        <v>0</v>
      </c>
      <c r="AA14" s="349">
        <f>VLOOKUP(G14,'3-Productie normen'!A:Q,15,FALSE)</f>
        <v>452.79000000000019</v>
      </c>
      <c r="AB14" s="350">
        <f>VLOOKUP(G14,'3-Productie normen'!A:Q,16,FALSE)</f>
        <v>0</v>
      </c>
      <c r="AC14" s="349"/>
      <c r="AE14" s="351">
        <f t="shared" si="1"/>
        <v>3176.3</v>
      </c>
    </row>
    <row r="15" spans="1:31" ht="14.1" customHeight="1">
      <c r="A15" s="76">
        <v>15</v>
      </c>
      <c r="B15" s="496" t="s">
        <v>280</v>
      </c>
      <c r="C15" s="312" t="s">
        <v>281</v>
      </c>
      <c r="D15" s="345" t="s">
        <v>307</v>
      </c>
      <c r="E15" s="346">
        <v>6</v>
      </c>
      <c r="F15" s="312" t="s">
        <v>314</v>
      </c>
      <c r="G15" s="312" t="s">
        <v>341</v>
      </c>
      <c r="H15" s="72" t="s">
        <v>311</v>
      </c>
      <c r="I15" s="502">
        <v>13.81</v>
      </c>
      <c r="J15" s="347">
        <f t="shared" si="2"/>
        <v>230</v>
      </c>
      <c r="K15" s="260">
        <v>230</v>
      </c>
      <c r="L15" s="260"/>
      <c r="M15" s="260"/>
      <c r="N15" s="260"/>
      <c r="O15" s="260"/>
      <c r="P15" s="260"/>
      <c r="Q15" s="259" t="e">
        <f>IF(K15="nio",0,IF(K15&gt;0,K15*I15/W15,0))*VLOOKUP(B15,'2-Kosten per locatie'!$A$14:$C$28,3,FALSE)</f>
        <v>#DIV/0!</v>
      </c>
      <c r="R15" s="259">
        <f>IF(L15&gt;0,L15*I15/X15,0)*VLOOKUP(B15,'2-Kosten per locatie'!$A$14:$C$28,3,FALSE)</f>
        <v>0</v>
      </c>
      <c r="S15" s="259">
        <f>IF(M15&gt;0,M15*I15/Y15,0)*VLOOKUP(B15,'2-Kosten per locatie'!$A$14:$C$28,3,FALSE)</f>
        <v>0</v>
      </c>
      <c r="T15" s="259">
        <f>IF(N15&gt;0,N15*I15/Z15,0)*VLOOKUP(B15,'2-Kosten per locatie'!$A$14:$C$28,3,FALSE)</f>
        <v>0</v>
      </c>
      <c r="U15" s="259">
        <f>IF(O15&gt;0,O15*I15/Y15,0)*VLOOKUP(B15,'2-Kosten per locatie'!$A$14:$C$28,3,FALSE)</f>
        <v>0</v>
      </c>
      <c r="V15" s="259">
        <f>IF(P15&gt;0,P15*I15/Z15,0)*VLOOKUP(B15,'2-Kosten per locatie'!$A$14:$C$28,3,FALSE)</f>
        <v>0</v>
      </c>
      <c r="W15" s="348">
        <f>IF(K15="nio",0,IF(K15&gt;0,VLOOKUP(G15,'3-Productie normen'!A:N,VLOOKUP(K15,'3-Productie normen'!$B$27:$C$38,2,FALSE),FALSE)))</f>
        <v>0</v>
      </c>
      <c r="X15" s="348">
        <f t="shared" si="3"/>
        <v>0</v>
      </c>
      <c r="Y15" s="348">
        <f t="shared" si="4"/>
        <v>0</v>
      </c>
      <c r="Z15" s="348">
        <f t="shared" si="5"/>
        <v>0</v>
      </c>
      <c r="AA15" s="349">
        <f>VLOOKUP(G15,'3-Productie normen'!A:Q,15,FALSE)</f>
        <v>452.79000000000019</v>
      </c>
      <c r="AB15" s="350">
        <f>VLOOKUP(G15,'3-Productie normen'!A:Q,16,FALSE)</f>
        <v>0</v>
      </c>
      <c r="AC15" s="349"/>
      <c r="AE15" s="351">
        <f t="shared" si="1"/>
        <v>3176.3</v>
      </c>
    </row>
    <row r="16" spans="1:31" ht="14.1" customHeight="1">
      <c r="A16" s="76">
        <v>16</v>
      </c>
      <c r="B16" s="496" t="s">
        <v>280</v>
      </c>
      <c r="C16" s="312" t="s">
        <v>281</v>
      </c>
      <c r="D16" s="345" t="s">
        <v>307</v>
      </c>
      <c r="E16" s="346">
        <v>7</v>
      </c>
      <c r="F16" s="312" t="s">
        <v>313</v>
      </c>
      <c r="G16" s="312" t="s">
        <v>85</v>
      </c>
      <c r="H16" s="72" t="s">
        <v>311</v>
      </c>
      <c r="I16" s="502">
        <v>28.46</v>
      </c>
      <c r="J16" s="347">
        <f t="shared" si="2"/>
        <v>230</v>
      </c>
      <c r="K16" s="260">
        <v>230</v>
      </c>
      <c r="L16" s="260"/>
      <c r="M16" s="260"/>
      <c r="N16" s="260"/>
      <c r="O16" s="260"/>
      <c r="P16" s="260"/>
      <c r="Q16" s="259" t="e">
        <f>IF(K16="nio",0,IF(K16&gt;0,K16*I16/W16,0))*VLOOKUP(B16,'2-Kosten per locatie'!$A$14:$C$28,3,FALSE)</f>
        <v>#DIV/0!</v>
      </c>
      <c r="R16" s="259">
        <f>IF(L16&gt;0,L16*I16/X16,0)*VLOOKUP(B16,'2-Kosten per locatie'!$A$14:$C$28,3,FALSE)</f>
        <v>0</v>
      </c>
      <c r="S16" s="259">
        <f>IF(M16&gt;0,M16*I16/Y16,0)*VLOOKUP(B16,'2-Kosten per locatie'!$A$14:$C$28,3,FALSE)</f>
        <v>0</v>
      </c>
      <c r="T16" s="259">
        <f>IF(N16&gt;0,N16*I16/Z16,0)*VLOOKUP(B16,'2-Kosten per locatie'!$A$14:$C$28,3,FALSE)</f>
        <v>0</v>
      </c>
      <c r="U16" s="259">
        <f>IF(O16&gt;0,O16*I16/Y16,0)*VLOOKUP(B16,'2-Kosten per locatie'!$A$14:$C$28,3,FALSE)</f>
        <v>0</v>
      </c>
      <c r="V16" s="259">
        <f>IF(P16&gt;0,P16*I16/Z16,0)*VLOOKUP(B16,'2-Kosten per locatie'!$A$14:$C$28,3,FALSE)</f>
        <v>0</v>
      </c>
      <c r="W16" s="348">
        <f>IF(K16="nio",0,IF(K16&gt;0,VLOOKUP(G16,'3-Productie normen'!A:N,VLOOKUP(K16,'3-Productie normen'!$B$27:$C$38,2,FALSE),FALSE)))</f>
        <v>0</v>
      </c>
      <c r="X16" s="348">
        <f t="shared" si="3"/>
        <v>0</v>
      </c>
      <c r="Y16" s="348">
        <f t="shared" si="4"/>
        <v>0</v>
      </c>
      <c r="Z16" s="348">
        <f t="shared" si="5"/>
        <v>0</v>
      </c>
      <c r="AA16" s="349">
        <f>VLOOKUP(G16,'3-Productie normen'!A:Q,15,FALSE)</f>
        <v>1367.5950000000007</v>
      </c>
      <c r="AB16" s="350">
        <f>VLOOKUP(G16,'3-Productie normen'!A:Q,16,FALSE)</f>
        <v>0</v>
      </c>
      <c r="AC16" s="349"/>
      <c r="AE16" s="351">
        <f t="shared" si="1"/>
        <v>6545.8</v>
      </c>
    </row>
    <row r="17" spans="1:31" ht="14.1" customHeight="1">
      <c r="A17" s="76">
        <v>17</v>
      </c>
      <c r="B17" s="496" t="s">
        <v>280</v>
      </c>
      <c r="C17" s="312" t="s">
        <v>281</v>
      </c>
      <c r="D17" s="345" t="s">
        <v>307</v>
      </c>
      <c r="E17" s="346">
        <v>8</v>
      </c>
      <c r="F17" s="312" t="s">
        <v>315</v>
      </c>
      <c r="G17" s="312" t="s">
        <v>87</v>
      </c>
      <c r="H17" s="72" t="s">
        <v>316</v>
      </c>
      <c r="I17" s="502">
        <v>18.84</v>
      </c>
      <c r="J17" s="347">
        <f t="shared" si="2"/>
        <v>12</v>
      </c>
      <c r="K17" s="260">
        <v>12</v>
      </c>
      <c r="L17" s="260"/>
      <c r="M17" s="260"/>
      <c r="N17" s="260"/>
      <c r="O17" s="260"/>
      <c r="P17" s="260"/>
      <c r="Q17" s="259" t="e">
        <f>IF(K17="nio",0,IF(K17&gt;0,K17*I17/W17,0))*VLOOKUP(B17,'2-Kosten per locatie'!$A$14:$C$28,3,FALSE)</f>
        <v>#DIV/0!</v>
      </c>
      <c r="R17" s="259">
        <f>IF(L17&gt;0,L17*I17/X17,0)*VLOOKUP(B17,'2-Kosten per locatie'!$A$14:$C$28,3,FALSE)</f>
        <v>0</v>
      </c>
      <c r="S17" s="259">
        <f>IF(M17&gt;0,M17*I17/Y17,0)*VLOOKUP(B17,'2-Kosten per locatie'!$A$14:$C$28,3,FALSE)</f>
        <v>0</v>
      </c>
      <c r="T17" s="259">
        <f>IF(N17&gt;0,N17*I17/Z17,0)*VLOOKUP(B17,'2-Kosten per locatie'!$A$14:$C$28,3,FALSE)</f>
        <v>0</v>
      </c>
      <c r="U17" s="259">
        <f>IF(O17&gt;0,O17*I17/Y17,0)*VLOOKUP(B17,'2-Kosten per locatie'!$A$14:$C$28,3,FALSE)</f>
        <v>0</v>
      </c>
      <c r="V17" s="259">
        <f>IF(P17&gt;0,P17*I17/Z17,0)*VLOOKUP(B17,'2-Kosten per locatie'!$A$14:$C$28,3,FALSE)</f>
        <v>0</v>
      </c>
      <c r="W17" s="348">
        <f>IF(K17="nio",0,IF(K17&gt;0,VLOOKUP(G17,'3-Productie normen'!A:N,VLOOKUP(K17,'3-Productie normen'!$B$27:$C$38,2,FALSE),FALSE)))</f>
        <v>0</v>
      </c>
      <c r="X17" s="348">
        <f t="shared" si="3"/>
        <v>0</v>
      </c>
      <c r="Y17" s="348">
        <f t="shared" si="4"/>
        <v>0</v>
      </c>
      <c r="Z17" s="348">
        <f t="shared" si="5"/>
        <v>0</v>
      </c>
      <c r="AA17" s="349">
        <f>VLOOKUP(G17,'3-Productie normen'!A:Q,15,FALSE)</f>
        <v>661.27599999999984</v>
      </c>
      <c r="AB17" s="350">
        <f>VLOOKUP(G17,'3-Productie normen'!A:Q,16,FALSE)</f>
        <v>0</v>
      </c>
      <c r="AC17" s="349"/>
      <c r="AE17" s="351">
        <f t="shared" si="1"/>
        <v>226.07999999999998</v>
      </c>
    </row>
    <row r="18" spans="1:31" ht="14.1" customHeight="1">
      <c r="A18" s="76">
        <v>18</v>
      </c>
      <c r="B18" s="496" t="s">
        <v>280</v>
      </c>
      <c r="C18" s="312" t="s">
        <v>281</v>
      </c>
      <c r="D18" s="345" t="s">
        <v>307</v>
      </c>
      <c r="E18" s="346">
        <v>9</v>
      </c>
      <c r="F18" s="72" t="s">
        <v>315</v>
      </c>
      <c r="G18" s="72" t="s">
        <v>87</v>
      </c>
      <c r="H18" s="72" t="s">
        <v>316</v>
      </c>
      <c r="I18" s="502">
        <v>18.809999999999999</v>
      </c>
      <c r="J18" s="347">
        <f t="shared" si="2"/>
        <v>12</v>
      </c>
      <c r="K18" s="260">
        <v>12</v>
      </c>
      <c r="L18" s="260"/>
      <c r="M18" s="260"/>
      <c r="N18" s="260"/>
      <c r="O18" s="260"/>
      <c r="P18" s="260"/>
      <c r="Q18" s="259" t="e">
        <f>IF(K18="nio",0,IF(K18&gt;0,K18*I18/W18,0))*VLOOKUP(B18,'2-Kosten per locatie'!$A$14:$C$28,3,FALSE)</f>
        <v>#DIV/0!</v>
      </c>
      <c r="R18" s="259">
        <f>IF(L18&gt;0,L18*I18/X18,0)*VLOOKUP(B18,'2-Kosten per locatie'!$A$14:$C$28,3,FALSE)</f>
        <v>0</v>
      </c>
      <c r="S18" s="259">
        <f>IF(M18&gt;0,M18*I18/Y18,0)*VLOOKUP(B18,'2-Kosten per locatie'!$A$14:$C$28,3,FALSE)</f>
        <v>0</v>
      </c>
      <c r="T18" s="259">
        <f>IF(N18&gt;0,N18*I18/Z18,0)*VLOOKUP(B18,'2-Kosten per locatie'!$A$14:$C$28,3,FALSE)</f>
        <v>0</v>
      </c>
      <c r="U18" s="259">
        <f>IF(O18&gt;0,O18*I18/Y18,0)*VLOOKUP(B18,'2-Kosten per locatie'!$A$14:$C$28,3,FALSE)</f>
        <v>0</v>
      </c>
      <c r="V18" s="259">
        <f>IF(P18&gt;0,P18*I18/Z18,0)*VLOOKUP(B18,'2-Kosten per locatie'!$A$14:$C$28,3,FALSE)</f>
        <v>0</v>
      </c>
      <c r="W18" s="348">
        <f>IF(K18="nio",0,IF(K18&gt;0,VLOOKUP(G18,'3-Productie normen'!A:N,VLOOKUP(K18,'3-Productie normen'!$B$27:$C$38,2,FALSE),FALSE)))</f>
        <v>0</v>
      </c>
      <c r="X18" s="348">
        <f t="shared" si="3"/>
        <v>0</v>
      </c>
      <c r="Y18" s="348">
        <f t="shared" si="4"/>
        <v>0</v>
      </c>
      <c r="Z18" s="348">
        <f t="shared" si="5"/>
        <v>0</v>
      </c>
      <c r="AA18" s="349">
        <f>VLOOKUP(G18,'3-Productie normen'!A:Q,15,FALSE)</f>
        <v>661.27599999999984</v>
      </c>
      <c r="AB18" s="350">
        <f>VLOOKUP(G18,'3-Productie normen'!A:Q,16,FALSE)</f>
        <v>0</v>
      </c>
      <c r="AC18" s="349"/>
      <c r="AE18" s="351">
        <f t="shared" si="1"/>
        <v>225.71999999999997</v>
      </c>
    </row>
    <row r="19" spans="1:31" ht="14.1" customHeight="1">
      <c r="A19" s="76">
        <v>19</v>
      </c>
      <c r="B19" s="496" t="s">
        <v>280</v>
      </c>
      <c r="C19" s="312" t="s">
        <v>281</v>
      </c>
      <c r="D19" s="345" t="s">
        <v>307</v>
      </c>
      <c r="E19" s="254">
        <v>10</v>
      </c>
      <c r="F19" s="86" t="s">
        <v>317</v>
      </c>
      <c r="G19" s="329" t="s">
        <v>88</v>
      </c>
      <c r="H19" s="72" t="s">
        <v>316</v>
      </c>
      <c r="I19" s="502">
        <v>316.3</v>
      </c>
      <c r="J19" s="347"/>
      <c r="K19" s="260">
        <v>230</v>
      </c>
      <c r="L19" s="260"/>
      <c r="M19" s="260"/>
      <c r="N19" s="260"/>
      <c r="O19" s="260"/>
      <c r="P19" s="260"/>
      <c r="Q19" s="259" t="e">
        <f>IF(K19="nio",0,IF(K19&gt;0,K19*I19/W19,0))*VLOOKUP(B19,'2-Kosten per locatie'!$A$14:$C$28,3,FALSE)</f>
        <v>#DIV/0!</v>
      </c>
      <c r="R19" s="259">
        <f>IF(L19&gt;0,L19*I19/X19,0)*VLOOKUP(B19,'2-Kosten per locatie'!$A$14:$C$28,3,FALSE)</f>
        <v>0</v>
      </c>
      <c r="S19" s="259">
        <f>IF(M19&gt;0,M19*I19/Y19,0)*VLOOKUP(B19,'2-Kosten per locatie'!$A$14:$C$28,3,FALSE)</f>
        <v>0</v>
      </c>
      <c r="T19" s="259">
        <f>IF(N19&gt;0,N19*I19/Z19,0)*VLOOKUP(B19,'2-Kosten per locatie'!$A$14:$C$28,3,FALSE)</f>
        <v>0</v>
      </c>
      <c r="U19" s="259">
        <f>IF(O19&gt;0,O19*I19/Y19,0)*VLOOKUP(B19,'2-Kosten per locatie'!$A$14:$C$28,3,FALSE)</f>
        <v>0</v>
      </c>
      <c r="V19" s="259">
        <f>IF(P19&gt;0,P19*I19/Z19,0)*VLOOKUP(B19,'2-Kosten per locatie'!$A$14:$C$28,3,FALSE)</f>
        <v>0</v>
      </c>
      <c r="W19" s="348">
        <f>IF(K19="nio",0,IF(K19&gt;0,VLOOKUP(G19,'3-Productie normen'!A:N,VLOOKUP(K19,'3-Productie normen'!$B$27:$C$38,2,FALSE),FALSE)))</f>
        <v>0</v>
      </c>
      <c r="X19" s="348">
        <f t="shared" si="3"/>
        <v>0</v>
      </c>
      <c r="Y19" s="348">
        <f t="shared" si="4"/>
        <v>0</v>
      </c>
      <c r="Z19" s="348">
        <f t="shared" si="5"/>
        <v>0</v>
      </c>
      <c r="AA19" s="349">
        <f>VLOOKUP(G19,'3-Productie normen'!A:Q,15,FALSE)</f>
        <v>6683.51</v>
      </c>
      <c r="AB19" s="350">
        <f>VLOOKUP(G19,'3-Productie normen'!A:Q,16,FALSE)</f>
        <v>0</v>
      </c>
      <c r="AC19" s="349"/>
      <c r="AE19" s="351">
        <f t="shared" si="1"/>
        <v>0</v>
      </c>
    </row>
    <row r="20" spans="1:31" ht="14.1" customHeight="1">
      <c r="A20" s="76">
        <v>20</v>
      </c>
      <c r="B20" s="496" t="s">
        <v>282</v>
      </c>
      <c r="C20" s="312" t="s">
        <v>283</v>
      </c>
      <c r="D20" s="345" t="s">
        <v>307</v>
      </c>
      <c r="E20" s="346">
        <v>1</v>
      </c>
      <c r="F20" s="312" t="s">
        <v>318</v>
      </c>
      <c r="G20" s="312" t="s">
        <v>89</v>
      </c>
      <c r="H20" s="72" t="s">
        <v>319</v>
      </c>
      <c r="I20" s="502">
        <v>6.35</v>
      </c>
      <c r="J20" s="347">
        <f t="shared" si="2"/>
        <v>230</v>
      </c>
      <c r="K20" s="260">
        <v>230</v>
      </c>
      <c r="L20" s="260"/>
      <c r="M20" s="260"/>
      <c r="N20" s="260"/>
      <c r="O20" s="260"/>
      <c r="P20" s="260"/>
      <c r="Q20" s="259" t="e">
        <f>IF(K20="nio",0,IF(K20&gt;0,K20*I20/W20,0))*VLOOKUP(B20,'2-Kosten per locatie'!$A$14:$C$28,3,FALSE)</f>
        <v>#DIV/0!</v>
      </c>
      <c r="R20" s="259">
        <f>IF(L20&gt;0,L20*I20/X20,0)*VLOOKUP(B20,'2-Kosten per locatie'!$A$14:$C$28,3,FALSE)</f>
        <v>0</v>
      </c>
      <c r="S20" s="259">
        <f>IF(M20&gt;0,M20*I20/Y20,0)*VLOOKUP(B20,'2-Kosten per locatie'!$A$14:$C$28,3,FALSE)</f>
        <v>0</v>
      </c>
      <c r="T20" s="259">
        <f>IF(N20&gt;0,N20*I20/Z20,0)*VLOOKUP(B20,'2-Kosten per locatie'!$A$14:$C$28,3,FALSE)</f>
        <v>0</v>
      </c>
      <c r="U20" s="259">
        <f>IF(O20&gt;0,O20*I20/Y20,0)*VLOOKUP(B20,'2-Kosten per locatie'!$A$14:$C$28,3,FALSE)</f>
        <v>0</v>
      </c>
      <c r="V20" s="259">
        <f>IF(P20&gt;0,P20*I20/Z20,0)*VLOOKUP(B20,'2-Kosten per locatie'!$A$14:$C$28,3,FALSE)</f>
        <v>0</v>
      </c>
      <c r="W20" s="348">
        <f>IF(K20="nio",0,IF(K20&gt;0,VLOOKUP(G20,'3-Productie normen'!A:N,VLOOKUP(K20,'3-Productie normen'!$B$27:$C$38,2,FALSE),FALSE)))</f>
        <v>0</v>
      </c>
      <c r="X20" s="348">
        <f t="shared" si="3"/>
        <v>0</v>
      </c>
      <c r="Y20" s="348">
        <f t="shared" si="4"/>
        <v>0</v>
      </c>
      <c r="Z20" s="348">
        <f t="shared" si="5"/>
        <v>0</v>
      </c>
      <c r="AA20" s="349">
        <f>VLOOKUP(G20,'3-Productie normen'!A:Q,15,FALSE)</f>
        <v>78.48</v>
      </c>
      <c r="AB20" s="350">
        <f>VLOOKUP(G20,'3-Productie normen'!A:Q,16,FALSE)</f>
        <v>0</v>
      </c>
      <c r="AC20" s="349"/>
      <c r="AE20" s="351">
        <f t="shared" si="1"/>
        <v>1460.5</v>
      </c>
    </row>
    <row r="21" spans="1:31" ht="14.1" customHeight="1">
      <c r="A21" s="76">
        <v>21</v>
      </c>
      <c r="B21" s="496" t="s">
        <v>282</v>
      </c>
      <c r="C21" s="312" t="s">
        <v>283</v>
      </c>
      <c r="D21" s="345" t="s">
        <v>307</v>
      </c>
      <c r="E21" s="346">
        <v>2</v>
      </c>
      <c r="F21" s="312" t="s">
        <v>320</v>
      </c>
      <c r="G21" s="312" t="s">
        <v>461</v>
      </c>
      <c r="H21" s="72"/>
      <c r="I21" s="502"/>
      <c r="J21" s="347">
        <f t="shared" si="2"/>
        <v>0</v>
      </c>
      <c r="K21" s="260" t="s">
        <v>460</v>
      </c>
      <c r="L21" s="260"/>
      <c r="M21" s="260"/>
      <c r="N21" s="260"/>
      <c r="O21" s="260"/>
      <c r="P21" s="260"/>
      <c r="Q21" s="259">
        <f>IF(K21="nio",0,IF(K21&gt;0,K21*I21/W21,0))*VLOOKUP(B21,'2-Kosten per locatie'!$A$14:$C$28,3,FALSE)</f>
        <v>0</v>
      </c>
      <c r="R21" s="259">
        <f>IF(L21&gt;0,L21*I21/X21,0)*VLOOKUP(B21,'2-Kosten per locatie'!$A$14:$C$28,3,FALSE)</f>
        <v>0</v>
      </c>
      <c r="S21" s="259">
        <f>IF(M21&gt;0,M21*I21/Y21,0)*VLOOKUP(B21,'2-Kosten per locatie'!$A$14:$C$28,3,FALSE)</f>
        <v>0</v>
      </c>
      <c r="T21" s="259">
        <f>IF(N21&gt;0,N21*I21/Z21,0)*VLOOKUP(B21,'2-Kosten per locatie'!$A$14:$C$28,3,FALSE)</f>
        <v>0</v>
      </c>
      <c r="U21" s="259">
        <f>IF(O21&gt;0,O21*I21/Y21,0)*VLOOKUP(B21,'2-Kosten per locatie'!$A$14:$C$28,3,FALSE)</f>
        <v>0</v>
      </c>
      <c r="V21" s="259">
        <f>IF(P21&gt;0,P21*I21/Z21,0)*VLOOKUP(B21,'2-Kosten per locatie'!$A$14:$C$28,3,FALSE)</f>
        <v>0</v>
      </c>
      <c r="W21" s="348">
        <f>IF(K21="nio",0,IF(K21&gt;0,VLOOKUP(G21,'3-Productie normen'!A:N,VLOOKUP(K21,'3-Productie normen'!$B$27:$C$38,2,FALSE),FALSE)))</f>
        <v>0</v>
      </c>
      <c r="X21" s="348">
        <f t="shared" si="3"/>
        <v>0</v>
      </c>
      <c r="Y21" s="348">
        <f t="shared" si="4"/>
        <v>0</v>
      </c>
      <c r="Z21" s="348">
        <f t="shared" si="5"/>
        <v>0</v>
      </c>
      <c r="AA21" s="349" t="e">
        <f>VLOOKUP(G21,'3-Productie normen'!A:Q,15,FALSE)</f>
        <v>#N/A</v>
      </c>
      <c r="AB21" s="350" t="e">
        <f>VLOOKUP(G21,'3-Productie normen'!A:Q,16,FALSE)</f>
        <v>#N/A</v>
      </c>
      <c r="AC21" s="349"/>
      <c r="AE21" s="351">
        <f t="shared" si="1"/>
        <v>0</v>
      </c>
    </row>
    <row r="22" spans="1:31" ht="14.1" customHeight="1">
      <c r="A22" s="76">
        <v>22</v>
      </c>
      <c r="B22" s="496" t="s">
        <v>282</v>
      </c>
      <c r="C22" s="312" t="s">
        <v>283</v>
      </c>
      <c r="D22" s="345" t="s">
        <v>307</v>
      </c>
      <c r="E22" s="346">
        <v>3</v>
      </c>
      <c r="F22" s="312" t="s">
        <v>312</v>
      </c>
      <c r="G22" s="312" t="s">
        <v>83</v>
      </c>
      <c r="H22" s="72" t="s">
        <v>311</v>
      </c>
      <c r="I22" s="502">
        <v>9.17</v>
      </c>
      <c r="J22" s="347">
        <f t="shared" si="2"/>
        <v>230</v>
      </c>
      <c r="K22" s="260">
        <v>230</v>
      </c>
      <c r="L22" s="260"/>
      <c r="M22" s="260"/>
      <c r="N22" s="260"/>
      <c r="O22" s="260"/>
      <c r="P22" s="260"/>
      <c r="Q22" s="259" t="e">
        <f>IF(K22="nio",0,IF(K22&gt;0,K22*I22/W22,0))*VLOOKUP(B22,'2-Kosten per locatie'!$A$14:$C$28,3,FALSE)</f>
        <v>#DIV/0!</v>
      </c>
      <c r="R22" s="259">
        <f>IF(L22&gt;0,L22*I22/X22,0)*VLOOKUP(B22,'2-Kosten per locatie'!$A$14:$C$28,3,FALSE)</f>
        <v>0</v>
      </c>
      <c r="S22" s="259">
        <f>IF(M22&gt;0,M22*I22/Y22,0)*VLOOKUP(B22,'2-Kosten per locatie'!$A$14:$C$28,3,FALSE)</f>
        <v>0</v>
      </c>
      <c r="T22" s="259">
        <f>IF(N22&gt;0,N22*I22/Z22,0)*VLOOKUP(B22,'2-Kosten per locatie'!$A$14:$C$28,3,FALSE)</f>
        <v>0</v>
      </c>
      <c r="U22" s="259">
        <f>IF(O22&gt;0,O22*I22/Y22,0)*VLOOKUP(B22,'2-Kosten per locatie'!$A$14:$C$28,3,FALSE)</f>
        <v>0</v>
      </c>
      <c r="V22" s="259">
        <f>IF(P22&gt;0,P22*I22/Z22,0)*VLOOKUP(B22,'2-Kosten per locatie'!$A$14:$C$28,3,FALSE)</f>
        <v>0</v>
      </c>
      <c r="W22" s="348">
        <f>IF(K22="nio",0,IF(K22&gt;0,VLOOKUP(G22,'3-Productie normen'!A:N,VLOOKUP(K22,'3-Productie normen'!$B$27:$C$38,2,FALSE),FALSE)))</f>
        <v>0</v>
      </c>
      <c r="X22" s="348">
        <f t="shared" si="3"/>
        <v>0</v>
      </c>
      <c r="Y22" s="348">
        <f t="shared" si="4"/>
        <v>0</v>
      </c>
      <c r="Z22" s="348">
        <f t="shared" si="5"/>
        <v>0</v>
      </c>
      <c r="AA22" s="349">
        <f>VLOOKUP(G22,'3-Productie normen'!A:Q,15,FALSE)</f>
        <v>773.68459999999982</v>
      </c>
      <c r="AB22" s="350">
        <f>VLOOKUP(G22,'3-Productie normen'!A:Q,16,FALSE)</f>
        <v>0</v>
      </c>
      <c r="AC22" s="349"/>
      <c r="AE22" s="351">
        <f t="shared" si="1"/>
        <v>2109.1</v>
      </c>
    </row>
    <row r="23" spans="1:31" ht="14.1" customHeight="1">
      <c r="A23" s="76">
        <v>23</v>
      </c>
      <c r="B23" s="496" t="s">
        <v>282</v>
      </c>
      <c r="C23" s="312" t="s">
        <v>283</v>
      </c>
      <c r="D23" s="345" t="s">
        <v>307</v>
      </c>
      <c r="E23" s="346">
        <v>4</v>
      </c>
      <c r="F23" s="72" t="s">
        <v>313</v>
      </c>
      <c r="G23" s="72" t="s">
        <v>85</v>
      </c>
      <c r="H23" s="72" t="s">
        <v>321</v>
      </c>
      <c r="I23" s="502">
        <v>30.2</v>
      </c>
      <c r="J23" s="347">
        <f t="shared" si="2"/>
        <v>230</v>
      </c>
      <c r="K23" s="260">
        <v>230</v>
      </c>
      <c r="L23" s="260"/>
      <c r="M23" s="260"/>
      <c r="N23" s="260"/>
      <c r="O23" s="260"/>
      <c r="P23" s="260"/>
      <c r="Q23" s="259" t="e">
        <f>IF(K23="nio",0,IF(K23&gt;0,K23*I23/W23,0))*VLOOKUP(B23,'2-Kosten per locatie'!$A$14:$C$28,3,FALSE)</f>
        <v>#DIV/0!</v>
      </c>
      <c r="R23" s="259">
        <f>IF(L23&gt;0,L23*I23/X23,0)*VLOOKUP(B23,'2-Kosten per locatie'!$A$14:$C$28,3,FALSE)</f>
        <v>0</v>
      </c>
      <c r="S23" s="259">
        <f>IF(M23&gt;0,M23*I23/Y23,0)*VLOOKUP(B23,'2-Kosten per locatie'!$A$14:$C$28,3,FALSE)</f>
        <v>0</v>
      </c>
      <c r="T23" s="259">
        <f>IF(N23&gt;0,N23*I23/Z23,0)*VLOOKUP(B23,'2-Kosten per locatie'!$A$14:$C$28,3,FALSE)</f>
        <v>0</v>
      </c>
      <c r="U23" s="259">
        <f>IF(O23&gt;0,O23*I23/Y23,0)*VLOOKUP(B23,'2-Kosten per locatie'!$A$14:$C$28,3,FALSE)</f>
        <v>0</v>
      </c>
      <c r="V23" s="259">
        <f>IF(P23&gt;0,P23*I23/Z23,0)*VLOOKUP(B23,'2-Kosten per locatie'!$A$14:$C$28,3,FALSE)</f>
        <v>0</v>
      </c>
      <c r="W23" s="348">
        <f>IF(K23="nio",0,IF(K23&gt;0,VLOOKUP(G23,'3-Productie normen'!A:N,VLOOKUP(K23,'3-Productie normen'!$B$27:$C$38,2,FALSE),FALSE)))</f>
        <v>0</v>
      </c>
      <c r="X23" s="348">
        <f t="shared" si="3"/>
        <v>0</v>
      </c>
      <c r="Y23" s="348">
        <f t="shared" si="4"/>
        <v>0</v>
      </c>
      <c r="Z23" s="348">
        <f t="shared" si="5"/>
        <v>0</v>
      </c>
      <c r="AA23" s="349">
        <f>VLOOKUP(G23,'3-Productie normen'!A:Q,15,FALSE)</f>
        <v>1367.5950000000007</v>
      </c>
      <c r="AB23" s="350">
        <f>VLOOKUP(G23,'3-Productie normen'!A:Q,16,FALSE)</f>
        <v>0</v>
      </c>
      <c r="AC23" s="349"/>
      <c r="AE23" s="351">
        <f t="shared" si="1"/>
        <v>6946</v>
      </c>
    </row>
    <row r="24" spans="1:31" ht="14.1" customHeight="1">
      <c r="A24" s="76">
        <v>24</v>
      </c>
      <c r="B24" s="496" t="s">
        <v>282</v>
      </c>
      <c r="C24" s="312" t="s">
        <v>283</v>
      </c>
      <c r="D24" s="345" t="s">
        <v>307</v>
      </c>
      <c r="E24" s="254">
        <v>5</v>
      </c>
      <c r="F24" s="86" t="s">
        <v>322</v>
      </c>
      <c r="G24" s="329" t="s">
        <v>341</v>
      </c>
      <c r="H24" s="72" t="s">
        <v>321</v>
      </c>
      <c r="I24" s="502">
        <v>13.32</v>
      </c>
      <c r="J24" s="347">
        <f t="shared" si="2"/>
        <v>230</v>
      </c>
      <c r="K24" s="260">
        <v>230</v>
      </c>
      <c r="L24" s="260"/>
      <c r="M24" s="260"/>
      <c r="N24" s="260"/>
      <c r="O24" s="260"/>
      <c r="P24" s="260"/>
      <c r="Q24" s="259" t="e">
        <f>IF(K24="nio",0,IF(K24&gt;0,K24*I24/W24,0))*VLOOKUP(B24,'2-Kosten per locatie'!$A$14:$C$28,3,FALSE)</f>
        <v>#DIV/0!</v>
      </c>
      <c r="R24" s="259">
        <f>IF(L24&gt;0,L24*I24/X24,0)*VLOOKUP(B24,'2-Kosten per locatie'!$A$14:$C$28,3,FALSE)</f>
        <v>0</v>
      </c>
      <c r="S24" s="259">
        <f>IF(M24&gt;0,M24*I24/Y24,0)*VLOOKUP(B24,'2-Kosten per locatie'!$A$14:$C$28,3,FALSE)</f>
        <v>0</v>
      </c>
      <c r="T24" s="259">
        <f>IF(N24&gt;0,N24*I24/Z24,0)*VLOOKUP(B24,'2-Kosten per locatie'!$A$14:$C$28,3,FALSE)</f>
        <v>0</v>
      </c>
      <c r="U24" s="259">
        <f>IF(O24&gt;0,O24*I24/Y24,0)*VLOOKUP(B24,'2-Kosten per locatie'!$A$14:$C$28,3,FALSE)</f>
        <v>0</v>
      </c>
      <c r="V24" s="259">
        <f>IF(P24&gt;0,P24*I24/Z24,0)*VLOOKUP(B24,'2-Kosten per locatie'!$A$14:$C$28,3,FALSE)</f>
        <v>0</v>
      </c>
      <c r="W24" s="348">
        <f>IF(K24="nio",0,IF(K24&gt;0,VLOOKUP(G24,'3-Productie normen'!A:N,VLOOKUP(K24,'3-Productie normen'!$B$27:$C$38,2,FALSE),FALSE)))</f>
        <v>0</v>
      </c>
      <c r="X24" s="348">
        <f t="shared" si="3"/>
        <v>0</v>
      </c>
      <c r="Y24" s="348">
        <f t="shared" si="4"/>
        <v>0</v>
      </c>
      <c r="Z24" s="348">
        <f t="shared" si="5"/>
        <v>0</v>
      </c>
      <c r="AA24" s="349">
        <f>VLOOKUP(G24,'3-Productie normen'!A:Q,15,FALSE)</f>
        <v>452.79000000000019</v>
      </c>
      <c r="AB24" s="350">
        <f>VLOOKUP(G24,'3-Productie normen'!A:Q,16,FALSE)</f>
        <v>0</v>
      </c>
      <c r="AC24" s="349"/>
      <c r="AE24" s="351">
        <f t="shared" si="1"/>
        <v>3063.6</v>
      </c>
    </row>
    <row r="25" spans="1:31" ht="14.1" customHeight="1">
      <c r="A25" s="76">
        <v>25</v>
      </c>
      <c r="B25" s="496" t="s">
        <v>282</v>
      </c>
      <c r="C25" s="312" t="s">
        <v>283</v>
      </c>
      <c r="D25" s="345" t="s">
        <v>307</v>
      </c>
      <c r="E25" s="346">
        <v>6</v>
      </c>
      <c r="F25" s="312" t="s">
        <v>310</v>
      </c>
      <c r="G25" s="312" t="s">
        <v>81</v>
      </c>
      <c r="H25" s="72" t="s">
        <v>321</v>
      </c>
      <c r="I25" s="502">
        <v>2.76</v>
      </c>
      <c r="J25" s="347">
        <f t="shared" si="2"/>
        <v>230</v>
      </c>
      <c r="K25" s="260">
        <v>230</v>
      </c>
      <c r="L25" s="260"/>
      <c r="M25" s="260"/>
      <c r="N25" s="260"/>
      <c r="O25" s="260"/>
      <c r="P25" s="260"/>
      <c r="Q25" s="259" t="e">
        <f>IF(K25="nio",0,IF(K25&gt;0,K25*I25/W25,0))*VLOOKUP(B25,'2-Kosten per locatie'!$A$14:$C$28,3,FALSE)</f>
        <v>#DIV/0!</v>
      </c>
      <c r="R25" s="259">
        <f>IF(L25&gt;0,L25*I25/X25,0)*VLOOKUP(B25,'2-Kosten per locatie'!$A$14:$C$28,3,FALSE)</f>
        <v>0</v>
      </c>
      <c r="S25" s="259">
        <f>IF(M25&gt;0,M25*I25/Y25,0)*VLOOKUP(B25,'2-Kosten per locatie'!$A$14:$C$28,3,FALSE)</f>
        <v>0</v>
      </c>
      <c r="T25" s="259">
        <f>IF(N25&gt;0,N25*I25/Z25,0)*VLOOKUP(B25,'2-Kosten per locatie'!$A$14:$C$28,3,FALSE)</f>
        <v>0</v>
      </c>
      <c r="U25" s="259">
        <f>IF(O25&gt;0,O25*I25/Y25,0)*VLOOKUP(B25,'2-Kosten per locatie'!$A$14:$C$28,3,FALSE)</f>
        <v>0</v>
      </c>
      <c r="V25" s="259">
        <f>IF(P25&gt;0,P25*I25/Z25,0)*VLOOKUP(B25,'2-Kosten per locatie'!$A$14:$C$28,3,FALSE)</f>
        <v>0</v>
      </c>
      <c r="W25" s="348">
        <f>IF(K25="nio",0,IF(K25&gt;0,VLOOKUP(G25,'3-Productie normen'!A:N,VLOOKUP(K25,'3-Productie normen'!$B$27:$C$38,2,FALSE),FALSE)))</f>
        <v>0</v>
      </c>
      <c r="X25" s="348">
        <f t="shared" si="3"/>
        <v>0</v>
      </c>
      <c r="Y25" s="348">
        <f t="shared" si="4"/>
        <v>0</v>
      </c>
      <c r="Z25" s="348">
        <f t="shared" si="5"/>
        <v>0</v>
      </c>
      <c r="AA25" s="349">
        <f>VLOOKUP(G25,'3-Productie normen'!A:Q,15,FALSE)</f>
        <v>235.06999999999988</v>
      </c>
      <c r="AB25" s="350">
        <f>VLOOKUP(G25,'3-Productie normen'!A:Q,16,FALSE)</f>
        <v>0</v>
      </c>
      <c r="AC25" s="349"/>
      <c r="AE25" s="351">
        <f t="shared" si="1"/>
        <v>634.79999999999995</v>
      </c>
    </row>
    <row r="26" spans="1:31" ht="14.1" customHeight="1">
      <c r="A26" s="76">
        <v>26</v>
      </c>
      <c r="B26" s="496" t="s">
        <v>282</v>
      </c>
      <c r="C26" s="312" t="s">
        <v>283</v>
      </c>
      <c r="D26" s="345" t="s">
        <v>307</v>
      </c>
      <c r="E26" s="346">
        <v>7</v>
      </c>
      <c r="F26" s="312" t="s">
        <v>317</v>
      </c>
      <c r="G26" s="312" t="s">
        <v>88</v>
      </c>
      <c r="H26" s="72" t="s">
        <v>316</v>
      </c>
      <c r="I26" s="502">
        <v>252.17</v>
      </c>
      <c r="J26" s="347">
        <f t="shared" si="2"/>
        <v>52</v>
      </c>
      <c r="K26" s="260">
        <v>52</v>
      </c>
      <c r="L26" s="260"/>
      <c r="M26" s="260"/>
      <c r="N26" s="260"/>
      <c r="O26" s="260"/>
      <c r="P26" s="260"/>
      <c r="Q26" s="259" t="e">
        <f>IF(K26="nio",0,IF(K26&gt;0,K26*I26/W26,0))*VLOOKUP(B26,'2-Kosten per locatie'!$A$14:$C$28,3,FALSE)</f>
        <v>#DIV/0!</v>
      </c>
      <c r="R26" s="259">
        <f>IF(L26&gt;0,L26*I26/X26,0)*VLOOKUP(B26,'2-Kosten per locatie'!$A$14:$C$28,3,FALSE)</f>
        <v>0</v>
      </c>
      <c r="S26" s="259">
        <f>IF(M26&gt;0,M26*I26/Y26,0)*VLOOKUP(B26,'2-Kosten per locatie'!$A$14:$C$28,3,FALSE)</f>
        <v>0</v>
      </c>
      <c r="T26" s="259">
        <f>IF(N26&gt;0,N26*I26/Z26,0)*VLOOKUP(B26,'2-Kosten per locatie'!$A$14:$C$28,3,FALSE)</f>
        <v>0</v>
      </c>
      <c r="U26" s="259">
        <f>IF(O26&gt;0,O26*I26/Y26,0)*VLOOKUP(B26,'2-Kosten per locatie'!$A$14:$C$28,3,FALSE)</f>
        <v>0</v>
      </c>
      <c r="V26" s="259">
        <f>IF(P26&gt;0,P26*I26/Z26,0)*VLOOKUP(B26,'2-Kosten per locatie'!$A$14:$C$28,3,FALSE)</f>
        <v>0</v>
      </c>
      <c r="W26" s="348">
        <f>IF(K26="nio",0,IF(K26&gt;0,VLOOKUP(G26,'3-Productie normen'!A:N,VLOOKUP(K26,'3-Productie normen'!$B$27:$C$38,2,FALSE),FALSE)))</f>
        <v>0</v>
      </c>
      <c r="X26" s="348">
        <f t="shared" si="3"/>
        <v>0</v>
      </c>
      <c r="Y26" s="348">
        <f t="shared" si="4"/>
        <v>0</v>
      </c>
      <c r="Z26" s="348">
        <f t="shared" si="5"/>
        <v>0</v>
      </c>
      <c r="AA26" s="349">
        <f>VLOOKUP(G26,'3-Productie normen'!A:Q,15,FALSE)</f>
        <v>6683.51</v>
      </c>
      <c r="AB26" s="350">
        <f>VLOOKUP(G26,'3-Productie normen'!A:Q,16,FALSE)</f>
        <v>0</v>
      </c>
      <c r="AC26" s="349"/>
      <c r="AE26" s="351">
        <f t="shared" si="1"/>
        <v>13112.84</v>
      </c>
    </row>
    <row r="27" spans="1:31" ht="14.1" customHeight="1">
      <c r="A27" s="76">
        <v>27</v>
      </c>
      <c r="B27" s="496" t="s">
        <v>282</v>
      </c>
      <c r="C27" s="312" t="s">
        <v>283</v>
      </c>
      <c r="D27" s="345" t="s">
        <v>307</v>
      </c>
      <c r="E27" s="346">
        <v>8</v>
      </c>
      <c r="F27" s="312" t="s">
        <v>315</v>
      </c>
      <c r="G27" s="312" t="s">
        <v>87</v>
      </c>
      <c r="H27" s="72" t="s">
        <v>316</v>
      </c>
      <c r="I27" s="502">
        <v>38.4</v>
      </c>
      <c r="J27" s="347">
        <f t="shared" si="2"/>
        <v>52</v>
      </c>
      <c r="K27" s="260">
        <v>52</v>
      </c>
      <c r="L27" s="260"/>
      <c r="M27" s="260"/>
      <c r="N27" s="260"/>
      <c r="O27" s="260"/>
      <c r="P27" s="260"/>
      <c r="Q27" s="259" t="e">
        <f>IF(K27="nio",0,IF(K27&gt;0,K27*I27/W27,0))*VLOOKUP(B27,'2-Kosten per locatie'!$A$14:$C$28,3,FALSE)</f>
        <v>#DIV/0!</v>
      </c>
      <c r="R27" s="259">
        <f>IF(L27&gt;0,L27*I27/X27,0)*VLOOKUP(B27,'2-Kosten per locatie'!$A$14:$C$28,3,FALSE)</f>
        <v>0</v>
      </c>
      <c r="S27" s="259">
        <f>IF(M27&gt;0,M27*I27/Y27,0)*VLOOKUP(B27,'2-Kosten per locatie'!$A$14:$C$28,3,FALSE)</f>
        <v>0</v>
      </c>
      <c r="T27" s="259">
        <f>IF(N27&gt;0,N27*I27/Z27,0)*VLOOKUP(B27,'2-Kosten per locatie'!$A$14:$C$28,3,FALSE)</f>
        <v>0</v>
      </c>
      <c r="U27" s="259">
        <f>IF(O27&gt;0,O27*I27/Y27,0)*VLOOKUP(B27,'2-Kosten per locatie'!$A$14:$C$28,3,FALSE)</f>
        <v>0</v>
      </c>
      <c r="V27" s="259">
        <f>IF(P27&gt;0,P27*I27/Z27,0)*VLOOKUP(B27,'2-Kosten per locatie'!$A$14:$C$28,3,FALSE)</f>
        <v>0</v>
      </c>
      <c r="W27" s="348">
        <f>IF(K27="nio",0,IF(K27&gt;0,VLOOKUP(G27,'3-Productie normen'!A:N,VLOOKUP(K27,'3-Productie normen'!$B$27:$C$38,2,FALSE),FALSE)))</f>
        <v>0</v>
      </c>
      <c r="X27" s="348">
        <f t="shared" si="3"/>
        <v>0</v>
      </c>
      <c r="Y27" s="348">
        <f t="shared" si="4"/>
        <v>0</v>
      </c>
      <c r="Z27" s="348">
        <f t="shared" si="5"/>
        <v>0</v>
      </c>
      <c r="AA27" s="349">
        <f>VLOOKUP(G27,'3-Productie normen'!A:Q,15,FALSE)</f>
        <v>661.27599999999984</v>
      </c>
      <c r="AB27" s="350">
        <f>VLOOKUP(G27,'3-Productie normen'!A:Q,16,FALSE)</f>
        <v>0</v>
      </c>
      <c r="AC27" s="349"/>
      <c r="AE27" s="351">
        <f t="shared" si="1"/>
        <v>1996.8</v>
      </c>
    </row>
    <row r="28" spans="1:31" ht="14.1" customHeight="1">
      <c r="A28" s="76">
        <v>28</v>
      </c>
      <c r="B28" s="496" t="s">
        <v>282</v>
      </c>
      <c r="C28" s="312" t="s">
        <v>283</v>
      </c>
      <c r="D28" s="345" t="s">
        <v>307</v>
      </c>
      <c r="E28" s="346">
        <v>9</v>
      </c>
      <c r="F28" s="72" t="s">
        <v>313</v>
      </c>
      <c r="G28" s="72" t="s">
        <v>85</v>
      </c>
      <c r="H28" s="72" t="s">
        <v>321</v>
      </c>
      <c r="I28" s="502">
        <v>30.2</v>
      </c>
      <c r="J28" s="347">
        <f t="shared" si="2"/>
        <v>230</v>
      </c>
      <c r="K28" s="260">
        <v>230</v>
      </c>
      <c r="L28" s="260"/>
      <c r="M28" s="260"/>
      <c r="N28" s="260"/>
      <c r="O28" s="260"/>
      <c r="P28" s="260"/>
      <c r="Q28" s="259" t="e">
        <f>IF(K28="nio",0,IF(K28&gt;0,K28*I28/W28,0))*VLOOKUP(B28,'2-Kosten per locatie'!$A$14:$C$28,3,FALSE)</f>
        <v>#DIV/0!</v>
      </c>
      <c r="R28" s="259">
        <f>IF(L28&gt;0,L28*I28/X28,0)*VLOOKUP(B28,'2-Kosten per locatie'!$A$14:$C$28,3,FALSE)</f>
        <v>0</v>
      </c>
      <c r="S28" s="259">
        <f>IF(M28&gt;0,M28*I28/Y28,0)*VLOOKUP(B28,'2-Kosten per locatie'!$A$14:$C$28,3,FALSE)</f>
        <v>0</v>
      </c>
      <c r="T28" s="259">
        <f>IF(N28&gt;0,N28*I28/Z28,0)*VLOOKUP(B28,'2-Kosten per locatie'!$A$14:$C$28,3,FALSE)</f>
        <v>0</v>
      </c>
      <c r="U28" s="259">
        <f>IF(O28&gt;0,O28*I28/Y28,0)*VLOOKUP(B28,'2-Kosten per locatie'!$A$14:$C$28,3,FALSE)</f>
        <v>0</v>
      </c>
      <c r="V28" s="259">
        <f>IF(P28&gt;0,P28*I28/Z28,0)*VLOOKUP(B28,'2-Kosten per locatie'!$A$14:$C$28,3,FALSE)</f>
        <v>0</v>
      </c>
      <c r="W28" s="348">
        <f>IF(K28="nio",0,IF(K28&gt;0,VLOOKUP(G28,'3-Productie normen'!A:N,VLOOKUP(K28,'3-Productie normen'!$B$27:$C$38,2,FALSE),FALSE)))</f>
        <v>0</v>
      </c>
      <c r="X28" s="348">
        <f t="shared" si="3"/>
        <v>0</v>
      </c>
      <c r="Y28" s="348">
        <f t="shared" si="4"/>
        <v>0</v>
      </c>
      <c r="Z28" s="348">
        <f t="shared" si="5"/>
        <v>0</v>
      </c>
      <c r="AA28" s="349">
        <f>VLOOKUP(G28,'3-Productie normen'!A:Q,15,FALSE)</f>
        <v>1367.5950000000007</v>
      </c>
      <c r="AB28" s="350">
        <f>VLOOKUP(G28,'3-Productie normen'!A:Q,16,FALSE)</f>
        <v>0</v>
      </c>
      <c r="AC28" s="349"/>
      <c r="AE28" s="351">
        <f t="shared" si="1"/>
        <v>6946</v>
      </c>
    </row>
    <row r="29" spans="1:31" ht="14.1" customHeight="1">
      <c r="A29" s="76">
        <v>29</v>
      </c>
      <c r="B29" s="496" t="s">
        <v>282</v>
      </c>
      <c r="C29" s="312" t="s">
        <v>283</v>
      </c>
      <c r="D29" s="345" t="s">
        <v>307</v>
      </c>
      <c r="E29" s="254">
        <v>10</v>
      </c>
      <c r="F29" s="86" t="s">
        <v>322</v>
      </c>
      <c r="G29" s="86" t="s">
        <v>341</v>
      </c>
      <c r="H29" s="72" t="s">
        <v>321</v>
      </c>
      <c r="I29" s="502">
        <v>13.32</v>
      </c>
      <c r="J29" s="347">
        <f t="shared" si="2"/>
        <v>230</v>
      </c>
      <c r="K29" s="260">
        <v>230</v>
      </c>
      <c r="L29" s="260"/>
      <c r="M29" s="260"/>
      <c r="N29" s="260"/>
      <c r="O29" s="260"/>
      <c r="P29" s="260"/>
      <c r="Q29" s="259" t="e">
        <f>IF(K29="nio",0,IF(K29&gt;0,K29*I29/W29,0))*VLOOKUP(B29,'2-Kosten per locatie'!$A$14:$C$28,3,FALSE)</f>
        <v>#DIV/0!</v>
      </c>
      <c r="R29" s="259">
        <f>IF(L29&gt;0,L29*I29/X29,0)*VLOOKUP(B29,'2-Kosten per locatie'!$A$14:$C$28,3,FALSE)</f>
        <v>0</v>
      </c>
      <c r="S29" s="259">
        <f>IF(M29&gt;0,M29*I29/Y29,0)*VLOOKUP(B29,'2-Kosten per locatie'!$A$14:$C$28,3,FALSE)</f>
        <v>0</v>
      </c>
      <c r="T29" s="259">
        <f>IF(N29&gt;0,N29*I29/Z29,0)*VLOOKUP(B29,'2-Kosten per locatie'!$A$14:$C$28,3,FALSE)</f>
        <v>0</v>
      </c>
      <c r="U29" s="259">
        <f>IF(O29&gt;0,O29*I29/Y29,0)*VLOOKUP(B29,'2-Kosten per locatie'!$A$14:$C$28,3,FALSE)</f>
        <v>0</v>
      </c>
      <c r="V29" s="259">
        <f>IF(P29&gt;0,P29*I29/Z29,0)*VLOOKUP(B29,'2-Kosten per locatie'!$A$14:$C$28,3,FALSE)</f>
        <v>0</v>
      </c>
      <c r="W29" s="348">
        <f>IF(K29="nio",0,IF(K29&gt;0,VLOOKUP(G29,'3-Productie normen'!A:N,VLOOKUP(K29,'3-Productie normen'!$B$27:$C$38,2,FALSE),FALSE)))</f>
        <v>0</v>
      </c>
      <c r="X29" s="348">
        <f t="shared" si="3"/>
        <v>0</v>
      </c>
      <c r="Y29" s="348">
        <f t="shared" si="4"/>
        <v>0</v>
      </c>
      <c r="Z29" s="348">
        <f t="shared" si="5"/>
        <v>0</v>
      </c>
      <c r="AA29" s="349">
        <f>VLOOKUP(G29,'3-Productie normen'!A:Q,15,FALSE)</f>
        <v>452.79000000000019</v>
      </c>
      <c r="AB29" s="350">
        <f>VLOOKUP(G29,'3-Productie normen'!A:Q,16,FALSE)</f>
        <v>0</v>
      </c>
      <c r="AC29" s="349"/>
      <c r="AE29" s="351">
        <f t="shared" si="1"/>
        <v>3063.6</v>
      </c>
    </row>
    <row r="30" spans="1:31" ht="14.1" customHeight="1">
      <c r="A30" s="76">
        <v>30</v>
      </c>
      <c r="B30" s="496" t="s">
        <v>282</v>
      </c>
      <c r="C30" s="312" t="s">
        <v>283</v>
      </c>
      <c r="D30" s="345" t="s">
        <v>307</v>
      </c>
      <c r="E30" s="346">
        <v>11</v>
      </c>
      <c r="F30" s="72" t="s">
        <v>310</v>
      </c>
      <c r="G30" s="72" t="s">
        <v>81</v>
      </c>
      <c r="H30" s="352" t="s">
        <v>321</v>
      </c>
      <c r="I30" s="502">
        <v>2.76</v>
      </c>
      <c r="J30" s="347">
        <f t="shared" si="2"/>
        <v>230</v>
      </c>
      <c r="K30" s="260">
        <v>230</v>
      </c>
      <c r="L30" s="260"/>
      <c r="M30" s="260"/>
      <c r="N30" s="260"/>
      <c r="O30" s="260"/>
      <c r="P30" s="260"/>
      <c r="Q30" s="259" t="e">
        <f>IF(K30="nio",0,IF(K30&gt;0,K30*I30/W30,0))*VLOOKUP(B30,'2-Kosten per locatie'!$A$14:$C$28,3,FALSE)</f>
        <v>#DIV/0!</v>
      </c>
      <c r="R30" s="259">
        <f>IF(L30&gt;0,L30*I30/X30,0)*VLOOKUP(B30,'2-Kosten per locatie'!$A$14:$C$28,3,FALSE)</f>
        <v>0</v>
      </c>
      <c r="S30" s="259">
        <f>IF(M30&gt;0,M30*I30/Y30,0)*VLOOKUP(B30,'2-Kosten per locatie'!$A$14:$C$28,3,FALSE)</f>
        <v>0</v>
      </c>
      <c r="T30" s="259">
        <f>IF(N30&gt;0,N30*I30/Z30,0)*VLOOKUP(B30,'2-Kosten per locatie'!$A$14:$C$28,3,FALSE)</f>
        <v>0</v>
      </c>
      <c r="U30" s="259">
        <f>IF(O30&gt;0,O30*I30/Y30,0)*VLOOKUP(B30,'2-Kosten per locatie'!$A$14:$C$28,3,FALSE)</f>
        <v>0</v>
      </c>
      <c r="V30" s="259">
        <f>IF(P30&gt;0,P30*I30/Z30,0)*VLOOKUP(B30,'2-Kosten per locatie'!$A$14:$C$28,3,FALSE)</f>
        <v>0</v>
      </c>
      <c r="W30" s="348">
        <f>IF(K30="nio",0,IF(K30&gt;0,VLOOKUP(G30,'3-Productie normen'!A:N,VLOOKUP(K30,'3-Productie normen'!$B$27:$C$38,2,FALSE),FALSE)))</f>
        <v>0</v>
      </c>
      <c r="X30" s="348">
        <f t="shared" si="3"/>
        <v>0</v>
      </c>
      <c r="Y30" s="348">
        <f t="shared" si="4"/>
        <v>0</v>
      </c>
      <c r="Z30" s="348">
        <f t="shared" si="5"/>
        <v>0</v>
      </c>
      <c r="AA30" s="349">
        <f>VLOOKUP(G30,'3-Productie normen'!A:Q,15,FALSE)</f>
        <v>235.06999999999988</v>
      </c>
      <c r="AB30" s="350">
        <f>VLOOKUP(G30,'3-Productie normen'!A:Q,16,FALSE)</f>
        <v>0</v>
      </c>
      <c r="AC30" s="349"/>
      <c r="AE30" s="351">
        <f t="shared" si="1"/>
        <v>634.79999999999995</v>
      </c>
    </row>
    <row r="31" spans="1:31" ht="14.1" customHeight="1">
      <c r="A31" s="76">
        <v>31</v>
      </c>
      <c r="B31" s="496" t="s">
        <v>282</v>
      </c>
      <c r="C31" s="312" t="s">
        <v>283</v>
      </c>
      <c r="D31" s="87" t="s">
        <v>307</v>
      </c>
      <c r="E31" s="254">
        <v>12</v>
      </c>
      <c r="F31" s="86" t="s">
        <v>308</v>
      </c>
      <c r="G31" s="86" t="s">
        <v>79</v>
      </c>
      <c r="H31" s="72" t="s">
        <v>321</v>
      </c>
      <c r="I31" s="502">
        <v>8.1300000000000008</v>
      </c>
      <c r="J31" s="347">
        <f t="shared" si="2"/>
        <v>230</v>
      </c>
      <c r="K31" s="260">
        <v>230</v>
      </c>
      <c r="L31" s="260"/>
      <c r="M31" s="260"/>
      <c r="N31" s="260"/>
      <c r="O31" s="260"/>
      <c r="P31" s="260"/>
      <c r="Q31" s="259" t="e">
        <f>IF(K31="nio",0,IF(K31&gt;0,K31*I31/W31,0))*VLOOKUP(B31,'2-Kosten per locatie'!$A$14:$C$28,3,FALSE)</f>
        <v>#DIV/0!</v>
      </c>
      <c r="R31" s="259">
        <f>IF(L31&gt;0,L31*I31/X31,0)*VLOOKUP(B31,'2-Kosten per locatie'!$A$14:$C$28,3,FALSE)</f>
        <v>0</v>
      </c>
      <c r="S31" s="259">
        <f>IF(M31&gt;0,M31*I31/Y31,0)*VLOOKUP(B31,'2-Kosten per locatie'!$A$14:$C$28,3,FALSE)</f>
        <v>0</v>
      </c>
      <c r="T31" s="259">
        <f>IF(N31&gt;0,N31*I31/Z31,0)*VLOOKUP(B31,'2-Kosten per locatie'!$A$14:$C$28,3,FALSE)</f>
        <v>0</v>
      </c>
      <c r="U31" s="259">
        <f>IF(O31&gt;0,O31*I31/Y31,0)*VLOOKUP(B31,'2-Kosten per locatie'!$A$14:$C$28,3,FALSE)</f>
        <v>0</v>
      </c>
      <c r="V31" s="259">
        <f>IF(P31&gt;0,P31*I31/Z31,0)*VLOOKUP(B31,'2-Kosten per locatie'!$A$14:$C$28,3,FALSE)</f>
        <v>0</v>
      </c>
      <c r="W31" s="348">
        <f>IF(K31="nio",0,IF(K31&gt;0,VLOOKUP(G31,'3-Productie normen'!A:N,VLOOKUP(K31,'3-Productie normen'!$B$27:$C$38,2,FALSE),FALSE)))</f>
        <v>0</v>
      </c>
      <c r="X31" s="348">
        <f t="shared" si="3"/>
        <v>0</v>
      </c>
      <c r="Y31" s="348">
        <f t="shared" si="4"/>
        <v>0</v>
      </c>
      <c r="Z31" s="348">
        <f t="shared" si="5"/>
        <v>0</v>
      </c>
      <c r="AA31" s="349">
        <f>VLOOKUP(G31,'3-Productie normen'!A:Q,15,FALSE)</f>
        <v>78.010000000000005</v>
      </c>
      <c r="AB31" s="350">
        <f>VLOOKUP(G31,'3-Productie normen'!A:Q,16,FALSE)</f>
        <v>0</v>
      </c>
      <c r="AC31" s="349"/>
      <c r="AE31" s="351">
        <f t="shared" si="1"/>
        <v>1869.9</v>
      </c>
    </row>
    <row r="32" spans="1:31" ht="14.1" customHeight="1">
      <c r="A32" s="76">
        <v>32</v>
      </c>
      <c r="B32" s="496" t="s">
        <v>282</v>
      </c>
      <c r="C32" s="312" t="s">
        <v>283</v>
      </c>
      <c r="D32" s="345" t="s">
        <v>307</v>
      </c>
      <c r="E32" s="346">
        <v>13</v>
      </c>
      <c r="F32" s="72" t="s">
        <v>310</v>
      </c>
      <c r="G32" s="72" t="s">
        <v>81</v>
      </c>
      <c r="H32" s="72" t="s">
        <v>321</v>
      </c>
      <c r="I32" s="502">
        <v>2.44</v>
      </c>
      <c r="J32" s="347">
        <f t="shared" si="2"/>
        <v>230</v>
      </c>
      <c r="K32" s="260">
        <v>230</v>
      </c>
      <c r="L32" s="260"/>
      <c r="M32" s="260"/>
      <c r="N32" s="260"/>
      <c r="O32" s="260"/>
      <c r="P32" s="260"/>
      <c r="Q32" s="259" t="e">
        <f>IF(K32="nio",0,IF(K32&gt;0,K32*I32/W32,0))*VLOOKUP(B32,'2-Kosten per locatie'!$A$14:$C$28,3,FALSE)</f>
        <v>#DIV/0!</v>
      </c>
      <c r="R32" s="259">
        <f>IF(L32&gt;0,L32*I32/X32,0)*VLOOKUP(B32,'2-Kosten per locatie'!$A$14:$C$28,3,FALSE)</f>
        <v>0</v>
      </c>
      <c r="S32" s="259">
        <f>IF(M32&gt;0,M32*I32/Y32,0)*VLOOKUP(B32,'2-Kosten per locatie'!$A$14:$C$28,3,FALSE)</f>
        <v>0</v>
      </c>
      <c r="T32" s="259">
        <f>IF(N32&gt;0,N32*I32/Z32,0)*VLOOKUP(B32,'2-Kosten per locatie'!$A$14:$C$28,3,FALSE)</f>
        <v>0</v>
      </c>
      <c r="U32" s="259">
        <f>IF(O32&gt;0,O32*I32/Y32,0)*VLOOKUP(B32,'2-Kosten per locatie'!$A$14:$C$28,3,FALSE)</f>
        <v>0</v>
      </c>
      <c r="V32" s="259">
        <f>IF(P32&gt;0,P32*I32/Z32,0)*VLOOKUP(B32,'2-Kosten per locatie'!$A$14:$C$28,3,FALSE)</f>
        <v>0</v>
      </c>
      <c r="W32" s="348">
        <f>IF(K32="nio",0,IF(K32&gt;0,VLOOKUP(G32,'3-Productie normen'!A:N,VLOOKUP(K32,'3-Productie normen'!$B$27:$C$38,2,FALSE),FALSE)))</f>
        <v>0</v>
      </c>
      <c r="X32" s="348">
        <f t="shared" si="3"/>
        <v>0</v>
      </c>
      <c r="Y32" s="348">
        <f t="shared" si="4"/>
        <v>0</v>
      </c>
      <c r="Z32" s="348">
        <f t="shared" si="5"/>
        <v>0</v>
      </c>
      <c r="AA32" s="349">
        <f>VLOOKUP(G32,'3-Productie normen'!A:Q,15,FALSE)</f>
        <v>235.06999999999988</v>
      </c>
      <c r="AB32" s="350">
        <f>VLOOKUP(G32,'3-Productie normen'!A:Q,16,FALSE)</f>
        <v>0</v>
      </c>
      <c r="AC32" s="349"/>
      <c r="AE32" s="351">
        <f t="shared" si="1"/>
        <v>561.19999999999993</v>
      </c>
    </row>
    <row r="33" spans="1:31" ht="14.1" customHeight="1">
      <c r="A33" s="76">
        <v>33</v>
      </c>
      <c r="B33" s="496" t="s">
        <v>284</v>
      </c>
      <c r="C33" s="312" t="s">
        <v>285</v>
      </c>
      <c r="D33" s="345" t="s">
        <v>307</v>
      </c>
      <c r="E33" s="346">
        <v>1</v>
      </c>
      <c r="F33" s="72" t="s">
        <v>318</v>
      </c>
      <c r="G33" s="72" t="s">
        <v>89</v>
      </c>
      <c r="H33" s="72" t="s">
        <v>319</v>
      </c>
      <c r="I33" s="502">
        <v>5.38</v>
      </c>
      <c r="J33" s="347">
        <f t="shared" si="2"/>
        <v>230</v>
      </c>
      <c r="K33" s="260">
        <v>230</v>
      </c>
      <c r="L33" s="260"/>
      <c r="M33" s="260"/>
      <c r="N33" s="260"/>
      <c r="O33" s="260"/>
      <c r="P33" s="260"/>
      <c r="Q33" s="259" t="e">
        <f>IF(K33="nio",0,IF(K33&gt;0,K33*I33/W33,0))*VLOOKUP(B33,'2-Kosten per locatie'!$A$14:$C$28,3,FALSE)</f>
        <v>#DIV/0!</v>
      </c>
      <c r="R33" s="259">
        <f>IF(L33&gt;0,L33*I33/X33,0)*VLOOKUP(B33,'2-Kosten per locatie'!$A$14:$C$28,3,FALSE)</f>
        <v>0</v>
      </c>
      <c r="S33" s="259">
        <f>IF(M33&gt;0,M33*I33/Y33,0)*VLOOKUP(B33,'2-Kosten per locatie'!$A$14:$C$28,3,FALSE)</f>
        <v>0</v>
      </c>
      <c r="T33" s="259">
        <f>IF(N33&gt;0,N33*I33/Z33,0)*VLOOKUP(B33,'2-Kosten per locatie'!$A$14:$C$28,3,FALSE)</f>
        <v>0</v>
      </c>
      <c r="U33" s="259">
        <f>IF(O33&gt;0,O33*I33/Y33,0)*VLOOKUP(B33,'2-Kosten per locatie'!$A$14:$C$28,3,FALSE)</f>
        <v>0</v>
      </c>
      <c r="V33" s="259">
        <f>IF(P33&gt;0,P33*I33/Z33,0)*VLOOKUP(B33,'2-Kosten per locatie'!$A$14:$C$28,3,FALSE)</f>
        <v>0</v>
      </c>
      <c r="W33" s="348">
        <f>IF(K33="nio",0,IF(K33&gt;0,VLOOKUP(G33,'3-Productie normen'!A:N,VLOOKUP(K33,'3-Productie normen'!$B$27:$C$38,2,FALSE),FALSE)))</f>
        <v>0</v>
      </c>
      <c r="X33" s="348">
        <f t="shared" si="3"/>
        <v>0</v>
      </c>
      <c r="Y33" s="348">
        <f t="shared" si="4"/>
        <v>0</v>
      </c>
      <c r="Z33" s="348">
        <f t="shared" si="5"/>
        <v>0</v>
      </c>
      <c r="AA33" s="349">
        <f>VLOOKUP(G33,'3-Productie normen'!A:Q,15,FALSE)</f>
        <v>78.48</v>
      </c>
      <c r="AB33" s="350">
        <f>VLOOKUP(G33,'3-Productie normen'!A:Q,16,FALSE)</f>
        <v>0</v>
      </c>
      <c r="AC33" s="349"/>
      <c r="AE33" s="351">
        <f t="shared" si="1"/>
        <v>1237.3999999999999</v>
      </c>
    </row>
    <row r="34" spans="1:31" ht="14.1" customHeight="1">
      <c r="A34" s="76">
        <v>34</v>
      </c>
      <c r="B34" s="496" t="s">
        <v>284</v>
      </c>
      <c r="C34" s="312" t="s">
        <v>285</v>
      </c>
      <c r="D34" s="345" t="s">
        <v>307</v>
      </c>
      <c r="E34" s="346">
        <v>2</v>
      </c>
      <c r="F34" s="72" t="s">
        <v>312</v>
      </c>
      <c r="G34" s="72" t="s">
        <v>83</v>
      </c>
      <c r="H34" s="72" t="s">
        <v>311</v>
      </c>
      <c r="I34" s="502">
        <v>10.34</v>
      </c>
      <c r="J34" s="347">
        <f t="shared" si="2"/>
        <v>230</v>
      </c>
      <c r="K34" s="260">
        <v>230</v>
      </c>
      <c r="L34" s="260"/>
      <c r="M34" s="260"/>
      <c r="N34" s="260"/>
      <c r="O34" s="260"/>
      <c r="P34" s="260"/>
      <c r="Q34" s="259" t="e">
        <f>IF(K34="nio",0,IF(K34&gt;0,K34*I34/W34,0))*VLOOKUP(B34,'2-Kosten per locatie'!$A$14:$C$28,3,FALSE)</f>
        <v>#DIV/0!</v>
      </c>
      <c r="R34" s="259">
        <f>IF(L34&gt;0,L34*I34/X34,0)*VLOOKUP(B34,'2-Kosten per locatie'!$A$14:$C$28,3,FALSE)</f>
        <v>0</v>
      </c>
      <c r="S34" s="259">
        <f>IF(M34&gt;0,M34*I34/Y34,0)*VLOOKUP(B34,'2-Kosten per locatie'!$A$14:$C$28,3,FALSE)</f>
        <v>0</v>
      </c>
      <c r="T34" s="259">
        <f>IF(N34&gt;0,N34*I34/Z34,0)*VLOOKUP(B34,'2-Kosten per locatie'!$A$14:$C$28,3,FALSE)</f>
        <v>0</v>
      </c>
      <c r="U34" s="259">
        <f>IF(O34&gt;0,O34*I34/Y34,0)*VLOOKUP(B34,'2-Kosten per locatie'!$A$14:$C$28,3,FALSE)</f>
        <v>0</v>
      </c>
      <c r="V34" s="259">
        <f>IF(P34&gt;0,P34*I34/Z34,0)*VLOOKUP(B34,'2-Kosten per locatie'!$A$14:$C$28,3,FALSE)</f>
        <v>0</v>
      </c>
      <c r="W34" s="348">
        <f>IF(K34="nio",0,IF(K34&gt;0,VLOOKUP(G34,'3-Productie normen'!A:N,VLOOKUP(K34,'3-Productie normen'!$B$27:$C$38,2,FALSE),FALSE)))</f>
        <v>0</v>
      </c>
      <c r="X34" s="348">
        <f t="shared" si="3"/>
        <v>0</v>
      </c>
      <c r="Y34" s="348">
        <f t="shared" si="4"/>
        <v>0</v>
      </c>
      <c r="Z34" s="348">
        <f t="shared" si="5"/>
        <v>0</v>
      </c>
      <c r="AA34" s="349">
        <f>VLOOKUP(G34,'3-Productie normen'!A:Q,15,FALSE)</f>
        <v>773.68459999999982</v>
      </c>
      <c r="AB34" s="350">
        <f>VLOOKUP(G34,'3-Productie normen'!A:Q,16,FALSE)</f>
        <v>0</v>
      </c>
      <c r="AC34" s="349"/>
      <c r="AE34" s="351">
        <f t="shared" si="1"/>
        <v>2378.1999999999998</v>
      </c>
    </row>
    <row r="35" spans="1:31" ht="14.1" customHeight="1">
      <c r="A35" s="76">
        <v>35</v>
      </c>
      <c r="B35" s="496" t="s">
        <v>284</v>
      </c>
      <c r="C35" s="312" t="s">
        <v>285</v>
      </c>
      <c r="D35" s="345" t="s">
        <v>307</v>
      </c>
      <c r="E35" s="346">
        <v>3</v>
      </c>
      <c r="F35" s="72" t="s">
        <v>308</v>
      </c>
      <c r="G35" s="72" t="s">
        <v>79</v>
      </c>
      <c r="H35" s="72" t="s">
        <v>321</v>
      </c>
      <c r="I35" s="502">
        <v>7.86</v>
      </c>
      <c r="J35" s="347">
        <f t="shared" si="2"/>
        <v>230</v>
      </c>
      <c r="K35" s="260">
        <v>230</v>
      </c>
      <c r="L35" s="260"/>
      <c r="M35" s="260"/>
      <c r="N35" s="260"/>
      <c r="O35" s="260"/>
      <c r="P35" s="260"/>
      <c r="Q35" s="259" t="e">
        <f>IF(K35="nio",0,IF(K35&gt;0,K35*I35/W35,0))*VLOOKUP(B35,'2-Kosten per locatie'!$A$14:$C$28,3,FALSE)</f>
        <v>#DIV/0!</v>
      </c>
      <c r="R35" s="259">
        <f>IF(L35&gt;0,L35*I35/X35,0)*VLOOKUP(B35,'2-Kosten per locatie'!$A$14:$C$28,3,FALSE)</f>
        <v>0</v>
      </c>
      <c r="S35" s="259">
        <f>IF(M35&gt;0,M35*I35/Y35,0)*VLOOKUP(B35,'2-Kosten per locatie'!$A$14:$C$28,3,FALSE)</f>
        <v>0</v>
      </c>
      <c r="T35" s="259">
        <f>IF(N35&gt;0,N35*I35/Z35,0)*VLOOKUP(B35,'2-Kosten per locatie'!$A$14:$C$28,3,FALSE)</f>
        <v>0</v>
      </c>
      <c r="U35" s="259">
        <f>IF(O35&gt;0,O35*I35/Y35,0)*VLOOKUP(B35,'2-Kosten per locatie'!$A$14:$C$28,3,FALSE)</f>
        <v>0</v>
      </c>
      <c r="V35" s="259">
        <f>IF(P35&gt;0,P35*I35/Z35,0)*VLOOKUP(B35,'2-Kosten per locatie'!$A$14:$C$28,3,FALSE)</f>
        <v>0</v>
      </c>
      <c r="W35" s="348">
        <f>IF(K35="nio",0,IF(K35&gt;0,VLOOKUP(G35,'3-Productie normen'!A:N,VLOOKUP(K35,'3-Productie normen'!$B$27:$C$38,2,FALSE),FALSE)))</f>
        <v>0</v>
      </c>
      <c r="X35" s="348">
        <f t="shared" si="3"/>
        <v>0</v>
      </c>
      <c r="Y35" s="348">
        <f t="shared" si="4"/>
        <v>0</v>
      </c>
      <c r="Z35" s="348">
        <f t="shared" si="5"/>
        <v>0</v>
      </c>
      <c r="AA35" s="349">
        <f>VLOOKUP(G35,'3-Productie normen'!A:Q,15,FALSE)</f>
        <v>78.010000000000005</v>
      </c>
      <c r="AB35" s="350">
        <f>VLOOKUP(G35,'3-Productie normen'!A:Q,16,FALSE)</f>
        <v>0</v>
      </c>
      <c r="AC35" s="349"/>
      <c r="AE35" s="351">
        <f t="shared" si="1"/>
        <v>1807.8000000000002</v>
      </c>
    </row>
    <row r="36" spans="1:31" ht="14.1" customHeight="1">
      <c r="A36" s="76">
        <v>36</v>
      </c>
      <c r="B36" s="496" t="s">
        <v>284</v>
      </c>
      <c r="C36" s="312" t="s">
        <v>285</v>
      </c>
      <c r="D36" s="345" t="s">
        <v>307</v>
      </c>
      <c r="E36" s="346">
        <v>4</v>
      </c>
      <c r="F36" s="72" t="s">
        <v>310</v>
      </c>
      <c r="G36" s="72" t="s">
        <v>81</v>
      </c>
      <c r="H36" s="72" t="s">
        <v>321</v>
      </c>
      <c r="I36" s="502">
        <v>1.42</v>
      </c>
      <c r="J36" s="347">
        <f t="shared" si="2"/>
        <v>230</v>
      </c>
      <c r="K36" s="260">
        <v>230</v>
      </c>
      <c r="L36" s="260"/>
      <c r="M36" s="260"/>
      <c r="N36" s="260"/>
      <c r="O36" s="260"/>
      <c r="P36" s="260"/>
      <c r="Q36" s="259" t="e">
        <f>IF(K36="nio",0,IF(K36&gt;0,K36*I36/W36,0))*VLOOKUP(B36,'2-Kosten per locatie'!$A$14:$C$28,3,FALSE)</f>
        <v>#DIV/0!</v>
      </c>
      <c r="R36" s="259">
        <f>IF(L36&gt;0,L36*I36/X36,0)*VLOOKUP(B36,'2-Kosten per locatie'!$A$14:$C$28,3,FALSE)</f>
        <v>0</v>
      </c>
      <c r="S36" s="259">
        <f>IF(M36&gt;0,M36*I36/Y36,0)*VLOOKUP(B36,'2-Kosten per locatie'!$A$14:$C$28,3,FALSE)</f>
        <v>0</v>
      </c>
      <c r="T36" s="259">
        <f>IF(N36&gt;0,N36*I36/Z36,0)*VLOOKUP(B36,'2-Kosten per locatie'!$A$14:$C$28,3,FALSE)</f>
        <v>0</v>
      </c>
      <c r="U36" s="259">
        <f>IF(O36&gt;0,O36*I36/Y36,0)*VLOOKUP(B36,'2-Kosten per locatie'!$A$14:$C$28,3,FALSE)</f>
        <v>0</v>
      </c>
      <c r="V36" s="259">
        <f>IF(P36&gt;0,P36*I36/Z36,0)*VLOOKUP(B36,'2-Kosten per locatie'!$A$14:$C$28,3,FALSE)</f>
        <v>0</v>
      </c>
      <c r="W36" s="348">
        <f>IF(K36="nio",0,IF(K36&gt;0,VLOOKUP(G36,'3-Productie normen'!A:N,VLOOKUP(K36,'3-Productie normen'!$B$27:$C$38,2,FALSE),FALSE)))</f>
        <v>0</v>
      </c>
      <c r="X36" s="348">
        <f t="shared" si="3"/>
        <v>0</v>
      </c>
      <c r="Y36" s="348">
        <f t="shared" si="4"/>
        <v>0</v>
      </c>
      <c r="Z36" s="348">
        <f t="shared" si="5"/>
        <v>0</v>
      </c>
      <c r="AA36" s="349">
        <f>VLOOKUP(G36,'3-Productie normen'!A:Q,15,FALSE)</f>
        <v>235.06999999999988</v>
      </c>
      <c r="AB36" s="350">
        <f>VLOOKUP(G36,'3-Productie normen'!A:Q,16,FALSE)</f>
        <v>0</v>
      </c>
      <c r="AC36" s="349"/>
      <c r="AE36" s="351">
        <f t="shared" si="1"/>
        <v>326.59999999999997</v>
      </c>
    </row>
    <row r="37" spans="1:31" ht="14.1" customHeight="1">
      <c r="A37" s="76">
        <v>37</v>
      </c>
      <c r="B37" s="496" t="s">
        <v>284</v>
      </c>
      <c r="C37" s="312" t="s">
        <v>285</v>
      </c>
      <c r="D37" s="345" t="s">
        <v>307</v>
      </c>
      <c r="E37" s="346">
        <v>5</v>
      </c>
      <c r="F37" s="72" t="s">
        <v>313</v>
      </c>
      <c r="G37" s="72" t="s">
        <v>85</v>
      </c>
      <c r="H37" s="72" t="s">
        <v>321</v>
      </c>
      <c r="I37" s="502">
        <v>33.010000000000005</v>
      </c>
      <c r="J37" s="347">
        <f t="shared" si="2"/>
        <v>230</v>
      </c>
      <c r="K37" s="260">
        <v>230</v>
      </c>
      <c r="L37" s="260"/>
      <c r="M37" s="260"/>
      <c r="N37" s="260"/>
      <c r="O37" s="260"/>
      <c r="P37" s="260"/>
      <c r="Q37" s="259" t="e">
        <f>IF(K37="nio",0,IF(K37&gt;0,K37*I37/W37,0))*VLOOKUP(B37,'2-Kosten per locatie'!$A$14:$C$28,3,FALSE)</f>
        <v>#DIV/0!</v>
      </c>
      <c r="R37" s="259">
        <f>IF(L37&gt;0,L37*I37/X37,0)*VLOOKUP(B37,'2-Kosten per locatie'!$A$14:$C$28,3,FALSE)</f>
        <v>0</v>
      </c>
      <c r="S37" s="259">
        <f>IF(M37&gt;0,M37*I37/Y37,0)*VLOOKUP(B37,'2-Kosten per locatie'!$A$14:$C$28,3,FALSE)</f>
        <v>0</v>
      </c>
      <c r="T37" s="259">
        <f>IF(N37&gt;0,N37*I37/Z37,0)*VLOOKUP(B37,'2-Kosten per locatie'!$A$14:$C$28,3,FALSE)</f>
        <v>0</v>
      </c>
      <c r="U37" s="259">
        <f>IF(O37&gt;0,O37*I37/Y37,0)*VLOOKUP(B37,'2-Kosten per locatie'!$A$14:$C$28,3,FALSE)</f>
        <v>0</v>
      </c>
      <c r="V37" s="259">
        <f>IF(P37&gt;0,P37*I37/Z37,0)*VLOOKUP(B37,'2-Kosten per locatie'!$A$14:$C$28,3,FALSE)</f>
        <v>0</v>
      </c>
      <c r="W37" s="348">
        <f>IF(K37="nio",0,IF(K37&gt;0,VLOOKUP(G37,'3-Productie normen'!A:N,VLOOKUP(K37,'3-Productie normen'!$B$27:$C$38,2,FALSE),FALSE)))</f>
        <v>0</v>
      </c>
      <c r="X37" s="348">
        <f t="shared" si="3"/>
        <v>0</v>
      </c>
      <c r="Y37" s="348">
        <f t="shared" si="4"/>
        <v>0</v>
      </c>
      <c r="Z37" s="348">
        <f t="shared" si="5"/>
        <v>0</v>
      </c>
      <c r="AA37" s="349">
        <f>VLOOKUP(G37,'3-Productie normen'!A:Q,15,FALSE)</f>
        <v>1367.5950000000007</v>
      </c>
      <c r="AB37" s="350">
        <f>VLOOKUP(G37,'3-Productie normen'!A:Q,16,FALSE)</f>
        <v>0</v>
      </c>
      <c r="AC37" s="349"/>
      <c r="AE37" s="351">
        <f t="shared" si="1"/>
        <v>7592.3000000000011</v>
      </c>
    </row>
    <row r="38" spans="1:31" ht="14.1" customHeight="1">
      <c r="A38" s="76">
        <v>38</v>
      </c>
      <c r="B38" s="496" t="s">
        <v>284</v>
      </c>
      <c r="C38" s="312" t="s">
        <v>285</v>
      </c>
      <c r="D38" s="345" t="s">
        <v>307</v>
      </c>
      <c r="E38" s="346">
        <v>6</v>
      </c>
      <c r="F38" s="72" t="s">
        <v>322</v>
      </c>
      <c r="G38" s="72" t="s">
        <v>341</v>
      </c>
      <c r="H38" s="72" t="s">
        <v>321</v>
      </c>
      <c r="I38" s="502">
        <v>15.38</v>
      </c>
      <c r="J38" s="347">
        <f t="shared" si="2"/>
        <v>230</v>
      </c>
      <c r="K38" s="260">
        <v>230</v>
      </c>
      <c r="L38" s="260"/>
      <c r="M38" s="260"/>
      <c r="N38" s="260"/>
      <c r="O38" s="260"/>
      <c r="P38" s="260"/>
      <c r="Q38" s="259" t="e">
        <f>IF(K38="nio",0,IF(K38&gt;0,K38*I38/W38,0))*VLOOKUP(B38,'2-Kosten per locatie'!$A$14:$C$28,3,FALSE)</f>
        <v>#DIV/0!</v>
      </c>
      <c r="R38" s="259">
        <f>IF(L38&gt;0,L38*I38/X38,0)*VLOOKUP(B38,'2-Kosten per locatie'!$A$14:$C$28,3,FALSE)</f>
        <v>0</v>
      </c>
      <c r="S38" s="259">
        <f>IF(M38&gt;0,M38*I38/Y38,0)*VLOOKUP(B38,'2-Kosten per locatie'!$A$14:$C$28,3,FALSE)</f>
        <v>0</v>
      </c>
      <c r="T38" s="259">
        <f>IF(N38&gt;0,N38*I38/Z38,0)*VLOOKUP(B38,'2-Kosten per locatie'!$A$14:$C$28,3,FALSE)</f>
        <v>0</v>
      </c>
      <c r="U38" s="259">
        <f>IF(O38&gt;0,O38*I38/Y38,0)*VLOOKUP(B38,'2-Kosten per locatie'!$A$14:$C$28,3,FALSE)</f>
        <v>0</v>
      </c>
      <c r="V38" s="259">
        <f>IF(P38&gt;0,P38*I38/Z38,0)*VLOOKUP(B38,'2-Kosten per locatie'!$A$14:$C$28,3,FALSE)</f>
        <v>0</v>
      </c>
      <c r="W38" s="348">
        <f>IF(K38="nio",0,IF(K38&gt;0,VLOOKUP(G38,'3-Productie normen'!A:N,VLOOKUP(K38,'3-Productie normen'!$B$27:$C$38,2,FALSE),FALSE)))</f>
        <v>0</v>
      </c>
      <c r="X38" s="348">
        <f t="shared" si="3"/>
        <v>0</v>
      </c>
      <c r="Y38" s="348">
        <f t="shared" si="4"/>
        <v>0</v>
      </c>
      <c r="Z38" s="348">
        <f t="shared" si="5"/>
        <v>0</v>
      </c>
      <c r="AA38" s="349">
        <f>VLOOKUP(G38,'3-Productie normen'!A:Q,15,FALSE)</f>
        <v>452.79000000000019</v>
      </c>
      <c r="AB38" s="350">
        <f>VLOOKUP(G38,'3-Productie normen'!A:Q,16,FALSE)</f>
        <v>0</v>
      </c>
      <c r="AC38" s="349"/>
      <c r="AE38" s="351">
        <f t="shared" si="1"/>
        <v>3537.4</v>
      </c>
    </row>
    <row r="39" spans="1:31" ht="14.1" customHeight="1">
      <c r="A39" s="76">
        <v>39</v>
      </c>
      <c r="B39" s="496" t="s">
        <v>284</v>
      </c>
      <c r="C39" s="312" t="s">
        <v>285</v>
      </c>
      <c r="D39" s="345" t="s">
        <v>307</v>
      </c>
      <c r="E39" s="346">
        <v>7</v>
      </c>
      <c r="F39" s="72" t="s">
        <v>310</v>
      </c>
      <c r="G39" s="72" t="s">
        <v>81</v>
      </c>
      <c r="H39" s="72" t="s">
        <v>321</v>
      </c>
      <c r="I39" s="502">
        <v>1.35</v>
      </c>
      <c r="J39" s="347">
        <f t="shared" si="2"/>
        <v>230</v>
      </c>
      <c r="K39" s="260">
        <v>230</v>
      </c>
      <c r="L39" s="260"/>
      <c r="M39" s="260"/>
      <c r="N39" s="260"/>
      <c r="O39" s="260"/>
      <c r="P39" s="260"/>
      <c r="Q39" s="259" t="e">
        <f>IF(K39="nio",0,IF(K39&gt;0,K39*I39/W39,0))*VLOOKUP(B39,'2-Kosten per locatie'!$A$14:$C$28,3,FALSE)</f>
        <v>#DIV/0!</v>
      </c>
      <c r="R39" s="259">
        <f>IF(L39&gt;0,L39*I39/X39,0)*VLOOKUP(B39,'2-Kosten per locatie'!$A$14:$C$28,3,FALSE)</f>
        <v>0</v>
      </c>
      <c r="S39" s="259">
        <f>IF(M39&gt;0,M39*I39/Y39,0)*VLOOKUP(B39,'2-Kosten per locatie'!$A$14:$C$28,3,FALSE)</f>
        <v>0</v>
      </c>
      <c r="T39" s="259">
        <f>IF(N39&gt;0,N39*I39/Z39,0)*VLOOKUP(B39,'2-Kosten per locatie'!$A$14:$C$28,3,FALSE)</f>
        <v>0</v>
      </c>
      <c r="U39" s="259">
        <f>IF(O39&gt;0,O39*I39/Y39,0)*VLOOKUP(B39,'2-Kosten per locatie'!$A$14:$C$28,3,FALSE)</f>
        <v>0</v>
      </c>
      <c r="V39" s="259">
        <f>IF(P39&gt;0,P39*I39/Z39,0)*VLOOKUP(B39,'2-Kosten per locatie'!$A$14:$C$28,3,FALSE)</f>
        <v>0</v>
      </c>
      <c r="W39" s="348">
        <f>IF(K39="nio",0,IF(K39&gt;0,VLOOKUP(G39,'3-Productie normen'!A:N,VLOOKUP(K39,'3-Productie normen'!$B$27:$C$38,2,FALSE),FALSE)))</f>
        <v>0</v>
      </c>
      <c r="X39" s="348">
        <f t="shared" si="3"/>
        <v>0</v>
      </c>
      <c r="Y39" s="348">
        <f t="shared" si="4"/>
        <v>0</v>
      </c>
      <c r="Z39" s="348">
        <f t="shared" si="5"/>
        <v>0</v>
      </c>
      <c r="AA39" s="349">
        <f>VLOOKUP(G39,'3-Productie normen'!A:Q,15,FALSE)</f>
        <v>235.06999999999988</v>
      </c>
      <c r="AB39" s="350">
        <f>VLOOKUP(G39,'3-Productie normen'!A:Q,16,FALSE)</f>
        <v>0</v>
      </c>
      <c r="AC39" s="349"/>
      <c r="AE39" s="351">
        <f t="shared" si="1"/>
        <v>310.5</v>
      </c>
    </row>
    <row r="40" spans="1:31" ht="14.1" customHeight="1">
      <c r="A40" s="76">
        <v>40</v>
      </c>
      <c r="B40" s="496" t="s">
        <v>284</v>
      </c>
      <c r="C40" s="312" t="s">
        <v>285</v>
      </c>
      <c r="D40" s="345" t="s">
        <v>307</v>
      </c>
      <c r="E40" s="346">
        <v>8</v>
      </c>
      <c r="F40" s="72" t="s">
        <v>310</v>
      </c>
      <c r="G40" s="72" t="s">
        <v>81</v>
      </c>
      <c r="H40" s="72" t="s">
        <v>321</v>
      </c>
      <c r="I40" s="502">
        <v>1.35</v>
      </c>
      <c r="J40" s="347">
        <f t="shared" si="2"/>
        <v>230</v>
      </c>
      <c r="K40" s="260">
        <v>230</v>
      </c>
      <c r="L40" s="260"/>
      <c r="M40" s="260"/>
      <c r="N40" s="260"/>
      <c r="O40" s="260"/>
      <c r="P40" s="260"/>
      <c r="Q40" s="259" t="e">
        <f>IF(K40="nio",0,IF(K40&gt;0,K40*I40/W40,0))*VLOOKUP(B40,'2-Kosten per locatie'!$A$14:$C$28,3,FALSE)</f>
        <v>#DIV/0!</v>
      </c>
      <c r="R40" s="259">
        <f>IF(L40&gt;0,L40*I40/X40,0)*VLOOKUP(B40,'2-Kosten per locatie'!$A$14:$C$28,3,FALSE)</f>
        <v>0</v>
      </c>
      <c r="S40" s="259">
        <f>IF(M40&gt;0,M40*I40/Y40,0)*VLOOKUP(B40,'2-Kosten per locatie'!$A$14:$C$28,3,FALSE)</f>
        <v>0</v>
      </c>
      <c r="T40" s="259">
        <f>IF(N40&gt;0,N40*I40/Z40,0)*VLOOKUP(B40,'2-Kosten per locatie'!$A$14:$C$28,3,FALSE)</f>
        <v>0</v>
      </c>
      <c r="U40" s="259">
        <f>IF(O40&gt;0,O40*I40/Y40,0)*VLOOKUP(B40,'2-Kosten per locatie'!$A$14:$C$28,3,FALSE)</f>
        <v>0</v>
      </c>
      <c r="V40" s="259">
        <f>IF(P40&gt;0,P40*I40/Z40,0)*VLOOKUP(B40,'2-Kosten per locatie'!$A$14:$C$28,3,FALSE)</f>
        <v>0</v>
      </c>
      <c r="W40" s="348">
        <f>IF(K40="nio",0,IF(K40&gt;0,VLOOKUP(G40,'3-Productie normen'!A:N,VLOOKUP(K40,'3-Productie normen'!$B$27:$C$38,2,FALSE),FALSE)))</f>
        <v>0</v>
      </c>
      <c r="X40" s="348">
        <f t="shared" si="3"/>
        <v>0</v>
      </c>
      <c r="Y40" s="348">
        <f t="shared" si="4"/>
        <v>0</v>
      </c>
      <c r="Z40" s="348">
        <f t="shared" si="5"/>
        <v>0</v>
      </c>
      <c r="AA40" s="349">
        <f>VLOOKUP(G40,'3-Productie normen'!A:Q,15,FALSE)</f>
        <v>235.06999999999988</v>
      </c>
      <c r="AB40" s="350">
        <f>VLOOKUP(G40,'3-Productie normen'!A:Q,16,FALSE)</f>
        <v>0</v>
      </c>
      <c r="AC40" s="349"/>
      <c r="AE40" s="351">
        <f t="shared" si="1"/>
        <v>310.5</v>
      </c>
    </row>
    <row r="41" spans="1:31" ht="14.1" customHeight="1">
      <c r="A41" s="76">
        <v>41</v>
      </c>
      <c r="B41" s="496" t="s">
        <v>284</v>
      </c>
      <c r="C41" s="312" t="s">
        <v>285</v>
      </c>
      <c r="D41" s="345" t="s">
        <v>307</v>
      </c>
      <c r="E41" s="346">
        <v>9</v>
      </c>
      <c r="F41" s="72" t="s">
        <v>313</v>
      </c>
      <c r="G41" s="72" t="s">
        <v>85</v>
      </c>
      <c r="H41" s="72" t="s">
        <v>321</v>
      </c>
      <c r="I41" s="502">
        <v>33.01</v>
      </c>
      <c r="J41" s="347">
        <f t="shared" si="2"/>
        <v>230</v>
      </c>
      <c r="K41" s="260">
        <v>230</v>
      </c>
      <c r="L41" s="260"/>
      <c r="M41" s="260"/>
      <c r="N41" s="260"/>
      <c r="O41" s="260"/>
      <c r="P41" s="260"/>
      <c r="Q41" s="259" t="e">
        <f>IF(K41="nio",0,IF(K41&gt;0,K41*I41/W41,0))*VLOOKUP(B41,'2-Kosten per locatie'!$A$14:$C$28,3,FALSE)</f>
        <v>#DIV/0!</v>
      </c>
      <c r="R41" s="259">
        <f>IF(L41&gt;0,L41*I41/X41,0)*VLOOKUP(B41,'2-Kosten per locatie'!$A$14:$C$28,3,FALSE)</f>
        <v>0</v>
      </c>
      <c r="S41" s="259">
        <f>IF(M41&gt;0,M41*I41/Y41,0)*VLOOKUP(B41,'2-Kosten per locatie'!$A$14:$C$28,3,FALSE)</f>
        <v>0</v>
      </c>
      <c r="T41" s="259">
        <f>IF(N41&gt;0,N41*I41/Z41,0)*VLOOKUP(B41,'2-Kosten per locatie'!$A$14:$C$28,3,FALSE)</f>
        <v>0</v>
      </c>
      <c r="U41" s="259">
        <f>IF(O41&gt;0,O41*I41/Y41,0)*VLOOKUP(B41,'2-Kosten per locatie'!$A$14:$C$28,3,FALSE)</f>
        <v>0</v>
      </c>
      <c r="V41" s="259">
        <f>IF(P41&gt;0,P41*I41/Z41,0)*VLOOKUP(B41,'2-Kosten per locatie'!$A$14:$C$28,3,FALSE)</f>
        <v>0</v>
      </c>
      <c r="W41" s="348">
        <f>IF(K41="nio",0,IF(K41&gt;0,VLOOKUP(G41,'3-Productie normen'!A:N,VLOOKUP(K41,'3-Productie normen'!$B$27:$C$38,2,FALSE),FALSE)))</f>
        <v>0</v>
      </c>
      <c r="X41" s="348">
        <f t="shared" si="3"/>
        <v>0</v>
      </c>
      <c r="Y41" s="348">
        <f t="shared" si="4"/>
        <v>0</v>
      </c>
      <c r="Z41" s="348">
        <f t="shared" si="5"/>
        <v>0</v>
      </c>
      <c r="AA41" s="349">
        <f>VLOOKUP(G41,'3-Productie normen'!A:Q,15,FALSE)</f>
        <v>1367.5950000000007</v>
      </c>
      <c r="AB41" s="350">
        <f>VLOOKUP(G41,'3-Productie normen'!A:Q,16,FALSE)</f>
        <v>0</v>
      </c>
      <c r="AC41" s="349"/>
      <c r="AE41" s="351">
        <f t="shared" si="1"/>
        <v>7592.2999999999993</v>
      </c>
    </row>
    <row r="42" spans="1:31" ht="14.1" customHeight="1">
      <c r="A42" s="76">
        <v>42</v>
      </c>
      <c r="B42" s="496" t="s">
        <v>284</v>
      </c>
      <c r="C42" s="312" t="s">
        <v>285</v>
      </c>
      <c r="D42" s="345" t="s">
        <v>307</v>
      </c>
      <c r="E42" s="346">
        <v>10</v>
      </c>
      <c r="F42" s="72" t="s">
        <v>322</v>
      </c>
      <c r="G42" s="72" t="s">
        <v>341</v>
      </c>
      <c r="H42" s="72" t="s">
        <v>321</v>
      </c>
      <c r="I42" s="502">
        <v>15.38</v>
      </c>
      <c r="J42" s="347">
        <f t="shared" si="2"/>
        <v>230</v>
      </c>
      <c r="K42" s="260">
        <v>230</v>
      </c>
      <c r="L42" s="260"/>
      <c r="M42" s="260"/>
      <c r="N42" s="260"/>
      <c r="O42" s="260"/>
      <c r="P42" s="260"/>
      <c r="Q42" s="259" t="e">
        <f>IF(K42="nio",0,IF(K42&gt;0,K42*I42/W42,0))*VLOOKUP(B42,'2-Kosten per locatie'!$A$14:$C$28,3,FALSE)</f>
        <v>#DIV/0!</v>
      </c>
      <c r="R42" s="259">
        <f>IF(L42&gt;0,L42*I42/X42,0)*VLOOKUP(B42,'2-Kosten per locatie'!$A$14:$C$28,3,FALSE)</f>
        <v>0</v>
      </c>
      <c r="S42" s="259">
        <f>IF(M42&gt;0,M42*I42/Y42,0)*VLOOKUP(B42,'2-Kosten per locatie'!$A$14:$C$28,3,FALSE)</f>
        <v>0</v>
      </c>
      <c r="T42" s="259">
        <f>IF(N42&gt;0,N42*I42/Z42,0)*VLOOKUP(B42,'2-Kosten per locatie'!$A$14:$C$28,3,FALSE)</f>
        <v>0</v>
      </c>
      <c r="U42" s="259">
        <f>IF(O42&gt;0,O42*I42/Y42,0)*VLOOKUP(B42,'2-Kosten per locatie'!$A$14:$C$28,3,FALSE)</f>
        <v>0</v>
      </c>
      <c r="V42" s="259">
        <f>IF(P42&gt;0,P42*I42/Z42,0)*VLOOKUP(B42,'2-Kosten per locatie'!$A$14:$C$28,3,FALSE)</f>
        <v>0</v>
      </c>
      <c r="W42" s="348">
        <f>IF(K42="nio",0,IF(K42&gt;0,VLOOKUP(G42,'3-Productie normen'!A:N,VLOOKUP(K42,'3-Productie normen'!$B$27:$C$38,2,FALSE),FALSE)))</f>
        <v>0</v>
      </c>
      <c r="X42" s="348">
        <f t="shared" si="3"/>
        <v>0</v>
      </c>
      <c r="Y42" s="348">
        <f t="shared" si="4"/>
        <v>0</v>
      </c>
      <c r="Z42" s="348">
        <f t="shared" si="5"/>
        <v>0</v>
      </c>
      <c r="AA42" s="349">
        <f>VLOOKUP(G42,'3-Productie normen'!A:Q,15,FALSE)</f>
        <v>452.79000000000019</v>
      </c>
      <c r="AB42" s="350">
        <f>VLOOKUP(G42,'3-Productie normen'!A:Q,16,FALSE)</f>
        <v>0</v>
      </c>
      <c r="AC42" s="349"/>
      <c r="AE42" s="351">
        <f t="shared" si="1"/>
        <v>3537.4</v>
      </c>
    </row>
    <row r="43" spans="1:31" ht="14.1" customHeight="1">
      <c r="A43" s="76">
        <v>43</v>
      </c>
      <c r="B43" s="496" t="s">
        <v>284</v>
      </c>
      <c r="C43" s="312" t="s">
        <v>285</v>
      </c>
      <c r="D43" s="345" t="s">
        <v>307</v>
      </c>
      <c r="E43" s="346">
        <v>11</v>
      </c>
      <c r="F43" s="72" t="s">
        <v>317</v>
      </c>
      <c r="G43" s="72" t="s">
        <v>88</v>
      </c>
      <c r="H43" s="72" t="s">
        <v>316</v>
      </c>
      <c r="I43" s="502">
        <v>253.81</v>
      </c>
      <c r="J43" s="347">
        <f t="shared" si="2"/>
        <v>46</v>
      </c>
      <c r="K43" s="260">
        <v>46</v>
      </c>
      <c r="L43" s="260"/>
      <c r="M43" s="260"/>
      <c r="N43" s="260"/>
      <c r="O43" s="260"/>
      <c r="P43" s="260"/>
      <c r="Q43" s="259" t="e">
        <f>IF(K43="nio",0,IF(K43&gt;0,K43*I43/W43,0))*VLOOKUP(B43,'2-Kosten per locatie'!$A$14:$C$28,3,FALSE)</f>
        <v>#DIV/0!</v>
      </c>
      <c r="R43" s="259">
        <f>IF(L43&gt;0,L43*I43/X43,0)*VLOOKUP(B43,'2-Kosten per locatie'!$A$14:$C$28,3,FALSE)</f>
        <v>0</v>
      </c>
      <c r="S43" s="259">
        <f>IF(M43&gt;0,M43*I43/Y43,0)*VLOOKUP(B43,'2-Kosten per locatie'!$A$14:$C$28,3,FALSE)</f>
        <v>0</v>
      </c>
      <c r="T43" s="259">
        <f>IF(N43&gt;0,N43*I43/Z43,0)*VLOOKUP(B43,'2-Kosten per locatie'!$A$14:$C$28,3,FALSE)</f>
        <v>0</v>
      </c>
      <c r="U43" s="259">
        <f>IF(O43&gt;0,O43*I43/Y43,0)*VLOOKUP(B43,'2-Kosten per locatie'!$A$14:$C$28,3,FALSE)</f>
        <v>0</v>
      </c>
      <c r="V43" s="259">
        <f>IF(P43&gt;0,P43*I43/Z43,0)*VLOOKUP(B43,'2-Kosten per locatie'!$A$14:$C$28,3,FALSE)</f>
        <v>0</v>
      </c>
      <c r="W43" s="348">
        <f>IF(K43="nio",0,IF(K43&gt;0,VLOOKUP(G43,'3-Productie normen'!A:N,VLOOKUP(K43,'3-Productie normen'!$B$27:$C$38,2,FALSE),FALSE)))</f>
        <v>0</v>
      </c>
      <c r="X43" s="348">
        <f t="shared" si="3"/>
        <v>0</v>
      </c>
      <c r="Y43" s="348">
        <f t="shared" si="4"/>
        <v>0</v>
      </c>
      <c r="Z43" s="348">
        <f t="shared" si="5"/>
        <v>0</v>
      </c>
      <c r="AA43" s="349">
        <f>VLOOKUP(G43,'3-Productie normen'!A:Q,15,FALSE)</f>
        <v>6683.51</v>
      </c>
      <c r="AB43" s="350">
        <f>VLOOKUP(G43,'3-Productie normen'!A:Q,16,FALSE)</f>
        <v>0</v>
      </c>
      <c r="AC43" s="349"/>
      <c r="AE43" s="351">
        <f t="shared" si="1"/>
        <v>11675.26</v>
      </c>
    </row>
    <row r="44" spans="1:31" ht="14.1" customHeight="1">
      <c r="A44" s="76">
        <v>44</v>
      </c>
      <c r="B44" s="496" t="s">
        <v>284</v>
      </c>
      <c r="C44" s="312" t="s">
        <v>285</v>
      </c>
      <c r="D44" s="345" t="s">
        <v>307</v>
      </c>
      <c r="E44" s="346">
        <v>12</v>
      </c>
      <c r="F44" s="72" t="s">
        <v>315</v>
      </c>
      <c r="G44" s="72" t="s">
        <v>87</v>
      </c>
      <c r="H44" s="72" t="s">
        <v>316</v>
      </c>
      <c r="I44" s="502">
        <v>35.67</v>
      </c>
      <c r="J44" s="347">
        <f t="shared" si="2"/>
        <v>12</v>
      </c>
      <c r="K44" s="260">
        <v>12</v>
      </c>
      <c r="L44" s="260"/>
      <c r="M44" s="260"/>
      <c r="N44" s="260"/>
      <c r="O44" s="260"/>
      <c r="P44" s="260"/>
      <c r="Q44" s="259" t="e">
        <f>IF(K44="nio",0,IF(K44&gt;0,K44*I44/W44,0))*VLOOKUP(B44,'2-Kosten per locatie'!$A$14:$C$28,3,FALSE)</f>
        <v>#DIV/0!</v>
      </c>
      <c r="R44" s="259">
        <f>IF(L44&gt;0,L44*I44/X44,0)*VLOOKUP(B44,'2-Kosten per locatie'!$A$14:$C$28,3,FALSE)</f>
        <v>0</v>
      </c>
      <c r="S44" s="259">
        <f>IF(M44&gt;0,M44*I44/Y44,0)*VLOOKUP(B44,'2-Kosten per locatie'!$A$14:$C$28,3,FALSE)</f>
        <v>0</v>
      </c>
      <c r="T44" s="259">
        <f>IF(N44&gt;0,N44*I44/Z44,0)*VLOOKUP(B44,'2-Kosten per locatie'!$A$14:$C$28,3,FALSE)</f>
        <v>0</v>
      </c>
      <c r="U44" s="259">
        <f>IF(O44&gt;0,O44*I44/Y44,0)*VLOOKUP(B44,'2-Kosten per locatie'!$A$14:$C$28,3,FALSE)</f>
        <v>0</v>
      </c>
      <c r="V44" s="259">
        <f>IF(P44&gt;0,P44*I44/Z44,0)*VLOOKUP(B44,'2-Kosten per locatie'!$A$14:$C$28,3,FALSE)</f>
        <v>0</v>
      </c>
      <c r="W44" s="348">
        <f>IF(K44="nio",0,IF(K44&gt;0,VLOOKUP(G44,'3-Productie normen'!A:N,VLOOKUP(K44,'3-Productie normen'!$B$27:$C$38,2,FALSE),FALSE)))</f>
        <v>0</v>
      </c>
      <c r="X44" s="348">
        <f t="shared" si="3"/>
        <v>0</v>
      </c>
      <c r="Y44" s="348">
        <f t="shared" si="4"/>
        <v>0</v>
      </c>
      <c r="Z44" s="348">
        <f t="shared" si="5"/>
        <v>0</v>
      </c>
      <c r="AA44" s="349">
        <f>VLOOKUP(G44,'3-Productie normen'!A:Q,15,FALSE)</f>
        <v>661.27599999999984</v>
      </c>
      <c r="AB44" s="350">
        <f>VLOOKUP(G44,'3-Productie normen'!A:Q,16,FALSE)</f>
        <v>0</v>
      </c>
      <c r="AC44" s="349"/>
      <c r="AE44" s="351">
        <f t="shared" si="1"/>
        <v>428.04</v>
      </c>
    </row>
    <row r="45" spans="1:31" ht="14.1" customHeight="1">
      <c r="A45" s="76">
        <v>45</v>
      </c>
      <c r="B45" s="496" t="s">
        <v>284</v>
      </c>
      <c r="C45" s="312" t="s">
        <v>285</v>
      </c>
      <c r="D45" s="345" t="s">
        <v>307</v>
      </c>
      <c r="E45" s="346">
        <v>13</v>
      </c>
      <c r="F45" s="312" t="s">
        <v>315</v>
      </c>
      <c r="G45" s="312" t="s">
        <v>87</v>
      </c>
      <c r="H45" s="72" t="s">
        <v>316</v>
      </c>
      <c r="I45" s="502">
        <v>35.67</v>
      </c>
      <c r="J45" s="347">
        <f t="shared" si="2"/>
        <v>12</v>
      </c>
      <c r="K45" s="260">
        <v>12</v>
      </c>
      <c r="L45" s="260"/>
      <c r="M45" s="260"/>
      <c r="N45" s="260"/>
      <c r="O45" s="260"/>
      <c r="P45" s="260"/>
      <c r="Q45" s="259" t="e">
        <f>IF(K45="nio",0,IF(K45&gt;0,K45*I45/W45,0))*VLOOKUP(B45,'2-Kosten per locatie'!$A$14:$C$28,3,FALSE)</f>
        <v>#DIV/0!</v>
      </c>
      <c r="R45" s="259">
        <f>IF(L45&gt;0,L45*I45/X45,0)*VLOOKUP(B45,'2-Kosten per locatie'!$A$14:$C$28,3,FALSE)</f>
        <v>0</v>
      </c>
      <c r="S45" s="259">
        <f>IF(M45&gt;0,M45*I45/Y45,0)*VLOOKUP(B45,'2-Kosten per locatie'!$A$14:$C$28,3,FALSE)</f>
        <v>0</v>
      </c>
      <c r="T45" s="259">
        <f>IF(N45&gt;0,N45*I45/Z45,0)*VLOOKUP(B45,'2-Kosten per locatie'!$A$14:$C$28,3,FALSE)</f>
        <v>0</v>
      </c>
      <c r="U45" s="259">
        <f>IF(O45&gt;0,O45*I45/Y45,0)*VLOOKUP(B45,'2-Kosten per locatie'!$A$14:$C$28,3,FALSE)</f>
        <v>0</v>
      </c>
      <c r="V45" s="259">
        <f>IF(P45&gt;0,P45*I45/Z45,0)*VLOOKUP(B45,'2-Kosten per locatie'!$A$14:$C$28,3,FALSE)</f>
        <v>0</v>
      </c>
      <c r="W45" s="348">
        <f>IF(K45="nio",0,IF(K45&gt;0,VLOOKUP(G45,'3-Productie normen'!A:N,VLOOKUP(K45,'3-Productie normen'!$B$27:$C$38,2,FALSE),FALSE)))</f>
        <v>0</v>
      </c>
      <c r="X45" s="348">
        <f t="shared" si="3"/>
        <v>0</v>
      </c>
      <c r="Y45" s="348">
        <f t="shared" si="4"/>
        <v>0</v>
      </c>
      <c r="Z45" s="348">
        <f t="shared" si="5"/>
        <v>0</v>
      </c>
      <c r="AA45" s="349">
        <f>VLOOKUP(G45,'3-Productie normen'!A:Q,15,FALSE)</f>
        <v>661.27599999999984</v>
      </c>
      <c r="AB45" s="350">
        <f>VLOOKUP(G45,'3-Productie normen'!A:Q,16,FALSE)</f>
        <v>0</v>
      </c>
      <c r="AC45" s="349"/>
      <c r="AE45" s="351">
        <f t="shared" si="1"/>
        <v>428.04</v>
      </c>
    </row>
    <row r="46" spans="1:31" ht="14.1" customHeight="1">
      <c r="A46" s="76">
        <v>46</v>
      </c>
      <c r="B46" s="496" t="s">
        <v>284</v>
      </c>
      <c r="C46" s="312" t="s">
        <v>285</v>
      </c>
      <c r="D46" s="345" t="s">
        <v>307</v>
      </c>
      <c r="E46" s="346">
        <v>14</v>
      </c>
      <c r="F46" s="312" t="s">
        <v>323</v>
      </c>
      <c r="G46" s="312" t="s">
        <v>461</v>
      </c>
      <c r="H46" s="72" t="s">
        <v>311</v>
      </c>
      <c r="I46" s="502">
        <v>1.65</v>
      </c>
      <c r="J46" s="347">
        <f t="shared" si="2"/>
        <v>0</v>
      </c>
      <c r="K46" s="260" t="s">
        <v>460</v>
      </c>
      <c r="L46" s="260"/>
      <c r="M46" s="260"/>
      <c r="N46" s="260"/>
      <c r="O46" s="260"/>
      <c r="P46" s="260"/>
      <c r="Q46" s="259">
        <f>IF(K46="nio",0,IF(K46&gt;0,K46*I46/W46,0))*VLOOKUP(B46,'2-Kosten per locatie'!$A$14:$C$28,3,FALSE)</f>
        <v>0</v>
      </c>
      <c r="R46" s="259">
        <f>IF(L46&gt;0,L46*I46/X46,0)*VLOOKUP(B46,'2-Kosten per locatie'!$A$14:$C$28,3,FALSE)</f>
        <v>0</v>
      </c>
      <c r="S46" s="259">
        <f>IF(M46&gt;0,M46*I46/Y46,0)*VLOOKUP(B46,'2-Kosten per locatie'!$A$14:$C$28,3,FALSE)</f>
        <v>0</v>
      </c>
      <c r="T46" s="259">
        <f>IF(N46&gt;0,N46*I46/Z46,0)*VLOOKUP(B46,'2-Kosten per locatie'!$A$14:$C$28,3,FALSE)</f>
        <v>0</v>
      </c>
      <c r="U46" s="259">
        <f>IF(O46&gt;0,O46*I46/Y46,0)*VLOOKUP(B46,'2-Kosten per locatie'!$A$14:$C$28,3,FALSE)</f>
        <v>0</v>
      </c>
      <c r="V46" s="259">
        <f>IF(P46&gt;0,P46*I46/Z46,0)*VLOOKUP(B46,'2-Kosten per locatie'!$A$14:$C$28,3,FALSE)</f>
        <v>0</v>
      </c>
      <c r="W46" s="348">
        <f>IF(K46="nio",0,IF(K46&gt;0,VLOOKUP(G46,'3-Productie normen'!A:N,VLOOKUP(K46,'3-Productie normen'!$B$27:$C$38,2,FALSE),FALSE)))</f>
        <v>0</v>
      </c>
      <c r="X46" s="348">
        <f t="shared" si="3"/>
        <v>0</v>
      </c>
      <c r="Y46" s="348">
        <f t="shared" si="4"/>
        <v>0</v>
      </c>
      <c r="Z46" s="348">
        <f t="shared" si="5"/>
        <v>0</v>
      </c>
      <c r="AA46" s="349" t="e">
        <f>VLOOKUP(G46,'3-Productie normen'!A:Q,15,FALSE)</f>
        <v>#N/A</v>
      </c>
      <c r="AB46" s="350" t="e">
        <f>VLOOKUP(G46,'3-Productie normen'!A:Q,16,FALSE)</f>
        <v>#N/A</v>
      </c>
      <c r="AC46" s="349"/>
      <c r="AE46" s="351">
        <f t="shared" si="1"/>
        <v>0</v>
      </c>
    </row>
    <row r="47" spans="1:31" ht="14.1" customHeight="1">
      <c r="A47" s="76">
        <v>47</v>
      </c>
      <c r="B47" s="496" t="s">
        <v>286</v>
      </c>
      <c r="C47" s="312" t="s">
        <v>287</v>
      </c>
      <c r="D47" s="345" t="s">
        <v>307</v>
      </c>
      <c r="E47" s="346">
        <v>1</v>
      </c>
      <c r="F47" s="312" t="s">
        <v>318</v>
      </c>
      <c r="G47" s="312" t="s">
        <v>89</v>
      </c>
      <c r="H47" s="72" t="s">
        <v>319</v>
      </c>
      <c r="I47" s="502">
        <v>5.92</v>
      </c>
      <c r="J47" s="347">
        <f t="shared" si="2"/>
        <v>90</v>
      </c>
      <c r="K47" s="260">
        <v>90</v>
      </c>
      <c r="L47" s="260"/>
      <c r="M47" s="260"/>
      <c r="N47" s="260"/>
      <c r="O47" s="260"/>
      <c r="P47" s="260"/>
      <c r="Q47" s="259" t="e">
        <f>IF(K47="nio",0,IF(K47&gt;0,K47*I47/W47,0))*VLOOKUP(B47,'2-Kosten per locatie'!$A$14:$C$28,3,FALSE)</f>
        <v>#DIV/0!</v>
      </c>
      <c r="R47" s="259">
        <f>IF(L47&gt;0,L47*I47/X47,0)*VLOOKUP(B47,'2-Kosten per locatie'!$A$14:$C$28,3,FALSE)</f>
        <v>0</v>
      </c>
      <c r="S47" s="259">
        <f>IF(M47&gt;0,M47*I47/Y47,0)*VLOOKUP(B47,'2-Kosten per locatie'!$A$14:$C$28,3,FALSE)</f>
        <v>0</v>
      </c>
      <c r="T47" s="259">
        <f>IF(N47&gt;0,N47*I47/Z47,0)*VLOOKUP(B47,'2-Kosten per locatie'!$A$14:$C$28,3,FALSE)</f>
        <v>0</v>
      </c>
      <c r="U47" s="259">
        <f>IF(O47&gt;0,O47*I47/Y47,0)*VLOOKUP(B47,'2-Kosten per locatie'!$A$14:$C$28,3,FALSE)</f>
        <v>0</v>
      </c>
      <c r="V47" s="259">
        <f>IF(P47&gt;0,P47*I47/Z47,0)*VLOOKUP(B47,'2-Kosten per locatie'!$A$14:$C$28,3,FALSE)</f>
        <v>0</v>
      </c>
      <c r="W47" s="348">
        <f>IF(K47="nio",0,IF(K47&gt;0,VLOOKUP(G47,'3-Productie normen'!A:N,VLOOKUP(K47,'3-Productie normen'!$B$27:$C$38,2,FALSE),FALSE)))</f>
        <v>0</v>
      </c>
      <c r="X47" s="348">
        <f t="shared" si="3"/>
        <v>0</v>
      </c>
      <c r="Y47" s="348">
        <f t="shared" si="4"/>
        <v>0</v>
      </c>
      <c r="Z47" s="348">
        <f t="shared" si="5"/>
        <v>0</v>
      </c>
      <c r="AA47" s="349">
        <f>VLOOKUP(G47,'3-Productie normen'!A:Q,15,FALSE)</f>
        <v>78.48</v>
      </c>
      <c r="AB47" s="350">
        <f>VLOOKUP(G47,'3-Productie normen'!A:Q,16,FALSE)</f>
        <v>0</v>
      </c>
      <c r="AC47" s="349"/>
      <c r="AE47" s="351">
        <f t="shared" si="1"/>
        <v>532.79999999999995</v>
      </c>
    </row>
    <row r="48" spans="1:31" ht="14.1" customHeight="1">
      <c r="A48" s="76">
        <v>48</v>
      </c>
      <c r="B48" s="496" t="s">
        <v>286</v>
      </c>
      <c r="C48" s="312" t="s">
        <v>287</v>
      </c>
      <c r="D48" s="345" t="s">
        <v>307</v>
      </c>
      <c r="E48" s="346">
        <v>2</v>
      </c>
      <c r="F48" s="72" t="s">
        <v>312</v>
      </c>
      <c r="G48" s="72" t="s">
        <v>83</v>
      </c>
      <c r="H48" s="72" t="s">
        <v>311</v>
      </c>
      <c r="I48" s="502">
        <v>29.72</v>
      </c>
      <c r="J48" s="347">
        <f t="shared" si="2"/>
        <v>90</v>
      </c>
      <c r="K48" s="260">
        <v>90</v>
      </c>
      <c r="L48" s="260"/>
      <c r="M48" s="260"/>
      <c r="N48" s="260"/>
      <c r="O48" s="260"/>
      <c r="P48" s="260"/>
      <c r="Q48" s="259" t="e">
        <f>IF(K48="nio",0,IF(K48&gt;0,K48*I48/W48,0))*VLOOKUP(B48,'2-Kosten per locatie'!$A$14:$C$28,3,FALSE)</f>
        <v>#DIV/0!</v>
      </c>
      <c r="R48" s="259">
        <f>IF(L48&gt;0,L48*I48/X48,0)*VLOOKUP(B48,'2-Kosten per locatie'!$A$14:$C$28,3,FALSE)</f>
        <v>0</v>
      </c>
      <c r="S48" s="259">
        <f>IF(M48&gt;0,M48*I48/Y48,0)*VLOOKUP(B48,'2-Kosten per locatie'!$A$14:$C$28,3,FALSE)</f>
        <v>0</v>
      </c>
      <c r="T48" s="259">
        <f>IF(N48&gt;0,N48*I48/Z48,0)*VLOOKUP(B48,'2-Kosten per locatie'!$A$14:$C$28,3,FALSE)</f>
        <v>0</v>
      </c>
      <c r="U48" s="259">
        <f>IF(O48&gt;0,O48*I48/Y48,0)*VLOOKUP(B48,'2-Kosten per locatie'!$A$14:$C$28,3,FALSE)</f>
        <v>0</v>
      </c>
      <c r="V48" s="259">
        <f>IF(P48&gt;0,P48*I48/Z48,0)*VLOOKUP(B48,'2-Kosten per locatie'!$A$14:$C$28,3,FALSE)</f>
        <v>0</v>
      </c>
      <c r="W48" s="348">
        <f>IF(K48="nio",0,IF(K48&gt;0,VLOOKUP(G48,'3-Productie normen'!A:N,VLOOKUP(K48,'3-Productie normen'!$B$27:$C$38,2,FALSE),FALSE)))</f>
        <v>0</v>
      </c>
      <c r="X48" s="348">
        <f t="shared" si="3"/>
        <v>0</v>
      </c>
      <c r="Y48" s="348">
        <f t="shared" si="4"/>
        <v>0</v>
      </c>
      <c r="Z48" s="348">
        <f t="shared" si="5"/>
        <v>0</v>
      </c>
      <c r="AA48" s="349">
        <f>VLOOKUP(G48,'3-Productie normen'!A:Q,15,FALSE)</f>
        <v>773.68459999999982</v>
      </c>
      <c r="AB48" s="350">
        <f>VLOOKUP(G48,'3-Productie normen'!A:Q,16,FALSE)</f>
        <v>0</v>
      </c>
      <c r="AC48" s="349"/>
      <c r="AE48" s="351">
        <f t="shared" si="1"/>
        <v>2674.7999999999997</v>
      </c>
    </row>
    <row r="49" spans="1:31" ht="14.1" customHeight="1">
      <c r="A49" s="76">
        <v>49</v>
      </c>
      <c r="B49" s="496" t="s">
        <v>286</v>
      </c>
      <c r="C49" s="312" t="s">
        <v>287</v>
      </c>
      <c r="D49" s="345" t="s">
        <v>307</v>
      </c>
      <c r="E49" s="346">
        <v>3</v>
      </c>
      <c r="F49" s="72" t="s">
        <v>323</v>
      </c>
      <c r="G49" s="72" t="s">
        <v>461</v>
      </c>
      <c r="H49" s="72" t="s">
        <v>311</v>
      </c>
      <c r="I49" s="502">
        <v>1.63</v>
      </c>
      <c r="J49" s="347">
        <f t="shared" si="2"/>
        <v>0</v>
      </c>
      <c r="K49" s="260" t="s">
        <v>460</v>
      </c>
      <c r="L49" s="260"/>
      <c r="M49" s="260"/>
      <c r="N49" s="260"/>
      <c r="O49" s="260"/>
      <c r="P49" s="260"/>
      <c r="Q49" s="259">
        <f>IF(K49="nio",0,IF(K49&gt;0,K49*I49/W49,0))*VLOOKUP(B49,'2-Kosten per locatie'!$A$14:$C$28,3,FALSE)</f>
        <v>0</v>
      </c>
      <c r="R49" s="259">
        <f>IF(L49&gt;0,L49*I49/X49,0)*VLOOKUP(B49,'2-Kosten per locatie'!$A$14:$C$28,3,FALSE)</f>
        <v>0</v>
      </c>
      <c r="S49" s="259">
        <f>IF(M49&gt;0,M49*I49/Y49,0)*VLOOKUP(B49,'2-Kosten per locatie'!$A$14:$C$28,3,FALSE)</f>
        <v>0</v>
      </c>
      <c r="T49" s="259">
        <f>IF(N49&gt;0,N49*I49/Z49,0)*VLOOKUP(B49,'2-Kosten per locatie'!$A$14:$C$28,3,FALSE)</f>
        <v>0</v>
      </c>
      <c r="U49" s="259">
        <f>IF(O49&gt;0,O49*I49/Y49,0)*VLOOKUP(B49,'2-Kosten per locatie'!$A$14:$C$28,3,FALSE)</f>
        <v>0</v>
      </c>
      <c r="V49" s="259">
        <f>IF(P49&gt;0,P49*I49/Z49,0)*VLOOKUP(B49,'2-Kosten per locatie'!$A$14:$C$28,3,FALSE)</f>
        <v>0</v>
      </c>
      <c r="W49" s="348">
        <f>IF(K49="nio",0,IF(K49&gt;0,VLOOKUP(G49,'3-Productie normen'!A:N,VLOOKUP(K49,'3-Productie normen'!$B$27:$C$38,2,FALSE),FALSE)))</f>
        <v>0</v>
      </c>
      <c r="X49" s="348">
        <f t="shared" si="3"/>
        <v>0</v>
      </c>
      <c r="Y49" s="348">
        <f t="shared" si="4"/>
        <v>0</v>
      </c>
      <c r="Z49" s="348">
        <f t="shared" si="5"/>
        <v>0</v>
      </c>
      <c r="AA49" s="349" t="e">
        <f>VLOOKUP(G49,'3-Productie normen'!A:Q,15,FALSE)</f>
        <v>#N/A</v>
      </c>
      <c r="AB49" s="350" t="e">
        <f>VLOOKUP(G49,'3-Productie normen'!A:Q,16,FALSE)</f>
        <v>#N/A</v>
      </c>
      <c r="AC49" s="349"/>
      <c r="AE49" s="351">
        <f t="shared" si="1"/>
        <v>0</v>
      </c>
    </row>
    <row r="50" spans="1:31" ht="14.1" customHeight="1">
      <c r="A50" s="76">
        <v>50</v>
      </c>
      <c r="B50" s="496" t="s">
        <v>286</v>
      </c>
      <c r="C50" s="312" t="s">
        <v>287</v>
      </c>
      <c r="D50" s="345" t="s">
        <v>307</v>
      </c>
      <c r="E50" s="346">
        <v>4</v>
      </c>
      <c r="F50" s="72" t="s">
        <v>313</v>
      </c>
      <c r="G50" s="72" t="s">
        <v>85</v>
      </c>
      <c r="H50" s="72" t="s">
        <v>311</v>
      </c>
      <c r="I50" s="502">
        <v>28.37</v>
      </c>
      <c r="J50" s="347">
        <f t="shared" si="2"/>
        <v>230</v>
      </c>
      <c r="K50" s="260">
        <v>230</v>
      </c>
      <c r="L50" s="260"/>
      <c r="M50" s="260"/>
      <c r="N50" s="260"/>
      <c r="O50" s="260"/>
      <c r="P50" s="260"/>
      <c r="Q50" s="259" t="e">
        <f>IF(K50="nio",0,IF(K50&gt;0,K50*I50/W50,0))*VLOOKUP(B50,'2-Kosten per locatie'!$A$14:$C$28,3,FALSE)</f>
        <v>#DIV/0!</v>
      </c>
      <c r="R50" s="259">
        <f>IF(L50&gt;0,L50*I50/X50,0)*VLOOKUP(B50,'2-Kosten per locatie'!$A$14:$C$28,3,FALSE)</f>
        <v>0</v>
      </c>
      <c r="S50" s="259">
        <f>IF(M50&gt;0,M50*I50/Y50,0)*VLOOKUP(B50,'2-Kosten per locatie'!$A$14:$C$28,3,FALSE)</f>
        <v>0</v>
      </c>
      <c r="T50" s="259">
        <f>IF(N50&gt;0,N50*I50/Z50,0)*VLOOKUP(B50,'2-Kosten per locatie'!$A$14:$C$28,3,FALSE)</f>
        <v>0</v>
      </c>
      <c r="U50" s="259">
        <f>IF(O50&gt;0,O50*I50/Y50,0)*VLOOKUP(B50,'2-Kosten per locatie'!$A$14:$C$28,3,FALSE)</f>
        <v>0</v>
      </c>
      <c r="V50" s="259">
        <f>IF(P50&gt;0,P50*I50/Z50,0)*VLOOKUP(B50,'2-Kosten per locatie'!$A$14:$C$28,3,FALSE)</f>
        <v>0</v>
      </c>
      <c r="W50" s="348">
        <f>IF(K50="nio",0,IF(K50&gt;0,VLOOKUP(G50,'3-Productie normen'!A:N,VLOOKUP(K50,'3-Productie normen'!$B$27:$C$38,2,FALSE),FALSE)))</f>
        <v>0</v>
      </c>
      <c r="X50" s="348">
        <f t="shared" si="3"/>
        <v>0</v>
      </c>
      <c r="Y50" s="348">
        <f t="shared" si="4"/>
        <v>0</v>
      </c>
      <c r="Z50" s="348">
        <f t="shared" si="5"/>
        <v>0</v>
      </c>
      <c r="AA50" s="349">
        <f>VLOOKUP(G50,'3-Productie normen'!A:Q,15,FALSE)</f>
        <v>1367.5950000000007</v>
      </c>
      <c r="AB50" s="350">
        <f>VLOOKUP(G50,'3-Productie normen'!A:Q,16,FALSE)</f>
        <v>0</v>
      </c>
      <c r="AC50" s="349"/>
      <c r="AE50" s="351">
        <f t="shared" si="1"/>
        <v>6525.1</v>
      </c>
    </row>
    <row r="51" spans="1:31" ht="14.1" customHeight="1">
      <c r="A51" s="76">
        <v>51</v>
      </c>
      <c r="B51" s="496" t="s">
        <v>286</v>
      </c>
      <c r="C51" s="312" t="s">
        <v>287</v>
      </c>
      <c r="D51" s="345" t="s">
        <v>307</v>
      </c>
      <c r="E51" s="346">
        <v>5</v>
      </c>
      <c r="F51" s="72" t="s">
        <v>310</v>
      </c>
      <c r="G51" s="72" t="s">
        <v>81</v>
      </c>
      <c r="H51" s="72" t="s">
        <v>311</v>
      </c>
      <c r="I51" s="502">
        <v>1.01</v>
      </c>
      <c r="J51" s="347">
        <f t="shared" si="2"/>
        <v>230</v>
      </c>
      <c r="K51" s="260">
        <v>230</v>
      </c>
      <c r="L51" s="260"/>
      <c r="M51" s="260"/>
      <c r="N51" s="260"/>
      <c r="O51" s="260"/>
      <c r="P51" s="260"/>
      <c r="Q51" s="259" t="e">
        <f>IF(K51="nio",0,IF(K51&gt;0,K51*I51/W51,0))*VLOOKUP(B51,'2-Kosten per locatie'!$A$14:$C$28,3,FALSE)</f>
        <v>#DIV/0!</v>
      </c>
      <c r="R51" s="259">
        <f>IF(L51&gt;0,L51*I51/X51,0)*VLOOKUP(B51,'2-Kosten per locatie'!$A$14:$C$28,3,FALSE)</f>
        <v>0</v>
      </c>
      <c r="S51" s="259">
        <f>IF(M51&gt;0,M51*I51/Y51,0)*VLOOKUP(B51,'2-Kosten per locatie'!$A$14:$C$28,3,FALSE)</f>
        <v>0</v>
      </c>
      <c r="T51" s="259">
        <f>IF(N51&gt;0,N51*I51/Z51,0)*VLOOKUP(B51,'2-Kosten per locatie'!$A$14:$C$28,3,FALSE)</f>
        <v>0</v>
      </c>
      <c r="U51" s="259">
        <f>IF(O51&gt;0,O51*I51/Y51,0)*VLOOKUP(B51,'2-Kosten per locatie'!$A$14:$C$28,3,FALSE)</f>
        <v>0</v>
      </c>
      <c r="V51" s="259">
        <f>IF(P51&gt;0,P51*I51/Z51,0)*VLOOKUP(B51,'2-Kosten per locatie'!$A$14:$C$28,3,FALSE)</f>
        <v>0</v>
      </c>
      <c r="W51" s="348">
        <f>IF(K51="nio",0,IF(K51&gt;0,VLOOKUP(G51,'3-Productie normen'!A:N,VLOOKUP(K51,'3-Productie normen'!$B$27:$C$38,2,FALSE),FALSE)))</f>
        <v>0</v>
      </c>
      <c r="X51" s="348">
        <f t="shared" si="3"/>
        <v>0</v>
      </c>
      <c r="Y51" s="348">
        <f t="shared" si="4"/>
        <v>0</v>
      </c>
      <c r="Z51" s="348">
        <f t="shared" si="5"/>
        <v>0</v>
      </c>
      <c r="AA51" s="349">
        <f>VLOOKUP(G51,'3-Productie normen'!A:Q,15,FALSE)</f>
        <v>235.06999999999988</v>
      </c>
      <c r="AB51" s="350">
        <f>VLOOKUP(G51,'3-Productie normen'!A:Q,16,FALSE)</f>
        <v>0</v>
      </c>
      <c r="AC51" s="349"/>
      <c r="AE51" s="351">
        <f t="shared" si="1"/>
        <v>232.3</v>
      </c>
    </row>
    <row r="52" spans="1:31" ht="14.1" customHeight="1">
      <c r="A52" s="76">
        <v>52</v>
      </c>
      <c r="B52" s="496" t="s">
        <v>286</v>
      </c>
      <c r="C52" s="312" t="s">
        <v>287</v>
      </c>
      <c r="D52" s="345" t="s">
        <v>307</v>
      </c>
      <c r="E52" s="346">
        <v>6</v>
      </c>
      <c r="F52" s="353" t="s">
        <v>322</v>
      </c>
      <c r="G52" s="353" t="s">
        <v>341</v>
      </c>
      <c r="H52" s="72" t="s">
        <v>311</v>
      </c>
      <c r="I52" s="502">
        <v>15.91</v>
      </c>
      <c r="J52" s="347">
        <f t="shared" si="2"/>
        <v>230</v>
      </c>
      <c r="K52" s="260">
        <v>230</v>
      </c>
      <c r="L52" s="260"/>
      <c r="M52" s="260"/>
      <c r="N52" s="260"/>
      <c r="O52" s="260"/>
      <c r="P52" s="260"/>
      <c r="Q52" s="259" t="e">
        <f>IF(K52="nio",0,IF(K52&gt;0,K52*I52/W52,0))*VLOOKUP(B52,'2-Kosten per locatie'!$A$14:$C$28,3,FALSE)</f>
        <v>#DIV/0!</v>
      </c>
      <c r="R52" s="259">
        <f>IF(L52&gt;0,L52*I52/X52,0)*VLOOKUP(B52,'2-Kosten per locatie'!$A$14:$C$28,3,FALSE)</f>
        <v>0</v>
      </c>
      <c r="S52" s="259">
        <f>IF(M52&gt;0,M52*I52/Y52,0)*VLOOKUP(B52,'2-Kosten per locatie'!$A$14:$C$28,3,FALSE)</f>
        <v>0</v>
      </c>
      <c r="T52" s="259">
        <f>IF(N52&gt;0,N52*I52/Z52,0)*VLOOKUP(B52,'2-Kosten per locatie'!$A$14:$C$28,3,FALSE)</f>
        <v>0</v>
      </c>
      <c r="U52" s="259">
        <f>IF(O52&gt;0,O52*I52/Y52,0)*VLOOKUP(B52,'2-Kosten per locatie'!$A$14:$C$28,3,FALSE)</f>
        <v>0</v>
      </c>
      <c r="V52" s="259">
        <f>IF(P52&gt;0,P52*I52/Z52,0)*VLOOKUP(B52,'2-Kosten per locatie'!$A$14:$C$28,3,FALSE)</f>
        <v>0</v>
      </c>
      <c r="W52" s="348">
        <f>IF(K52="nio",0,IF(K52&gt;0,VLOOKUP(G52,'3-Productie normen'!A:N,VLOOKUP(K52,'3-Productie normen'!$B$27:$C$38,2,FALSE),FALSE)))</f>
        <v>0</v>
      </c>
      <c r="X52" s="348">
        <f t="shared" si="3"/>
        <v>0</v>
      </c>
      <c r="Y52" s="348">
        <f t="shared" si="4"/>
        <v>0</v>
      </c>
      <c r="Z52" s="348">
        <f t="shared" si="5"/>
        <v>0</v>
      </c>
      <c r="AA52" s="349">
        <f>VLOOKUP(G52,'3-Productie normen'!A:Q,15,FALSE)</f>
        <v>452.79000000000019</v>
      </c>
      <c r="AB52" s="350">
        <f>VLOOKUP(G52,'3-Productie normen'!A:Q,16,FALSE)</f>
        <v>0</v>
      </c>
      <c r="AC52" s="349"/>
      <c r="AE52" s="351">
        <f t="shared" si="1"/>
        <v>3659.3</v>
      </c>
    </row>
    <row r="53" spans="1:31" ht="14.1" customHeight="1">
      <c r="A53" s="76">
        <v>53</v>
      </c>
      <c r="B53" s="496" t="s">
        <v>286</v>
      </c>
      <c r="C53" s="312" t="s">
        <v>287</v>
      </c>
      <c r="D53" s="345" t="s">
        <v>307</v>
      </c>
      <c r="E53" s="346">
        <v>7</v>
      </c>
      <c r="F53" s="72" t="s">
        <v>322</v>
      </c>
      <c r="G53" s="72" t="s">
        <v>341</v>
      </c>
      <c r="H53" s="352" t="s">
        <v>311</v>
      </c>
      <c r="I53" s="502">
        <v>15.91</v>
      </c>
      <c r="J53" s="347">
        <f t="shared" si="2"/>
        <v>230</v>
      </c>
      <c r="K53" s="260">
        <v>230</v>
      </c>
      <c r="L53" s="260"/>
      <c r="M53" s="260"/>
      <c r="N53" s="260"/>
      <c r="O53" s="260"/>
      <c r="P53" s="260"/>
      <c r="Q53" s="259" t="e">
        <f>IF(K53="nio",0,IF(K53&gt;0,K53*I53/W53,0))*VLOOKUP(B53,'2-Kosten per locatie'!$A$14:$C$28,3,FALSE)</f>
        <v>#DIV/0!</v>
      </c>
      <c r="R53" s="259">
        <f>IF(L53&gt;0,L53*I53/X53,0)*VLOOKUP(B53,'2-Kosten per locatie'!$A$14:$C$28,3,FALSE)</f>
        <v>0</v>
      </c>
      <c r="S53" s="259">
        <f>IF(M53&gt;0,M53*I53/Y53,0)*VLOOKUP(B53,'2-Kosten per locatie'!$A$14:$C$28,3,FALSE)</f>
        <v>0</v>
      </c>
      <c r="T53" s="259">
        <f>IF(N53&gt;0,N53*I53/Z53,0)*VLOOKUP(B53,'2-Kosten per locatie'!$A$14:$C$28,3,FALSE)</f>
        <v>0</v>
      </c>
      <c r="U53" s="259">
        <f>IF(O53&gt;0,O53*I53/Y53,0)*VLOOKUP(B53,'2-Kosten per locatie'!$A$14:$C$28,3,FALSE)</f>
        <v>0</v>
      </c>
      <c r="V53" s="259">
        <f>IF(P53&gt;0,P53*I53/Z53,0)*VLOOKUP(B53,'2-Kosten per locatie'!$A$14:$C$28,3,FALSE)</f>
        <v>0</v>
      </c>
      <c r="W53" s="348">
        <f>IF(K53="nio",0,IF(K53&gt;0,VLOOKUP(G53,'3-Productie normen'!A:N,VLOOKUP(K53,'3-Productie normen'!$B$27:$C$38,2,FALSE),FALSE)))</f>
        <v>0</v>
      </c>
      <c r="X53" s="348">
        <f t="shared" si="3"/>
        <v>0</v>
      </c>
      <c r="Y53" s="348">
        <f t="shared" si="4"/>
        <v>0</v>
      </c>
      <c r="Z53" s="348">
        <f t="shared" si="5"/>
        <v>0</v>
      </c>
      <c r="AA53" s="349">
        <f>VLOOKUP(G53,'3-Productie normen'!A:Q,15,FALSE)</f>
        <v>452.79000000000019</v>
      </c>
      <c r="AB53" s="350">
        <f>VLOOKUP(G53,'3-Productie normen'!A:Q,16,FALSE)</f>
        <v>0</v>
      </c>
      <c r="AC53" s="349"/>
      <c r="AE53" s="351">
        <f t="shared" si="1"/>
        <v>3659.3</v>
      </c>
    </row>
    <row r="54" spans="1:31" ht="14.1" customHeight="1">
      <c r="A54" s="76">
        <v>54</v>
      </c>
      <c r="B54" s="496" t="s">
        <v>286</v>
      </c>
      <c r="C54" s="312" t="s">
        <v>287</v>
      </c>
      <c r="D54" s="87" t="s">
        <v>307</v>
      </c>
      <c r="E54" s="254">
        <v>8</v>
      </c>
      <c r="F54" s="86" t="s">
        <v>313</v>
      </c>
      <c r="G54" s="86" t="s">
        <v>85</v>
      </c>
      <c r="H54" s="72" t="s">
        <v>311</v>
      </c>
      <c r="I54" s="502">
        <v>28.37</v>
      </c>
      <c r="J54" s="347">
        <f t="shared" si="2"/>
        <v>230</v>
      </c>
      <c r="K54" s="260">
        <v>230</v>
      </c>
      <c r="L54" s="260"/>
      <c r="M54" s="260"/>
      <c r="N54" s="260"/>
      <c r="O54" s="260"/>
      <c r="P54" s="260"/>
      <c r="Q54" s="259" t="e">
        <f>IF(K54="nio",0,IF(K54&gt;0,K54*I54/W54,0))*VLOOKUP(B54,'2-Kosten per locatie'!$A$14:$C$28,3,FALSE)</f>
        <v>#DIV/0!</v>
      </c>
      <c r="R54" s="259">
        <f>IF(L54&gt;0,L54*I54/X54,0)*VLOOKUP(B54,'2-Kosten per locatie'!$A$14:$C$28,3,FALSE)</f>
        <v>0</v>
      </c>
      <c r="S54" s="259">
        <f>IF(M54&gt;0,M54*I54/Y54,0)*VLOOKUP(B54,'2-Kosten per locatie'!$A$14:$C$28,3,FALSE)</f>
        <v>0</v>
      </c>
      <c r="T54" s="259">
        <f>IF(N54&gt;0,N54*I54/Z54,0)*VLOOKUP(B54,'2-Kosten per locatie'!$A$14:$C$28,3,FALSE)</f>
        <v>0</v>
      </c>
      <c r="U54" s="259">
        <f>IF(O54&gt;0,O54*I54/Y54,0)*VLOOKUP(B54,'2-Kosten per locatie'!$A$14:$C$28,3,FALSE)</f>
        <v>0</v>
      </c>
      <c r="V54" s="259">
        <f>IF(P54&gt;0,P54*I54/Z54,0)*VLOOKUP(B54,'2-Kosten per locatie'!$A$14:$C$28,3,FALSE)</f>
        <v>0</v>
      </c>
      <c r="W54" s="348">
        <f>IF(K54="nio",0,IF(K54&gt;0,VLOOKUP(G54,'3-Productie normen'!A:N,VLOOKUP(K54,'3-Productie normen'!$B$27:$C$38,2,FALSE),FALSE)))</f>
        <v>0</v>
      </c>
      <c r="X54" s="348">
        <f t="shared" si="3"/>
        <v>0</v>
      </c>
      <c r="Y54" s="348">
        <f t="shared" si="4"/>
        <v>0</v>
      </c>
      <c r="Z54" s="348">
        <f t="shared" si="5"/>
        <v>0</v>
      </c>
      <c r="AA54" s="349">
        <f>VLOOKUP(G54,'3-Productie normen'!A:Q,15,FALSE)</f>
        <v>1367.5950000000007</v>
      </c>
      <c r="AB54" s="350">
        <f>VLOOKUP(G54,'3-Productie normen'!A:Q,16,FALSE)</f>
        <v>0</v>
      </c>
      <c r="AC54" s="349"/>
      <c r="AE54" s="351">
        <f t="shared" si="1"/>
        <v>6525.1</v>
      </c>
    </row>
    <row r="55" spans="1:31" ht="14.1" customHeight="1">
      <c r="A55" s="76">
        <v>55</v>
      </c>
      <c r="B55" s="496" t="s">
        <v>286</v>
      </c>
      <c r="C55" s="312" t="s">
        <v>287</v>
      </c>
      <c r="D55" s="345" t="s">
        <v>307</v>
      </c>
      <c r="E55" s="346">
        <v>9</v>
      </c>
      <c r="F55" s="72" t="s">
        <v>324</v>
      </c>
      <c r="G55" s="72" t="s">
        <v>81</v>
      </c>
      <c r="H55" s="72" t="s">
        <v>311</v>
      </c>
      <c r="I55" s="502">
        <v>2.7</v>
      </c>
      <c r="J55" s="347">
        <f t="shared" si="2"/>
        <v>230</v>
      </c>
      <c r="K55" s="260">
        <v>230</v>
      </c>
      <c r="L55" s="260"/>
      <c r="M55" s="260"/>
      <c r="N55" s="260"/>
      <c r="O55" s="260"/>
      <c r="P55" s="260"/>
      <c r="Q55" s="259" t="e">
        <f>IF(K55="nio",0,IF(K55&gt;0,K55*I55/W55,0))*VLOOKUP(B55,'2-Kosten per locatie'!$A$14:$C$28,3,FALSE)</f>
        <v>#DIV/0!</v>
      </c>
      <c r="R55" s="259">
        <f>IF(L55&gt;0,L55*I55/X55,0)*VLOOKUP(B55,'2-Kosten per locatie'!$A$14:$C$28,3,FALSE)</f>
        <v>0</v>
      </c>
      <c r="S55" s="259">
        <f>IF(M55&gt;0,M55*I55/Y55,0)*VLOOKUP(B55,'2-Kosten per locatie'!$A$14:$C$28,3,FALSE)</f>
        <v>0</v>
      </c>
      <c r="T55" s="259">
        <f>IF(N55&gt;0,N55*I55/Z55,0)*VLOOKUP(B55,'2-Kosten per locatie'!$A$14:$C$28,3,FALSE)</f>
        <v>0</v>
      </c>
      <c r="U55" s="259">
        <f>IF(O55&gt;0,O55*I55/Y55,0)*VLOOKUP(B55,'2-Kosten per locatie'!$A$14:$C$28,3,FALSE)</f>
        <v>0</v>
      </c>
      <c r="V55" s="259">
        <f>IF(P55&gt;0,P55*I55/Z55,0)*VLOOKUP(B55,'2-Kosten per locatie'!$A$14:$C$28,3,FALSE)</f>
        <v>0</v>
      </c>
      <c r="W55" s="348">
        <f>IF(K55="nio",0,IF(K55&gt;0,VLOOKUP(G55,'3-Productie normen'!A:N,VLOOKUP(K55,'3-Productie normen'!$B$27:$C$38,2,FALSE),FALSE)))</f>
        <v>0</v>
      </c>
      <c r="X55" s="348">
        <f t="shared" si="3"/>
        <v>0</v>
      </c>
      <c r="Y55" s="348">
        <f t="shared" si="4"/>
        <v>0</v>
      </c>
      <c r="Z55" s="348">
        <f t="shared" si="5"/>
        <v>0</v>
      </c>
      <c r="AA55" s="349">
        <f>VLOOKUP(G55,'3-Productie normen'!A:Q,15,FALSE)</f>
        <v>235.06999999999988</v>
      </c>
      <c r="AB55" s="350">
        <f>VLOOKUP(G55,'3-Productie normen'!A:Q,16,FALSE)</f>
        <v>0</v>
      </c>
      <c r="AC55" s="349"/>
      <c r="AE55" s="351">
        <f t="shared" si="1"/>
        <v>621</v>
      </c>
    </row>
    <row r="56" spans="1:31" ht="14.1" customHeight="1">
      <c r="A56" s="76">
        <v>56</v>
      </c>
      <c r="B56" s="496" t="s">
        <v>286</v>
      </c>
      <c r="C56" s="312" t="s">
        <v>287</v>
      </c>
      <c r="D56" s="345" t="s">
        <v>307</v>
      </c>
      <c r="E56" s="346">
        <v>10</v>
      </c>
      <c r="F56" s="72" t="s">
        <v>308</v>
      </c>
      <c r="G56" s="72" t="s">
        <v>79</v>
      </c>
      <c r="H56" s="72" t="s">
        <v>311</v>
      </c>
      <c r="I56" s="502">
        <v>7.5</v>
      </c>
      <c r="J56" s="347">
        <f t="shared" si="2"/>
        <v>90</v>
      </c>
      <c r="K56" s="260">
        <v>90</v>
      </c>
      <c r="L56" s="260"/>
      <c r="M56" s="260"/>
      <c r="N56" s="260"/>
      <c r="O56" s="260"/>
      <c r="P56" s="260"/>
      <c r="Q56" s="259" t="e">
        <f>IF(K56="nio",0,IF(K56&gt;0,K56*I56/W56,0))*VLOOKUP(B56,'2-Kosten per locatie'!$A$14:$C$28,3,FALSE)</f>
        <v>#DIV/0!</v>
      </c>
      <c r="R56" s="259">
        <f>IF(L56&gt;0,L56*I56/X56,0)*VLOOKUP(B56,'2-Kosten per locatie'!$A$14:$C$28,3,FALSE)</f>
        <v>0</v>
      </c>
      <c r="S56" s="259">
        <f>IF(M56&gt;0,M56*I56/Y56,0)*VLOOKUP(B56,'2-Kosten per locatie'!$A$14:$C$28,3,FALSE)</f>
        <v>0</v>
      </c>
      <c r="T56" s="259">
        <f>IF(N56&gt;0,N56*I56/Z56,0)*VLOOKUP(B56,'2-Kosten per locatie'!$A$14:$C$28,3,FALSE)</f>
        <v>0</v>
      </c>
      <c r="U56" s="259">
        <f>IF(O56&gt;0,O56*I56/Y56,0)*VLOOKUP(B56,'2-Kosten per locatie'!$A$14:$C$28,3,FALSE)</f>
        <v>0</v>
      </c>
      <c r="V56" s="259">
        <f>IF(P56&gt;0,P56*I56/Z56,0)*VLOOKUP(B56,'2-Kosten per locatie'!$A$14:$C$28,3,FALSE)</f>
        <v>0</v>
      </c>
      <c r="W56" s="348">
        <f>IF(K56="nio",0,IF(K56&gt;0,VLOOKUP(G56,'3-Productie normen'!A:N,VLOOKUP(K56,'3-Productie normen'!$B$27:$C$38,2,FALSE),FALSE)))</f>
        <v>0</v>
      </c>
      <c r="X56" s="348">
        <f t="shared" si="3"/>
        <v>0</v>
      </c>
      <c r="Y56" s="348">
        <f t="shared" si="4"/>
        <v>0</v>
      </c>
      <c r="Z56" s="348">
        <f t="shared" si="5"/>
        <v>0</v>
      </c>
      <c r="AA56" s="349">
        <f>VLOOKUP(G56,'3-Productie normen'!A:Q,15,FALSE)</f>
        <v>78.010000000000005</v>
      </c>
      <c r="AB56" s="350">
        <f>VLOOKUP(G56,'3-Productie normen'!A:Q,16,FALSE)</f>
        <v>0</v>
      </c>
      <c r="AC56" s="349"/>
      <c r="AE56" s="351">
        <f t="shared" si="1"/>
        <v>675</v>
      </c>
    </row>
    <row r="57" spans="1:31" ht="14.1" customHeight="1">
      <c r="A57" s="76">
        <v>57</v>
      </c>
      <c r="B57" s="496" t="s">
        <v>286</v>
      </c>
      <c r="C57" s="312" t="s">
        <v>287</v>
      </c>
      <c r="D57" s="345" t="s">
        <v>307</v>
      </c>
      <c r="E57" s="346">
        <v>11</v>
      </c>
      <c r="F57" s="72" t="s">
        <v>317</v>
      </c>
      <c r="G57" s="72" t="s">
        <v>88</v>
      </c>
      <c r="H57" s="72" t="s">
        <v>316</v>
      </c>
      <c r="I57" s="502">
        <v>252</v>
      </c>
      <c r="J57" s="347">
        <f t="shared" si="2"/>
        <v>46</v>
      </c>
      <c r="K57" s="260">
        <v>46</v>
      </c>
      <c r="L57" s="260"/>
      <c r="M57" s="260"/>
      <c r="N57" s="260"/>
      <c r="O57" s="260"/>
      <c r="P57" s="260"/>
      <c r="Q57" s="259" t="e">
        <f>IF(K57="nio",0,IF(K57&gt;0,K57*I57/W57,0))*VLOOKUP(B57,'2-Kosten per locatie'!$A$14:$C$28,3,FALSE)</f>
        <v>#DIV/0!</v>
      </c>
      <c r="R57" s="259">
        <f>IF(L57&gt;0,L57*I57/X57,0)*VLOOKUP(B57,'2-Kosten per locatie'!$A$14:$C$28,3,FALSE)</f>
        <v>0</v>
      </c>
      <c r="S57" s="259">
        <f>IF(M57&gt;0,M57*I57/Y57,0)*VLOOKUP(B57,'2-Kosten per locatie'!$A$14:$C$28,3,FALSE)</f>
        <v>0</v>
      </c>
      <c r="T57" s="259">
        <f>IF(N57&gt;0,N57*I57/Z57,0)*VLOOKUP(B57,'2-Kosten per locatie'!$A$14:$C$28,3,FALSE)</f>
        <v>0</v>
      </c>
      <c r="U57" s="259">
        <f>IF(O57&gt;0,O57*I57/Y57,0)*VLOOKUP(B57,'2-Kosten per locatie'!$A$14:$C$28,3,FALSE)</f>
        <v>0</v>
      </c>
      <c r="V57" s="259">
        <f>IF(P57&gt;0,P57*I57/Z57,0)*VLOOKUP(B57,'2-Kosten per locatie'!$A$14:$C$28,3,FALSE)</f>
        <v>0</v>
      </c>
      <c r="W57" s="348">
        <f>IF(K57="nio",0,IF(K57&gt;0,VLOOKUP(G57,'3-Productie normen'!A:N,VLOOKUP(K57,'3-Productie normen'!$B$27:$C$38,2,FALSE),FALSE)))</f>
        <v>0</v>
      </c>
      <c r="X57" s="348">
        <f t="shared" si="3"/>
        <v>0</v>
      </c>
      <c r="Y57" s="348">
        <f t="shared" si="4"/>
        <v>0</v>
      </c>
      <c r="Z57" s="348">
        <f t="shared" si="5"/>
        <v>0</v>
      </c>
      <c r="AA57" s="349">
        <f>VLOOKUP(G57,'3-Productie normen'!A:Q,15,FALSE)</f>
        <v>6683.51</v>
      </c>
      <c r="AB57" s="350">
        <f>VLOOKUP(G57,'3-Productie normen'!A:Q,16,FALSE)</f>
        <v>0</v>
      </c>
      <c r="AC57" s="349"/>
      <c r="AE57" s="351">
        <f t="shared" si="1"/>
        <v>11592</v>
      </c>
    </row>
    <row r="58" spans="1:31" ht="14.1" customHeight="1">
      <c r="A58" s="76">
        <v>58</v>
      </c>
      <c r="B58" s="496" t="s">
        <v>286</v>
      </c>
      <c r="C58" s="312" t="s">
        <v>287</v>
      </c>
      <c r="D58" s="345" t="s">
        <v>307</v>
      </c>
      <c r="E58" s="346">
        <v>12</v>
      </c>
      <c r="F58" s="72" t="s">
        <v>315</v>
      </c>
      <c r="G58" s="72" t="s">
        <v>87</v>
      </c>
      <c r="H58" s="72" t="s">
        <v>316</v>
      </c>
      <c r="I58" s="502">
        <v>34.28</v>
      </c>
      <c r="J58" s="347">
        <f t="shared" si="2"/>
        <v>12</v>
      </c>
      <c r="K58" s="260">
        <v>12</v>
      </c>
      <c r="L58" s="260"/>
      <c r="M58" s="260"/>
      <c r="N58" s="260"/>
      <c r="O58" s="260"/>
      <c r="P58" s="260"/>
      <c r="Q58" s="259" t="e">
        <f>IF(K58="nio",0,IF(K58&gt;0,K58*I58/W58,0))*VLOOKUP(B58,'2-Kosten per locatie'!$A$14:$C$28,3,FALSE)</f>
        <v>#DIV/0!</v>
      </c>
      <c r="R58" s="259">
        <f>IF(L58&gt;0,L58*I58/X58,0)*VLOOKUP(B58,'2-Kosten per locatie'!$A$14:$C$28,3,FALSE)</f>
        <v>0</v>
      </c>
      <c r="S58" s="259">
        <f>IF(M58&gt;0,M58*I58/Y58,0)*VLOOKUP(B58,'2-Kosten per locatie'!$A$14:$C$28,3,FALSE)</f>
        <v>0</v>
      </c>
      <c r="T58" s="259">
        <f>IF(N58&gt;0,N58*I58/Z58,0)*VLOOKUP(B58,'2-Kosten per locatie'!$A$14:$C$28,3,FALSE)</f>
        <v>0</v>
      </c>
      <c r="U58" s="259">
        <f>IF(O58&gt;0,O58*I58/Y58,0)*VLOOKUP(B58,'2-Kosten per locatie'!$A$14:$C$28,3,FALSE)</f>
        <v>0</v>
      </c>
      <c r="V58" s="259">
        <f>IF(P58&gt;0,P58*I58/Z58,0)*VLOOKUP(B58,'2-Kosten per locatie'!$A$14:$C$28,3,FALSE)</f>
        <v>0</v>
      </c>
      <c r="W58" s="348">
        <f>IF(K58="nio",0,IF(K58&gt;0,VLOOKUP(G58,'3-Productie normen'!A:N,VLOOKUP(K58,'3-Productie normen'!$B$27:$C$38,2,FALSE),FALSE)))</f>
        <v>0</v>
      </c>
      <c r="X58" s="348">
        <f t="shared" si="3"/>
        <v>0</v>
      </c>
      <c r="Y58" s="348">
        <f t="shared" si="4"/>
        <v>0</v>
      </c>
      <c r="Z58" s="348">
        <f t="shared" si="5"/>
        <v>0</v>
      </c>
      <c r="AA58" s="349">
        <f>VLOOKUP(G58,'3-Productie normen'!A:Q,15,FALSE)</f>
        <v>661.27599999999984</v>
      </c>
      <c r="AB58" s="350">
        <f>VLOOKUP(G58,'3-Productie normen'!A:Q,16,FALSE)</f>
        <v>0</v>
      </c>
      <c r="AC58" s="349"/>
      <c r="AE58" s="351">
        <f t="shared" si="1"/>
        <v>411.36</v>
      </c>
    </row>
    <row r="59" spans="1:31" ht="14.1" customHeight="1">
      <c r="A59" s="76">
        <v>59</v>
      </c>
      <c r="B59" s="496" t="s">
        <v>286</v>
      </c>
      <c r="C59" s="312" t="s">
        <v>287</v>
      </c>
      <c r="D59" s="345" t="s">
        <v>307</v>
      </c>
      <c r="E59" s="346">
        <v>13</v>
      </c>
      <c r="F59" s="72" t="s">
        <v>310</v>
      </c>
      <c r="G59" s="72" t="s">
        <v>81</v>
      </c>
      <c r="H59" s="72" t="s">
        <v>311</v>
      </c>
      <c r="I59" s="502">
        <v>1.01</v>
      </c>
      <c r="J59" s="347">
        <f t="shared" si="2"/>
        <v>230</v>
      </c>
      <c r="K59" s="260">
        <v>230</v>
      </c>
      <c r="L59" s="260"/>
      <c r="M59" s="260"/>
      <c r="N59" s="260"/>
      <c r="O59" s="260"/>
      <c r="P59" s="260"/>
      <c r="Q59" s="259" t="e">
        <f>IF(K59="nio",0,IF(K59&gt;0,K59*I59/W59,0))*VLOOKUP(B59,'2-Kosten per locatie'!$A$14:$C$28,3,FALSE)</f>
        <v>#DIV/0!</v>
      </c>
      <c r="R59" s="259">
        <f>IF(L59&gt;0,L59*I59/X59,0)*VLOOKUP(B59,'2-Kosten per locatie'!$A$14:$C$28,3,FALSE)</f>
        <v>0</v>
      </c>
      <c r="S59" s="259">
        <f>IF(M59&gt;0,M59*I59/Y59,0)*VLOOKUP(B59,'2-Kosten per locatie'!$A$14:$C$28,3,FALSE)</f>
        <v>0</v>
      </c>
      <c r="T59" s="259">
        <f>IF(N59&gt;0,N59*I59/Z59,0)*VLOOKUP(B59,'2-Kosten per locatie'!$A$14:$C$28,3,FALSE)</f>
        <v>0</v>
      </c>
      <c r="U59" s="259">
        <f>IF(O59&gt;0,O59*I59/Y59,0)*VLOOKUP(B59,'2-Kosten per locatie'!$A$14:$C$28,3,FALSE)</f>
        <v>0</v>
      </c>
      <c r="V59" s="259">
        <f>IF(P59&gt;0,P59*I59/Z59,0)*VLOOKUP(B59,'2-Kosten per locatie'!$A$14:$C$28,3,FALSE)</f>
        <v>0</v>
      </c>
      <c r="W59" s="348">
        <f>IF(K59="nio",0,IF(K59&gt;0,VLOOKUP(G59,'3-Productie normen'!A:N,VLOOKUP(K59,'3-Productie normen'!$B$27:$C$38,2,FALSE),FALSE)))</f>
        <v>0</v>
      </c>
      <c r="X59" s="348">
        <f t="shared" si="3"/>
        <v>0</v>
      </c>
      <c r="Y59" s="348">
        <f t="shared" si="4"/>
        <v>0</v>
      </c>
      <c r="Z59" s="348">
        <f t="shared" si="5"/>
        <v>0</v>
      </c>
      <c r="AA59" s="349">
        <f>VLOOKUP(G59,'3-Productie normen'!A:Q,15,FALSE)</f>
        <v>235.06999999999988</v>
      </c>
      <c r="AB59" s="350">
        <f>VLOOKUP(G59,'3-Productie normen'!A:Q,16,FALSE)</f>
        <v>0</v>
      </c>
      <c r="AC59" s="349"/>
      <c r="AE59" s="351">
        <f t="shared" si="1"/>
        <v>232.3</v>
      </c>
    </row>
    <row r="60" spans="1:31" ht="14.1" customHeight="1">
      <c r="A60" s="76">
        <v>60</v>
      </c>
      <c r="B60" s="496" t="s">
        <v>288</v>
      </c>
      <c r="C60" s="312" t="s">
        <v>289</v>
      </c>
      <c r="D60" s="345" t="s">
        <v>307</v>
      </c>
      <c r="E60" s="346">
        <v>1</v>
      </c>
      <c r="F60" s="72" t="s">
        <v>313</v>
      </c>
      <c r="G60" s="72" t="s">
        <v>85</v>
      </c>
      <c r="H60" s="72" t="s">
        <v>311</v>
      </c>
      <c r="I60" s="502">
        <v>247.6</v>
      </c>
      <c r="J60" s="347">
        <f t="shared" si="2"/>
        <v>336</v>
      </c>
      <c r="K60" s="260">
        <v>240</v>
      </c>
      <c r="L60" s="260"/>
      <c r="M60" s="260">
        <v>96</v>
      </c>
      <c r="N60" s="260"/>
      <c r="O60" s="260"/>
      <c r="P60" s="260"/>
      <c r="Q60" s="259" t="e">
        <f>IF(K60="nio",0,IF(K60&gt;0,K60*I60/W60,0))*VLOOKUP(B60,'2-Kosten per locatie'!$A$14:$C$28,3,FALSE)</f>
        <v>#DIV/0!</v>
      </c>
      <c r="R60" s="259">
        <f>IF(L60&gt;0,L60*I60/X60,0)*VLOOKUP(B60,'2-Kosten per locatie'!$A$14:$C$28,3,FALSE)</f>
        <v>0</v>
      </c>
      <c r="S60" s="259" t="e">
        <f>IF(M60&gt;0,M60*I60/Y60,0)*VLOOKUP(B60,'2-Kosten per locatie'!$A$14:$C$28,3,FALSE)</f>
        <v>#DIV/0!</v>
      </c>
      <c r="T60" s="259">
        <f>IF(N60&gt;0,N60*I60/Z60,0)*VLOOKUP(B60,'2-Kosten per locatie'!$A$14:$C$28,3,FALSE)</f>
        <v>0</v>
      </c>
      <c r="U60" s="259">
        <f>IF(O60&gt;0,O60*I60/Y60,0)*VLOOKUP(B60,'2-Kosten per locatie'!$A$14:$C$28,3,FALSE)</f>
        <v>0</v>
      </c>
      <c r="V60" s="259">
        <f>IF(P60&gt;0,P60*I60/Z60,0)*VLOOKUP(B60,'2-Kosten per locatie'!$A$14:$C$28,3,FALSE)</f>
        <v>0</v>
      </c>
      <c r="W60" s="348">
        <f>IF(K60="nio",0,IF(K60&gt;0,VLOOKUP(G60,'3-Productie normen'!A:N,VLOOKUP(K60,'3-Productie normen'!$B$27:$C$38,2,FALSE),FALSE)))</f>
        <v>0</v>
      </c>
      <c r="X60" s="348">
        <f t="shared" si="3"/>
        <v>0</v>
      </c>
      <c r="Y60" s="348">
        <f t="shared" si="4"/>
        <v>0</v>
      </c>
      <c r="Z60" s="348">
        <f t="shared" si="5"/>
        <v>0</v>
      </c>
      <c r="AA60" s="349">
        <f>VLOOKUP(G60,'3-Productie normen'!A:Q,15,FALSE)</f>
        <v>1367.5950000000007</v>
      </c>
      <c r="AB60" s="350">
        <f>VLOOKUP(G60,'3-Productie normen'!A:Q,16,FALSE)</f>
        <v>0</v>
      </c>
      <c r="AC60" s="349"/>
      <c r="AE60" s="351">
        <f t="shared" si="1"/>
        <v>83193.599999999991</v>
      </c>
    </row>
    <row r="61" spans="1:31" ht="14.1" customHeight="1">
      <c r="A61" s="76">
        <v>61</v>
      </c>
      <c r="B61" s="496" t="s">
        <v>288</v>
      </c>
      <c r="C61" s="312" t="s">
        <v>289</v>
      </c>
      <c r="D61" s="345" t="s">
        <v>307</v>
      </c>
      <c r="E61" s="346">
        <v>2</v>
      </c>
      <c r="F61" s="72" t="s">
        <v>318</v>
      </c>
      <c r="G61" s="72" t="s">
        <v>89</v>
      </c>
      <c r="H61" s="72" t="s">
        <v>325</v>
      </c>
      <c r="I61" s="502">
        <v>9.34</v>
      </c>
      <c r="J61" s="347">
        <f t="shared" si="2"/>
        <v>336</v>
      </c>
      <c r="K61" s="260">
        <v>240</v>
      </c>
      <c r="L61" s="260"/>
      <c r="M61" s="260">
        <v>96</v>
      </c>
      <c r="N61" s="260"/>
      <c r="O61" s="260"/>
      <c r="P61" s="260"/>
      <c r="Q61" s="259" t="e">
        <f>IF(K61="nio",0,IF(K61&gt;0,K61*I61/W61,0))*VLOOKUP(B61,'2-Kosten per locatie'!$A$14:$C$28,3,FALSE)</f>
        <v>#DIV/0!</v>
      </c>
      <c r="R61" s="259">
        <f>IF(L61&gt;0,L61*I61/X61,0)*VLOOKUP(B61,'2-Kosten per locatie'!$A$14:$C$28,3,FALSE)</f>
        <v>0</v>
      </c>
      <c r="S61" s="259" t="e">
        <f>IF(M61&gt;0,M61*I61/Y61,0)*VLOOKUP(B61,'2-Kosten per locatie'!$A$14:$C$28,3,FALSE)</f>
        <v>#DIV/0!</v>
      </c>
      <c r="T61" s="259">
        <f>IF(N61&gt;0,N61*I61/Z61,0)*VLOOKUP(B61,'2-Kosten per locatie'!$A$14:$C$28,3,FALSE)</f>
        <v>0</v>
      </c>
      <c r="U61" s="259">
        <f>IF(O61&gt;0,O61*I61/Y61,0)*VLOOKUP(B61,'2-Kosten per locatie'!$A$14:$C$28,3,FALSE)</f>
        <v>0</v>
      </c>
      <c r="V61" s="259">
        <f>IF(P61&gt;0,P61*I61/Z61,0)*VLOOKUP(B61,'2-Kosten per locatie'!$A$14:$C$28,3,FALSE)</f>
        <v>0</v>
      </c>
      <c r="W61" s="348">
        <f>IF(K61="nio",0,IF(K61&gt;0,VLOOKUP(G61,'3-Productie normen'!A:N,VLOOKUP(K61,'3-Productie normen'!$B$27:$C$38,2,FALSE),FALSE)))</f>
        <v>0</v>
      </c>
      <c r="X61" s="348">
        <f t="shared" si="3"/>
        <v>0</v>
      </c>
      <c r="Y61" s="348">
        <f t="shared" si="4"/>
        <v>0</v>
      </c>
      <c r="Z61" s="348">
        <f t="shared" si="5"/>
        <v>0</v>
      </c>
      <c r="AA61" s="349">
        <f>VLOOKUP(G61,'3-Productie normen'!A:Q,15,FALSE)</f>
        <v>78.48</v>
      </c>
      <c r="AB61" s="350">
        <f>VLOOKUP(G61,'3-Productie normen'!A:Q,16,FALSE)</f>
        <v>0</v>
      </c>
      <c r="AC61" s="349"/>
      <c r="AE61" s="351">
        <f t="shared" si="1"/>
        <v>3138.24</v>
      </c>
    </row>
    <row r="62" spans="1:31" ht="14.1" customHeight="1">
      <c r="A62" s="76">
        <v>62</v>
      </c>
      <c r="B62" s="496" t="s">
        <v>288</v>
      </c>
      <c r="C62" s="312" t="s">
        <v>289</v>
      </c>
      <c r="D62" s="345" t="s">
        <v>307</v>
      </c>
      <c r="E62" s="346">
        <v>3</v>
      </c>
      <c r="F62" s="72" t="s">
        <v>326</v>
      </c>
      <c r="G62" s="72" t="s">
        <v>83</v>
      </c>
      <c r="H62" s="72" t="s">
        <v>311</v>
      </c>
      <c r="I62" s="502">
        <v>154</v>
      </c>
      <c r="J62" s="347">
        <f t="shared" si="2"/>
        <v>336</v>
      </c>
      <c r="K62" s="260">
        <v>240</v>
      </c>
      <c r="L62" s="260"/>
      <c r="M62" s="260">
        <v>96</v>
      </c>
      <c r="N62" s="260"/>
      <c r="O62" s="260"/>
      <c r="P62" s="260"/>
      <c r="Q62" s="259" t="e">
        <f>IF(K62="nio",0,IF(K62&gt;0,K62*I62/W62,0))*VLOOKUP(B62,'2-Kosten per locatie'!$A$14:$C$28,3,FALSE)</f>
        <v>#DIV/0!</v>
      </c>
      <c r="R62" s="259">
        <f>IF(L62&gt;0,L62*I62/X62,0)*VLOOKUP(B62,'2-Kosten per locatie'!$A$14:$C$28,3,FALSE)</f>
        <v>0</v>
      </c>
      <c r="S62" s="259" t="e">
        <f>IF(M62&gt;0,M62*I62/Y62,0)*VLOOKUP(B62,'2-Kosten per locatie'!$A$14:$C$28,3,FALSE)</f>
        <v>#DIV/0!</v>
      </c>
      <c r="T62" s="259">
        <f>IF(N62&gt;0,N62*I62/Z62,0)*VLOOKUP(B62,'2-Kosten per locatie'!$A$14:$C$28,3,FALSE)</f>
        <v>0</v>
      </c>
      <c r="U62" s="259">
        <f>IF(O62&gt;0,O62*I62/Y62,0)*VLOOKUP(B62,'2-Kosten per locatie'!$A$14:$C$28,3,FALSE)</f>
        <v>0</v>
      </c>
      <c r="V62" s="259">
        <f>IF(P62&gt;0,P62*I62/Z62,0)*VLOOKUP(B62,'2-Kosten per locatie'!$A$14:$C$28,3,FALSE)</f>
        <v>0</v>
      </c>
      <c r="W62" s="348">
        <f>IF(K62="nio",0,IF(K62&gt;0,VLOOKUP(G62,'3-Productie normen'!A:N,VLOOKUP(K62,'3-Productie normen'!$B$27:$C$38,2,FALSE),FALSE)))</f>
        <v>0</v>
      </c>
      <c r="X62" s="348">
        <f t="shared" si="3"/>
        <v>0</v>
      </c>
      <c r="Y62" s="348">
        <f t="shared" si="4"/>
        <v>0</v>
      </c>
      <c r="Z62" s="348">
        <f t="shared" si="5"/>
        <v>0</v>
      </c>
      <c r="AA62" s="349">
        <f>VLOOKUP(G62,'3-Productie normen'!A:Q,15,FALSE)</f>
        <v>773.68459999999982</v>
      </c>
      <c r="AB62" s="350">
        <f>VLOOKUP(G62,'3-Productie normen'!A:Q,16,FALSE)</f>
        <v>0</v>
      </c>
      <c r="AC62" s="349"/>
      <c r="AE62" s="351">
        <f t="shared" si="1"/>
        <v>51744</v>
      </c>
    </row>
    <row r="63" spans="1:31" ht="14.1" customHeight="1">
      <c r="A63" s="76">
        <v>63</v>
      </c>
      <c r="B63" s="496" t="s">
        <v>288</v>
      </c>
      <c r="C63" s="312" t="s">
        <v>289</v>
      </c>
      <c r="D63" s="345" t="s">
        <v>307</v>
      </c>
      <c r="E63" s="346">
        <v>4</v>
      </c>
      <c r="F63" s="72" t="s">
        <v>327</v>
      </c>
      <c r="G63" s="72" t="s">
        <v>81</v>
      </c>
      <c r="H63" s="72" t="s">
        <v>311</v>
      </c>
      <c r="I63" s="502">
        <v>11.25</v>
      </c>
      <c r="J63" s="347">
        <f t="shared" si="2"/>
        <v>336</v>
      </c>
      <c r="K63" s="260">
        <v>240</v>
      </c>
      <c r="L63" s="260"/>
      <c r="M63" s="260">
        <v>96</v>
      </c>
      <c r="N63" s="260"/>
      <c r="O63" s="260"/>
      <c r="P63" s="260"/>
      <c r="Q63" s="259" t="e">
        <f>IF(K63="nio",0,IF(K63&gt;0,K63*I63/W63,0))*VLOOKUP(B63,'2-Kosten per locatie'!$A$14:$C$28,3,FALSE)</f>
        <v>#DIV/0!</v>
      </c>
      <c r="R63" s="259">
        <f>IF(L63&gt;0,L63*I63/X63,0)*VLOOKUP(B63,'2-Kosten per locatie'!$A$14:$C$28,3,FALSE)</f>
        <v>0</v>
      </c>
      <c r="S63" s="259" t="e">
        <f>IF(M63&gt;0,M63*I63/Y63,0)*VLOOKUP(B63,'2-Kosten per locatie'!$A$14:$C$28,3,FALSE)</f>
        <v>#DIV/0!</v>
      </c>
      <c r="T63" s="259">
        <f>IF(N63&gt;0,N63*I63/Z63,0)*VLOOKUP(B63,'2-Kosten per locatie'!$A$14:$C$28,3,FALSE)</f>
        <v>0</v>
      </c>
      <c r="U63" s="259">
        <f>IF(O63&gt;0,O63*I63/Y63,0)*VLOOKUP(B63,'2-Kosten per locatie'!$A$14:$C$28,3,FALSE)</f>
        <v>0</v>
      </c>
      <c r="V63" s="259">
        <f>IF(P63&gt;0,P63*I63/Z63,0)*VLOOKUP(B63,'2-Kosten per locatie'!$A$14:$C$28,3,FALSE)</f>
        <v>0</v>
      </c>
      <c r="W63" s="348">
        <f>IF(K63="nio",0,IF(K63&gt;0,VLOOKUP(G63,'3-Productie normen'!A:N,VLOOKUP(K63,'3-Productie normen'!$B$27:$C$38,2,FALSE),FALSE)))</f>
        <v>0</v>
      </c>
      <c r="X63" s="348">
        <f t="shared" si="3"/>
        <v>0</v>
      </c>
      <c r="Y63" s="348">
        <f t="shared" si="4"/>
        <v>0</v>
      </c>
      <c r="Z63" s="348">
        <f t="shared" si="5"/>
        <v>0</v>
      </c>
      <c r="AA63" s="349">
        <f>VLOOKUP(G63,'3-Productie normen'!A:Q,15,FALSE)</f>
        <v>235.06999999999988</v>
      </c>
      <c r="AB63" s="350">
        <f>VLOOKUP(G63,'3-Productie normen'!A:Q,16,FALSE)</f>
        <v>0</v>
      </c>
      <c r="AC63" s="349"/>
      <c r="AE63" s="351">
        <f t="shared" si="1"/>
        <v>3780</v>
      </c>
    </row>
    <row r="64" spans="1:31" ht="14.1" customHeight="1">
      <c r="A64" s="76">
        <v>64</v>
      </c>
      <c r="B64" s="496" t="s">
        <v>288</v>
      </c>
      <c r="C64" s="312" t="s">
        <v>289</v>
      </c>
      <c r="D64" s="345" t="s">
        <v>307</v>
      </c>
      <c r="E64" s="346">
        <v>5</v>
      </c>
      <c r="F64" s="72" t="s">
        <v>328</v>
      </c>
      <c r="G64" s="72" t="s">
        <v>81</v>
      </c>
      <c r="H64" s="72" t="s">
        <v>311</v>
      </c>
      <c r="I64" s="502">
        <v>10.25</v>
      </c>
      <c r="J64" s="347">
        <f t="shared" si="2"/>
        <v>336</v>
      </c>
      <c r="K64" s="260">
        <v>240</v>
      </c>
      <c r="L64" s="260"/>
      <c r="M64" s="260">
        <v>96</v>
      </c>
      <c r="N64" s="260"/>
      <c r="O64" s="260"/>
      <c r="P64" s="260"/>
      <c r="Q64" s="259" t="e">
        <f>IF(K64="nio",0,IF(K64&gt;0,K64*I64/W64,0))*VLOOKUP(B64,'2-Kosten per locatie'!$A$14:$C$28,3,FALSE)</f>
        <v>#DIV/0!</v>
      </c>
      <c r="R64" s="259">
        <f>IF(L64&gt;0,L64*I64/X64,0)*VLOOKUP(B64,'2-Kosten per locatie'!$A$14:$C$28,3,FALSE)</f>
        <v>0</v>
      </c>
      <c r="S64" s="259" t="e">
        <f>IF(M64&gt;0,M64*I64/Y64,0)*VLOOKUP(B64,'2-Kosten per locatie'!$A$14:$C$28,3,FALSE)</f>
        <v>#DIV/0!</v>
      </c>
      <c r="T64" s="259">
        <f>IF(N64&gt;0,N64*I64/Z64,0)*VLOOKUP(B64,'2-Kosten per locatie'!$A$14:$C$28,3,FALSE)</f>
        <v>0</v>
      </c>
      <c r="U64" s="259">
        <f>IF(O64&gt;0,O64*I64/Y64,0)*VLOOKUP(B64,'2-Kosten per locatie'!$A$14:$C$28,3,FALSE)</f>
        <v>0</v>
      </c>
      <c r="V64" s="259">
        <f>IF(P64&gt;0,P64*I64/Z64,0)*VLOOKUP(B64,'2-Kosten per locatie'!$A$14:$C$28,3,FALSE)</f>
        <v>0</v>
      </c>
      <c r="W64" s="348">
        <f>IF(K64="nio",0,IF(K64&gt;0,VLOOKUP(G64,'3-Productie normen'!A:N,VLOOKUP(K64,'3-Productie normen'!$B$27:$C$38,2,FALSE),FALSE)))</f>
        <v>0</v>
      </c>
      <c r="X64" s="348">
        <f t="shared" si="3"/>
        <v>0</v>
      </c>
      <c r="Y64" s="348">
        <f t="shared" si="4"/>
        <v>0</v>
      </c>
      <c r="Z64" s="348">
        <f t="shared" si="5"/>
        <v>0</v>
      </c>
      <c r="AA64" s="349">
        <f>VLOOKUP(G64,'3-Productie normen'!A:Q,15,FALSE)</f>
        <v>235.06999999999988</v>
      </c>
      <c r="AB64" s="350">
        <f>VLOOKUP(G64,'3-Productie normen'!A:Q,16,FALSE)</f>
        <v>0</v>
      </c>
      <c r="AC64" s="349"/>
      <c r="AE64" s="351">
        <f t="shared" si="1"/>
        <v>3444</v>
      </c>
    </row>
    <row r="65" spans="1:31" ht="14.1" customHeight="1">
      <c r="A65" s="76">
        <v>65</v>
      </c>
      <c r="B65" s="496" t="s">
        <v>288</v>
      </c>
      <c r="C65" s="312" t="s">
        <v>289</v>
      </c>
      <c r="D65" s="345" t="s">
        <v>307</v>
      </c>
      <c r="E65" s="346">
        <v>6</v>
      </c>
      <c r="F65" s="72" t="s">
        <v>329</v>
      </c>
      <c r="G65" s="72" t="s">
        <v>461</v>
      </c>
      <c r="H65" s="72" t="s">
        <v>330</v>
      </c>
      <c r="I65" s="502">
        <v>20</v>
      </c>
      <c r="J65" s="347">
        <f t="shared" si="2"/>
        <v>0</v>
      </c>
      <c r="K65" s="260" t="s">
        <v>460</v>
      </c>
      <c r="L65" s="260"/>
      <c r="M65" s="260"/>
      <c r="N65" s="260"/>
      <c r="O65" s="260"/>
      <c r="P65" s="260"/>
      <c r="Q65" s="259">
        <f>IF(K65="nio",0,IF(K65&gt;0,K65*I65/W65,0))*VLOOKUP(B65,'2-Kosten per locatie'!$A$14:$C$28,3,FALSE)</f>
        <v>0</v>
      </c>
      <c r="R65" s="259">
        <f>IF(L65&gt;0,L65*I65/X65,0)*VLOOKUP(B65,'2-Kosten per locatie'!$A$14:$C$28,3,FALSE)</f>
        <v>0</v>
      </c>
      <c r="S65" s="259">
        <f>IF(M65&gt;0,M65*I65/Y65,0)*VLOOKUP(B65,'2-Kosten per locatie'!$A$14:$C$28,3,FALSE)</f>
        <v>0</v>
      </c>
      <c r="T65" s="259">
        <f>IF(N65&gt;0,N65*I65/Z65,0)*VLOOKUP(B65,'2-Kosten per locatie'!$A$14:$C$28,3,FALSE)</f>
        <v>0</v>
      </c>
      <c r="U65" s="259">
        <f>IF(O65&gt;0,O65*I65/Y65,0)*VLOOKUP(B65,'2-Kosten per locatie'!$A$14:$C$28,3,FALSE)</f>
        <v>0</v>
      </c>
      <c r="V65" s="259">
        <f>IF(P65&gt;0,P65*I65/Z65,0)*VLOOKUP(B65,'2-Kosten per locatie'!$A$14:$C$28,3,FALSE)</f>
        <v>0</v>
      </c>
      <c r="W65" s="348">
        <f>IF(K65="nio",0,IF(K65&gt;0,VLOOKUP(G65,'3-Productie normen'!A:N,VLOOKUP(K65,'3-Productie normen'!$B$27:$C$38,2,FALSE),FALSE)))</f>
        <v>0</v>
      </c>
      <c r="X65" s="348">
        <f t="shared" si="3"/>
        <v>0</v>
      </c>
      <c r="Y65" s="348">
        <f t="shared" si="4"/>
        <v>0</v>
      </c>
      <c r="Z65" s="348">
        <f t="shared" si="5"/>
        <v>0</v>
      </c>
      <c r="AA65" s="349" t="e">
        <f>VLOOKUP(G65,'3-Productie normen'!A:Q,15,FALSE)</f>
        <v>#N/A</v>
      </c>
      <c r="AB65" s="350" t="e">
        <f>VLOOKUP(G65,'3-Productie normen'!A:Q,16,FALSE)</f>
        <v>#N/A</v>
      </c>
      <c r="AC65" s="349"/>
      <c r="AE65" s="351">
        <f t="shared" si="1"/>
        <v>0</v>
      </c>
    </row>
    <row r="66" spans="1:31" ht="14.1" customHeight="1">
      <c r="A66" s="76">
        <v>66</v>
      </c>
      <c r="B66" s="496" t="s">
        <v>288</v>
      </c>
      <c r="C66" s="312" t="s">
        <v>289</v>
      </c>
      <c r="D66" s="345" t="s">
        <v>307</v>
      </c>
      <c r="E66" s="346">
        <v>1</v>
      </c>
      <c r="F66" s="72" t="s">
        <v>331</v>
      </c>
      <c r="G66" s="72" t="s">
        <v>461</v>
      </c>
      <c r="H66" s="72" t="s">
        <v>330</v>
      </c>
      <c r="I66" s="502">
        <v>13.5</v>
      </c>
      <c r="J66" s="347">
        <f t="shared" si="2"/>
        <v>0</v>
      </c>
      <c r="K66" s="260" t="s">
        <v>460</v>
      </c>
      <c r="L66" s="260"/>
      <c r="M66" s="260"/>
      <c r="N66" s="260"/>
      <c r="O66" s="260"/>
      <c r="P66" s="260"/>
      <c r="Q66" s="259">
        <f>IF(K66="nio",0,IF(K66&gt;0,K66*I66/W66,0))*VLOOKUP(B66,'2-Kosten per locatie'!$A$14:$C$28,3,FALSE)</f>
        <v>0</v>
      </c>
      <c r="R66" s="259">
        <f>IF(L66&gt;0,L66*I66/X66,0)*VLOOKUP(B66,'2-Kosten per locatie'!$A$14:$C$28,3,FALSE)</f>
        <v>0</v>
      </c>
      <c r="S66" s="259">
        <f>IF(M66&gt;0,M66*I66/Y66,0)*VLOOKUP(B66,'2-Kosten per locatie'!$A$14:$C$28,3,FALSE)</f>
        <v>0</v>
      </c>
      <c r="T66" s="259">
        <f>IF(N66&gt;0,N66*I66/Z66,0)*VLOOKUP(B66,'2-Kosten per locatie'!$A$14:$C$28,3,FALSE)</f>
        <v>0</v>
      </c>
      <c r="U66" s="259">
        <f>IF(O66&gt;0,O66*I66/Y66,0)*VLOOKUP(B66,'2-Kosten per locatie'!$A$14:$C$28,3,FALSE)</f>
        <v>0</v>
      </c>
      <c r="V66" s="259">
        <f>IF(P66&gt;0,P66*I66/Z66,0)*VLOOKUP(B66,'2-Kosten per locatie'!$A$14:$C$28,3,FALSE)</f>
        <v>0</v>
      </c>
      <c r="W66" s="348">
        <f>IF(K66="nio",0,IF(K66&gt;0,VLOOKUP(G66,'3-Productie normen'!A:N,VLOOKUP(K66,'3-Productie normen'!$B$27:$C$38,2,FALSE),FALSE)))</f>
        <v>0</v>
      </c>
      <c r="X66" s="348">
        <f t="shared" si="3"/>
        <v>0</v>
      </c>
      <c r="Y66" s="348">
        <f t="shared" si="4"/>
        <v>0</v>
      </c>
      <c r="Z66" s="348">
        <f t="shared" si="5"/>
        <v>0</v>
      </c>
      <c r="AA66" s="349" t="e">
        <f>VLOOKUP(G66,'3-Productie normen'!A:Q,15,FALSE)</f>
        <v>#N/A</v>
      </c>
      <c r="AB66" s="350" t="e">
        <f>VLOOKUP(G66,'3-Productie normen'!A:Q,16,FALSE)</f>
        <v>#N/A</v>
      </c>
      <c r="AC66" s="349"/>
      <c r="AE66" s="351">
        <f t="shared" si="1"/>
        <v>0</v>
      </c>
    </row>
    <row r="67" spans="1:31" ht="14.1" customHeight="1">
      <c r="A67" s="76">
        <v>67</v>
      </c>
      <c r="B67" s="496" t="s">
        <v>288</v>
      </c>
      <c r="C67" s="312" t="s">
        <v>289</v>
      </c>
      <c r="D67" s="345" t="s">
        <v>307</v>
      </c>
      <c r="E67" s="346">
        <v>2</v>
      </c>
      <c r="F67" s="72" t="s">
        <v>332</v>
      </c>
      <c r="G67" s="72" t="s">
        <v>90</v>
      </c>
      <c r="H67" s="72" t="s">
        <v>333</v>
      </c>
      <c r="I67" s="502">
        <v>0.8</v>
      </c>
      <c r="J67" s="347">
        <f t="shared" si="2"/>
        <v>336</v>
      </c>
      <c r="K67" s="260">
        <v>240</v>
      </c>
      <c r="L67" s="260"/>
      <c r="M67" s="260">
        <v>96</v>
      </c>
      <c r="N67" s="260"/>
      <c r="O67" s="260"/>
      <c r="P67" s="260"/>
      <c r="Q67" s="259" t="e">
        <f>IF(K67="nio",0,IF(K67&gt;0,K67*I67/W67,0))*VLOOKUP(B67,'2-Kosten per locatie'!$A$14:$C$28,3,FALSE)</f>
        <v>#DIV/0!</v>
      </c>
      <c r="R67" s="259">
        <f>IF(L67&gt;0,L67*I67/X67,0)*VLOOKUP(B67,'2-Kosten per locatie'!$A$14:$C$28,3,FALSE)</f>
        <v>0</v>
      </c>
      <c r="S67" s="259" t="e">
        <f>IF(M67&gt;0,M67*I67/Y67,0)*VLOOKUP(B67,'2-Kosten per locatie'!$A$14:$C$28,3,FALSE)</f>
        <v>#DIV/0!</v>
      </c>
      <c r="T67" s="259">
        <f>IF(N67&gt;0,N67*I67/Z67,0)*VLOOKUP(B67,'2-Kosten per locatie'!$A$14:$C$28,3,FALSE)</f>
        <v>0</v>
      </c>
      <c r="U67" s="259">
        <f>IF(O67&gt;0,O67*I67/Y67,0)*VLOOKUP(B67,'2-Kosten per locatie'!$A$14:$C$28,3,FALSE)</f>
        <v>0</v>
      </c>
      <c r="V67" s="259">
        <f>IF(P67&gt;0,P67*I67/Z67,0)*VLOOKUP(B67,'2-Kosten per locatie'!$A$14:$C$28,3,FALSE)</f>
        <v>0</v>
      </c>
      <c r="W67" s="348">
        <f>IF(K67="nio",0,IF(K67&gt;0,VLOOKUP(G67,'3-Productie normen'!A:N,VLOOKUP(K67,'3-Productie normen'!$B$27:$C$38,2,FALSE),FALSE)))</f>
        <v>0</v>
      </c>
      <c r="X67" s="348">
        <f t="shared" si="3"/>
        <v>0</v>
      </c>
      <c r="Y67" s="348">
        <f t="shared" si="4"/>
        <v>0</v>
      </c>
      <c r="Z67" s="348">
        <f t="shared" si="5"/>
        <v>0</v>
      </c>
      <c r="AA67" s="349">
        <f>VLOOKUP(G67,'3-Productie normen'!A:Q,15,FALSE)</f>
        <v>24.734000000000002</v>
      </c>
      <c r="AB67" s="350">
        <f>VLOOKUP(G67,'3-Productie normen'!A:Q,16,FALSE)</f>
        <v>0</v>
      </c>
      <c r="AC67" s="349"/>
      <c r="AE67" s="351">
        <f t="shared" si="1"/>
        <v>268.8</v>
      </c>
    </row>
    <row r="68" spans="1:31" ht="14.1" customHeight="1">
      <c r="A68" s="76">
        <v>68</v>
      </c>
      <c r="B68" s="496" t="s">
        <v>288</v>
      </c>
      <c r="C68" s="312" t="s">
        <v>289</v>
      </c>
      <c r="D68" s="345" t="s">
        <v>307</v>
      </c>
      <c r="E68" s="346">
        <v>3</v>
      </c>
      <c r="F68" s="72" t="s">
        <v>312</v>
      </c>
      <c r="G68" s="72" t="s">
        <v>83</v>
      </c>
      <c r="H68" s="72" t="s">
        <v>330</v>
      </c>
      <c r="I68" s="502">
        <v>2.4500000000000002</v>
      </c>
      <c r="J68" s="347">
        <f t="shared" si="2"/>
        <v>336</v>
      </c>
      <c r="K68" s="260">
        <v>240</v>
      </c>
      <c r="L68" s="260"/>
      <c r="M68" s="260">
        <v>96</v>
      </c>
      <c r="N68" s="260"/>
      <c r="O68" s="260"/>
      <c r="P68" s="260"/>
      <c r="Q68" s="259" t="e">
        <f>IF(K68="nio",0,IF(K68&gt;0,K68*I68/W68,0))*VLOOKUP(B68,'2-Kosten per locatie'!$A$14:$C$28,3,FALSE)</f>
        <v>#DIV/0!</v>
      </c>
      <c r="R68" s="259">
        <f>IF(L68&gt;0,L68*I68/X68,0)*VLOOKUP(B68,'2-Kosten per locatie'!$A$14:$C$28,3,FALSE)</f>
        <v>0</v>
      </c>
      <c r="S68" s="259" t="e">
        <f>IF(M68&gt;0,M68*I68/Y68,0)*VLOOKUP(B68,'2-Kosten per locatie'!$A$14:$C$28,3,FALSE)</f>
        <v>#DIV/0!</v>
      </c>
      <c r="T68" s="259">
        <f>IF(N68&gt;0,N68*I68/Z68,0)*VLOOKUP(B68,'2-Kosten per locatie'!$A$14:$C$28,3,FALSE)</f>
        <v>0</v>
      </c>
      <c r="U68" s="259">
        <f>IF(O68&gt;0,O68*I68/Y68,0)*VLOOKUP(B68,'2-Kosten per locatie'!$A$14:$C$28,3,FALSE)</f>
        <v>0</v>
      </c>
      <c r="V68" s="259">
        <f>IF(P68&gt;0,P68*I68/Z68,0)*VLOOKUP(B68,'2-Kosten per locatie'!$A$14:$C$28,3,FALSE)</f>
        <v>0</v>
      </c>
      <c r="W68" s="348">
        <f>IF(K68="nio",0,IF(K68&gt;0,VLOOKUP(G68,'3-Productie normen'!A:N,VLOOKUP(K68,'3-Productie normen'!$B$27:$C$38,2,FALSE),FALSE)))</f>
        <v>0</v>
      </c>
      <c r="X68" s="348">
        <f t="shared" si="3"/>
        <v>0</v>
      </c>
      <c r="Y68" s="348">
        <f t="shared" si="4"/>
        <v>0</v>
      </c>
      <c r="Z68" s="348">
        <f t="shared" si="5"/>
        <v>0</v>
      </c>
      <c r="AA68" s="349">
        <f>VLOOKUP(G68,'3-Productie normen'!A:Q,15,FALSE)</f>
        <v>773.68459999999982</v>
      </c>
      <c r="AB68" s="350">
        <f>VLOOKUP(G68,'3-Productie normen'!A:Q,16,FALSE)</f>
        <v>0</v>
      </c>
      <c r="AC68" s="349"/>
      <c r="AE68" s="351">
        <f t="shared" si="1"/>
        <v>823.2</v>
      </c>
    </row>
    <row r="69" spans="1:31" ht="14.1" customHeight="1">
      <c r="A69" s="76">
        <v>69</v>
      </c>
      <c r="B69" s="496" t="s">
        <v>288</v>
      </c>
      <c r="C69" s="312" t="s">
        <v>289</v>
      </c>
      <c r="D69" s="345" t="s">
        <v>307</v>
      </c>
      <c r="E69" s="346">
        <v>4</v>
      </c>
      <c r="F69" s="72" t="s">
        <v>308</v>
      </c>
      <c r="G69" s="72" t="s">
        <v>461</v>
      </c>
      <c r="H69" s="72" t="s">
        <v>330</v>
      </c>
      <c r="I69" s="502">
        <v>23.12</v>
      </c>
      <c r="J69" s="347">
        <f t="shared" si="2"/>
        <v>0</v>
      </c>
      <c r="K69" s="260" t="s">
        <v>460</v>
      </c>
      <c r="L69" s="260"/>
      <c r="M69" s="260"/>
      <c r="N69" s="260"/>
      <c r="O69" s="260"/>
      <c r="P69" s="260"/>
      <c r="Q69" s="259">
        <f>IF(K69="nio",0,IF(K69&gt;0,K69*I69/W69,0))*VLOOKUP(B69,'2-Kosten per locatie'!$A$14:$C$28,3,FALSE)</f>
        <v>0</v>
      </c>
      <c r="R69" s="259">
        <f>IF(L69&gt;0,L69*I69/X69,0)*VLOOKUP(B69,'2-Kosten per locatie'!$A$14:$C$28,3,FALSE)</f>
        <v>0</v>
      </c>
      <c r="S69" s="259">
        <f>IF(M69&gt;0,M69*I69/Y69,0)*VLOOKUP(B69,'2-Kosten per locatie'!$A$14:$C$28,3,FALSE)</f>
        <v>0</v>
      </c>
      <c r="T69" s="259">
        <f>IF(N69&gt;0,N69*I69/Z69,0)*VLOOKUP(B69,'2-Kosten per locatie'!$A$14:$C$28,3,FALSE)</f>
        <v>0</v>
      </c>
      <c r="U69" s="259">
        <f>IF(O69&gt;0,O69*I69/Y69,0)*VLOOKUP(B69,'2-Kosten per locatie'!$A$14:$C$28,3,FALSE)</f>
        <v>0</v>
      </c>
      <c r="V69" s="259">
        <f>IF(P69&gt;0,P69*I69/Z69,0)*VLOOKUP(B69,'2-Kosten per locatie'!$A$14:$C$28,3,FALSE)</f>
        <v>0</v>
      </c>
      <c r="W69" s="348">
        <f>IF(K69="nio",0,IF(K69&gt;0,VLOOKUP(G69,'3-Productie normen'!A:N,VLOOKUP(K69,'3-Productie normen'!$B$27:$C$38,2,FALSE),FALSE)))</f>
        <v>0</v>
      </c>
      <c r="X69" s="348">
        <f t="shared" si="3"/>
        <v>0</v>
      </c>
      <c r="Y69" s="348">
        <f t="shared" si="4"/>
        <v>0</v>
      </c>
      <c r="Z69" s="348">
        <f t="shared" si="5"/>
        <v>0</v>
      </c>
      <c r="AA69" s="349" t="e">
        <f>VLOOKUP(G69,'3-Productie normen'!A:Q,15,FALSE)</f>
        <v>#N/A</v>
      </c>
      <c r="AB69" s="350" t="e">
        <f>VLOOKUP(G69,'3-Productie normen'!A:Q,16,FALSE)</f>
        <v>#N/A</v>
      </c>
      <c r="AC69" s="349"/>
      <c r="AE69" s="351">
        <f t="shared" si="1"/>
        <v>0</v>
      </c>
    </row>
    <row r="70" spans="1:31" ht="14.1" customHeight="1">
      <c r="A70" s="76">
        <v>70</v>
      </c>
      <c r="B70" s="496" t="s">
        <v>288</v>
      </c>
      <c r="C70" s="312" t="s">
        <v>289</v>
      </c>
      <c r="D70" s="345" t="s">
        <v>307</v>
      </c>
      <c r="E70" s="346">
        <v>5</v>
      </c>
      <c r="F70" s="72" t="s">
        <v>334</v>
      </c>
      <c r="G70" s="72" t="s">
        <v>461</v>
      </c>
      <c r="H70" s="72" t="s">
        <v>311</v>
      </c>
      <c r="I70" s="502">
        <v>37.72</v>
      </c>
      <c r="J70" s="347">
        <f t="shared" si="2"/>
        <v>0</v>
      </c>
      <c r="K70" s="260" t="s">
        <v>460</v>
      </c>
      <c r="L70" s="260"/>
      <c r="M70" s="260"/>
      <c r="N70" s="260"/>
      <c r="O70" s="260"/>
      <c r="P70" s="260"/>
      <c r="Q70" s="259">
        <f>IF(K70="nio",0,IF(K70&gt;0,K70*I70/W70,0))*VLOOKUP(B70,'2-Kosten per locatie'!$A$14:$C$28,3,FALSE)</f>
        <v>0</v>
      </c>
      <c r="R70" s="259">
        <f>IF(L70&gt;0,L70*I70/X70,0)*VLOOKUP(B70,'2-Kosten per locatie'!$A$14:$C$28,3,FALSE)</f>
        <v>0</v>
      </c>
      <c r="S70" s="259">
        <f>IF(M70&gt;0,M70*I70/Y70,0)*VLOOKUP(B70,'2-Kosten per locatie'!$A$14:$C$28,3,FALSE)</f>
        <v>0</v>
      </c>
      <c r="T70" s="259">
        <f>IF(N70&gt;0,N70*I70/Z70,0)*VLOOKUP(B70,'2-Kosten per locatie'!$A$14:$C$28,3,FALSE)</f>
        <v>0</v>
      </c>
      <c r="U70" s="259">
        <f>IF(O70&gt;0,O70*I70/Y70,0)*VLOOKUP(B70,'2-Kosten per locatie'!$A$14:$C$28,3,FALSE)</f>
        <v>0</v>
      </c>
      <c r="V70" s="259">
        <f>IF(P70&gt;0,P70*I70/Z70,0)*VLOOKUP(B70,'2-Kosten per locatie'!$A$14:$C$28,3,FALSE)</f>
        <v>0</v>
      </c>
      <c r="W70" s="348">
        <f>IF(K70="nio",0,IF(K70&gt;0,VLOOKUP(G70,'3-Productie normen'!A:N,VLOOKUP(K70,'3-Productie normen'!$B$27:$C$38,2,FALSE),FALSE)))</f>
        <v>0</v>
      </c>
      <c r="X70" s="348">
        <f t="shared" si="3"/>
        <v>0</v>
      </c>
      <c r="Y70" s="348">
        <f t="shared" si="4"/>
        <v>0</v>
      </c>
      <c r="Z70" s="348">
        <f t="shared" si="5"/>
        <v>0</v>
      </c>
      <c r="AA70" s="349" t="e">
        <f>VLOOKUP(G70,'3-Productie normen'!A:Q,15,FALSE)</f>
        <v>#N/A</v>
      </c>
      <c r="AB70" s="350" t="e">
        <f>VLOOKUP(G70,'3-Productie normen'!A:Q,16,FALSE)</f>
        <v>#N/A</v>
      </c>
      <c r="AC70" s="349"/>
      <c r="AE70" s="351">
        <f t="shared" si="1"/>
        <v>0</v>
      </c>
    </row>
    <row r="71" spans="1:31" ht="14.1" customHeight="1">
      <c r="A71" s="76">
        <v>71</v>
      </c>
      <c r="B71" s="496" t="s">
        <v>288</v>
      </c>
      <c r="C71" s="312" t="s">
        <v>289</v>
      </c>
      <c r="D71" s="345" t="s">
        <v>307</v>
      </c>
      <c r="E71" s="346">
        <v>6</v>
      </c>
      <c r="F71" s="72" t="s">
        <v>335</v>
      </c>
      <c r="G71" s="72" t="s">
        <v>341</v>
      </c>
      <c r="H71" s="72" t="s">
        <v>311</v>
      </c>
      <c r="I71" s="502">
        <v>15.17</v>
      </c>
      <c r="J71" s="347">
        <f t="shared" si="2"/>
        <v>336</v>
      </c>
      <c r="K71" s="260">
        <v>240</v>
      </c>
      <c r="L71" s="260"/>
      <c r="M71" s="260">
        <v>96</v>
      </c>
      <c r="N71" s="260"/>
      <c r="O71" s="260"/>
      <c r="P71" s="260"/>
      <c r="Q71" s="259" t="e">
        <f>IF(K71="nio",0,IF(K71&gt;0,K71*I71/W71,0))*VLOOKUP(B71,'2-Kosten per locatie'!$A$14:$C$28,3,FALSE)</f>
        <v>#DIV/0!</v>
      </c>
      <c r="R71" s="259">
        <f>IF(L71&gt;0,L71*I71/X71,0)*VLOOKUP(B71,'2-Kosten per locatie'!$A$14:$C$28,3,FALSE)</f>
        <v>0</v>
      </c>
      <c r="S71" s="259" t="e">
        <f>IF(M71&gt;0,M71*I71/Y71,0)*VLOOKUP(B71,'2-Kosten per locatie'!$A$14:$C$28,3,FALSE)</f>
        <v>#DIV/0!</v>
      </c>
      <c r="T71" s="259">
        <f>IF(N71&gt;0,N71*I71/Z71,0)*VLOOKUP(B71,'2-Kosten per locatie'!$A$14:$C$28,3,FALSE)</f>
        <v>0</v>
      </c>
      <c r="U71" s="259">
        <f>IF(O71&gt;0,O71*I71/Y71,0)*VLOOKUP(B71,'2-Kosten per locatie'!$A$14:$C$28,3,FALSE)</f>
        <v>0</v>
      </c>
      <c r="V71" s="259">
        <f>IF(P71&gt;0,P71*I71/Z71,0)*VLOOKUP(B71,'2-Kosten per locatie'!$A$14:$C$28,3,FALSE)</f>
        <v>0</v>
      </c>
      <c r="W71" s="348">
        <f>IF(K71="nio",0,IF(K71&gt;0,VLOOKUP(G71,'3-Productie normen'!A:N,VLOOKUP(K71,'3-Productie normen'!$B$27:$C$38,2,FALSE),FALSE)))</f>
        <v>0</v>
      </c>
      <c r="X71" s="348">
        <f t="shared" si="3"/>
        <v>0</v>
      </c>
      <c r="Y71" s="348">
        <f t="shared" si="4"/>
        <v>0</v>
      </c>
      <c r="Z71" s="348">
        <f t="shared" si="5"/>
        <v>0</v>
      </c>
      <c r="AA71" s="349">
        <f>VLOOKUP(G71,'3-Productie normen'!A:Q,15,FALSE)</f>
        <v>452.79000000000019</v>
      </c>
      <c r="AB71" s="350">
        <f>VLOOKUP(G71,'3-Productie normen'!A:Q,16,FALSE)</f>
        <v>0</v>
      </c>
      <c r="AC71" s="349"/>
      <c r="AE71" s="351">
        <f t="shared" si="1"/>
        <v>5097.12</v>
      </c>
    </row>
    <row r="72" spans="1:31" ht="14.1" customHeight="1">
      <c r="A72" s="76">
        <v>72</v>
      </c>
      <c r="B72" s="496" t="s">
        <v>288</v>
      </c>
      <c r="C72" s="312" t="s">
        <v>289</v>
      </c>
      <c r="D72" s="345" t="s">
        <v>307</v>
      </c>
      <c r="E72" s="346">
        <v>7</v>
      </c>
      <c r="F72" s="72" t="s">
        <v>313</v>
      </c>
      <c r="G72" s="72" t="s">
        <v>85</v>
      </c>
      <c r="H72" s="72" t="s">
        <v>311</v>
      </c>
      <c r="I72" s="502">
        <v>3.7749999999999999</v>
      </c>
      <c r="J72" s="347">
        <f t="shared" si="2"/>
        <v>336</v>
      </c>
      <c r="K72" s="260">
        <v>240</v>
      </c>
      <c r="L72" s="260"/>
      <c r="M72" s="260">
        <v>96</v>
      </c>
      <c r="N72" s="260"/>
      <c r="O72" s="260"/>
      <c r="P72" s="260"/>
      <c r="Q72" s="259" t="e">
        <f>IF(K72="nio",0,IF(K72&gt;0,K72*I72/W72,0))*VLOOKUP(B72,'2-Kosten per locatie'!$A$14:$C$28,3,FALSE)</f>
        <v>#DIV/0!</v>
      </c>
      <c r="R72" s="259">
        <f>IF(L72&gt;0,L72*I72/X72,0)*VLOOKUP(B72,'2-Kosten per locatie'!$A$14:$C$28,3,FALSE)</f>
        <v>0</v>
      </c>
      <c r="S72" s="259" t="e">
        <f>IF(M72&gt;0,M72*I72/Y72,0)*VLOOKUP(B72,'2-Kosten per locatie'!$A$14:$C$28,3,FALSE)</f>
        <v>#DIV/0!</v>
      </c>
      <c r="T72" s="259">
        <f>IF(N72&gt;0,N72*I72/Z72,0)*VLOOKUP(B72,'2-Kosten per locatie'!$A$14:$C$28,3,FALSE)</f>
        <v>0</v>
      </c>
      <c r="U72" s="259">
        <f>IF(O72&gt;0,O72*I72/Y72,0)*VLOOKUP(B72,'2-Kosten per locatie'!$A$14:$C$28,3,FALSE)</f>
        <v>0</v>
      </c>
      <c r="V72" s="259">
        <f>IF(P72&gt;0,P72*I72/Z72,0)*VLOOKUP(B72,'2-Kosten per locatie'!$A$14:$C$28,3,FALSE)</f>
        <v>0</v>
      </c>
      <c r="W72" s="348">
        <f>IF(K72="nio",0,IF(K72&gt;0,VLOOKUP(G72,'3-Productie normen'!A:N,VLOOKUP(K72,'3-Productie normen'!$B$27:$C$38,2,FALSE),FALSE)))</f>
        <v>0</v>
      </c>
      <c r="X72" s="348">
        <f t="shared" si="3"/>
        <v>0</v>
      </c>
      <c r="Y72" s="348">
        <f t="shared" si="4"/>
        <v>0</v>
      </c>
      <c r="Z72" s="348">
        <f t="shared" si="5"/>
        <v>0</v>
      </c>
      <c r="AA72" s="349">
        <f>VLOOKUP(G72,'3-Productie normen'!A:Q,15,FALSE)</f>
        <v>1367.5950000000007</v>
      </c>
      <c r="AB72" s="350">
        <f>VLOOKUP(G72,'3-Productie normen'!A:Q,16,FALSE)</f>
        <v>0</v>
      </c>
      <c r="AC72" s="349"/>
      <c r="AE72" s="351">
        <f t="shared" si="1"/>
        <v>1268.3999999999999</v>
      </c>
    </row>
    <row r="73" spans="1:31" ht="14.1" customHeight="1">
      <c r="A73" s="76">
        <v>73</v>
      </c>
      <c r="B73" s="496" t="s">
        <v>288</v>
      </c>
      <c r="C73" s="312" t="s">
        <v>289</v>
      </c>
      <c r="D73" s="345" t="s">
        <v>307</v>
      </c>
      <c r="E73" s="346">
        <v>8</v>
      </c>
      <c r="F73" s="72" t="s">
        <v>313</v>
      </c>
      <c r="G73" s="72" t="s">
        <v>85</v>
      </c>
      <c r="H73" s="72" t="s">
        <v>311</v>
      </c>
      <c r="I73" s="502">
        <v>3.78</v>
      </c>
      <c r="J73" s="347">
        <f t="shared" si="2"/>
        <v>336</v>
      </c>
      <c r="K73" s="260">
        <v>240</v>
      </c>
      <c r="L73" s="260"/>
      <c r="M73" s="260">
        <v>96</v>
      </c>
      <c r="N73" s="260"/>
      <c r="O73" s="260"/>
      <c r="P73" s="260"/>
      <c r="Q73" s="259" t="e">
        <f>IF(K73="nio",0,IF(K73&gt;0,K73*I73/W73,0))*VLOOKUP(B73,'2-Kosten per locatie'!$A$14:$C$28,3,FALSE)</f>
        <v>#DIV/0!</v>
      </c>
      <c r="R73" s="259">
        <f>IF(L73&gt;0,L73*I73/X73,0)*VLOOKUP(B73,'2-Kosten per locatie'!$A$14:$C$28,3,FALSE)</f>
        <v>0</v>
      </c>
      <c r="S73" s="259" t="e">
        <f>IF(M73&gt;0,M73*I73/Y73,0)*VLOOKUP(B73,'2-Kosten per locatie'!$A$14:$C$28,3,FALSE)</f>
        <v>#DIV/0!</v>
      </c>
      <c r="T73" s="259">
        <f>IF(N73&gt;0,N73*I73/Z73,0)*VLOOKUP(B73,'2-Kosten per locatie'!$A$14:$C$28,3,FALSE)</f>
        <v>0</v>
      </c>
      <c r="U73" s="259">
        <f>IF(O73&gt;0,O73*I73/Y73,0)*VLOOKUP(B73,'2-Kosten per locatie'!$A$14:$C$28,3,FALSE)</f>
        <v>0</v>
      </c>
      <c r="V73" s="259">
        <f>IF(P73&gt;0,P73*I73/Z73,0)*VLOOKUP(B73,'2-Kosten per locatie'!$A$14:$C$28,3,FALSE)</f>
        <v>0</v>
      </c>
      <c r="W73" s="348">
        <f>IF(K73="nio",0,IF(K73&gt;0,VLOOKUP(G73,'3-Productie normen'!A:N,VLOOKUP(K73,'3-Productie normen'!$B$27:$C$38,2,FALSE),FALSE)))</f>
        <v>0</v>
      </c>
      <c r="X73" s="348">
        <f t="shared" si="3"/>
        <v>0</v>
      </c>
      <c r="Y73" s="348">
        <f t="shared" si="4"/>
        <v>0</v>
      </c>
      <c r="Z73" s="348">
        <f t="shared" si="5"/>
        <v>0</v>
      </c>
      <c r="AA73" s="349">
        <f>VLOOKUP(G73,'3-Productie normen'!A:Q,15,FALSE)</f>
        <v>1367.5950000000007</v>
      </c>
      <c r="AB73" s="350">
        <f>VLOOKUP(G73,'3-Productie normen'!A:Q,16,FALSE)</f>
        <v>0</v>
      </c>
      <c r="AC73" s="349"/>
      <c r="AE73" s="351">
        <f t="shared" si="1"/>
        <v>1270.08</v>
      </c>
    </row>
    <row r="74" spans="1:31" ht="14.1" customHeight="1">
      <c r="A74" s="76">
        <v>74</v>
      </c>
      <c r="B74" s="496" t="s">
        <v>288</v>
      </c>
      <c r="C74" s="312" t="s">
        <v>289</v>
      </c>
      <c r="D74" s="345" t="s">
        <v>307</v>
      </c>
      <c r="E74" s="346">
        <v>9</v>
      </c>
      <c r="F74" s="72" t="s">
        <v>336</v>
      </c>
      <c r="G74" s="72" t="s">
        <v>81</v>
      </c>
      <c r="H74" s="72" t="s">
        <v>311</v>
      </c>
      <c r="I74" s="502">
        <v>5.8</v>
      </c>
      <c r="J74" s="347">
        <f t="shared" si="2"/>
        <v>336</v>
      </c>
      <c r="K74" s="260">
        <v>240</v>
      </c>
      <c r="L74" s="260"/>
      <c r="M74" s="260">
        <v>96</v>
      </c>
      <c r="N74" s="260"/>
      <c r="O74" s="260"/>
      <c r="P74" s="260"/>
      <c r="Q74" s="259" t="e">
        <f>IF(K74="nio",0,IF(K74&gt;0,K74*I74/W74,0))*VLOOKUP(B74,'2-Kosten per locatie'!$A$14:$C$28,3,FALSE)</f>
        <v>#DIV/0!</v>
      </c>
      <c r="R74" s="259">
        <f>IF(L74&gt;0,L74*I74/X74,0)*VLOOKUP(B74,'2-Kosten per locatie'!$A$14:$C$28,3,FALSE)</f>
        <v>0</v>
      </c>
      <c r="S74" s="259" t="e">
        <f>IF(M74&gt;0,M74*I74/Y74,0)*VLOOKUP(B74,'2-Kosten per locatie'!$A$14:$C$28,3,FALSE)</f>
        <v>#DIV/0!</v>
      </c>
      <c r="T74" s="259">
        <f>IF(N74&gt;0,N74*I74/Z74,0)*VLOOKUP(B74,'2-Kosten per locatie'!$A$14:$C$28,3,FALSE)</f>
        <v>0</v>
      </c>
      <c r="U74" s="259">
        <f>IF(O74&gt;0,O74*I74/Y74,0)*VLOOKUP(B74,'2-Kosten per locatie'!$A$14:$C$28,3,FALSE)</f>
        <v>0</v>
      </c>
      <c r="V74" s="259">
        <f>IF(P74&gt;0,P74*I74/Z74,0)*VLOOKUP(B74,'2-Kosten per locatie'!$A$14:$C$28,3,FALSE)</f>
        <v>0</v>
      </c>
      <c r="W74" s="348">
        <f>IF(K74="nio",0,IF(K74&gt;0,VLOOKUP(G74,'3-Productie normen'!A:N,VLOOKUP(K74,'3-Productie normen'!$B$27:$C$38,2,FALSE),FALSE)))</f>
        <v>0</v>
      </c>
      <c r="X74" s="348">
        <f t="shared" si="3"/>
        <v>0</v>
      </c>
      <c r="Y74" s="348">
        <f t="shared" si="4"/>
        <v>0</v>
      </c>
      <c r="Z74" s="348">
        <f t="shared" si="5"/>
        <v>0</v>
      </c>
      <c r="AA74" s="349">
        <f>VLOOKUP(G74,'3-Productie normen'!A:Q,15,FALSE)</f>
        <v>235.06999999999988</v>
      </c>
      <c r="AB74" s="350">
        <f>VLOOKUP(G74,'3-Productie normen'!A:Q,16,FALSE)</f>
        <v>0</v>
      </c>
      <c r="AC74" s="349"/>
      <c r="AE74" s="351">
        <f t="shared" ref="AE74:AE137" si="6">J74*I74</f>
        <v>1948.8</v>
      </c>
    </row>
    <row r="75" spans="1:31" ht="14.1" customHeight="1">
      <c r="A75" s="76">
        <v>75</v>
      </c>
      <c r="B75" s="496" t="s">
        <v>288</v>
      </c>
      <c r="C75" s="312" t="s">
        <v>289</v>
      </c>
      <c r="D75" s="345" t="s">
        <v>307</v>
      </c>
      <c r="E75" s="346">
        <v>10</v>
      </c>
      <c r="F75" s="72" t="s">
        <v>337</v>
      </c>
      <c r="G75" s="72" t="s">
        <v>461</v>
      </c>
      <c r="H75" s="72" t="s">
        <v>311</v>
      </c>
      <c r="I75" s="502">
        <v>11.46</v>
      </c>
      <c r="J75" s="347">
        <f t="shared" ref="J75:J136" si="7">SUM(K75:P75)</f>
        <v>0</v>
      </c>
      <c r="K75" s="260" t="s">
        <v>460</v>
      </c>
      <c r="L75" s="260"/>
      <c r="M75" s="260"/>
      <c r="N75" s="260"/>
      <c r="O75" s="260"/>
      <c r="P75" s="260"/>
      <c r="Q75" s="259">
        <f>IF(K75="nio",0,IF(K75&gt;0,K75*I75/W75,0))*VLOOKUP(B75,'2-Kosten per locatie'!$A$14:$C$28,3,FALSE)</f>
        <v>0</v>
      </c>
      <c r="R75" s="259">
        <f>IF(L75&gt;0,L75*I75/X75,0)*VLOOKUP(B75,'2-Kosten per locatie'!$A$14:$C$28,3,FALSE)</f>
        <v>0</v>
      </c>
      <c r="S75" s="259">
        <f>IF(M75&gt;0,M75*I75/Y75,0)*VLOOKUP(B75,'2-Kosten per locatie'!$A$14:$C$28,3,FALSE)</f>
        <v>0</v>
      </c>
      <c r="T75" s="259">
        <f>IF(N75&gt;0,N75*I75/Z75,0)*VLOOKUP(B75,'2-Kosten per locatie'!$A$14:$C$28,3,FALSE)</f>
        <v>0</v>
      </c>
      <c r="U75" s="259">
        <f>IF(O75&gt;0,O75*I75/Y75,0)*VLOOKUP(B75,'2-Kosten per locatie'!$A$14:$C$28,3,FALSE)</f>
        <v>0</v>
      </c>
      <c r="V75" s="259">
        <f>IF(P75&gt;0,P75*I75/Z75,0)*VLOOKUP(B75,'2-Kosten per locatie'!$A$14:$C$28,3,FALSE)</f>
        <v>0</v>
      </c>
      <c r="W75" s="348">
        <f>IF(K75="nio",0,IF(K75&gt;0,VLOOKUP(G75,'3-Productie normen'!A:N,VLOOKUP(K75,'3-Productie normen'!$B$27:$C$38,2,FALSE),FALSE)))</f>
        <v>0</v>
      </c>
      <c r="X75" s="348">
        <f t="shared" ref="X75:X138" si="8">IF(L75&gt;0,W75*$X$8,0)</f>
        <v>0</v>
      </c>
      <c r="Y75" s="348">
        <f t="shared" ref="Y75:Y138" si="9">IF((OR(M75&gt;0,O75&gt;0)),W75*$Y$8,0)</f>
        <v>0</v>
      </c>
      <c r="Z75" s="348">
        <f t="shared" ref="Z75:Z138" si="10">IF((OR(N75&gt;0,P75&gt;0)),W75*$Z$8,0)</f>
        <v>0</v>
      </c>
      <c r="AA75" s="349" t="e">
        <f>VLOOKUP(G75,'3-Productie normen'!A:Q,15,FALSE)</f>
        <v>#N/A</v>
      </c>
      <c r="AB75" s="350" t="e">
        <f>VLOOKUP(G75,'3-Productie normen'!A:Q,16,FALSE)</f>
        <v>#N/A</v>
      </c>
      <c r="AC75" s="349"/>
      <c r="AE75" s="351">
        <f t="shared" si="6"/>
        <v>0</v>
      </c>
    </row>
    <row r="76" spans="1:31" ht="14.1" customHeight="1">
      <c r="A76" s="76">
        <v>76</v>
      </c>
      <c r="B76" s="496" t="s">
        <v>288</v>
      </c>
      <c r="C76" s="312" t="s">
        <v>289</v>
      </c>
      <c r="D76" s="345" t="s">
        <v>307</v>
      </c>
      <c r="E76" s="346">
        <v>11</v>
      </c>
      <c r="F76" s="72" t="s">
        <v>310</v>
      </c>
      <c r="G76" s="72" t="s">
        <v>81</v>
      </c>
      <c r="H76" s="72" t="s">
        <v>311</v>
      </c>
      <c r="I76" s="502">
        <v>11.13</v>
      </c>
      <c r="J76" s="347">
        <f t="shared" si="7"/>
        <v>336</v>
      </c>
      <c r="K76" s="260">
        <v>240</v>
      </c>
      <c r="L76" s="260"/>
      <c r="M76" s="260">
        <v>96</v>
      </c>
      <c r="N76" s="260"/>
      <c r="O76" s="260"/>
      <c r="P76" s="260"/>
      <c r="Q76" s="259" t="e">
        <f>IF(K76="nio",0,IF(K76&gt;0,K76*I76/W76,0))*VLOOKUP(B76,'2-Kosten per locatie'!$A$14:$C$28,3,FALSE)</f>
        <v>#DIV/0!</v>
      </c>
      <c r="R76" s="259">
        <f>IF(L76&gt;0,L76*I76/X76,0)*VLOOKUP(B76,'2-Kosten per locatie'!$A$14:$C$28,3,FALSE)</f>
        <v>0</v>
      </c>
      <c r="S76" s="259" t="e">
        <f>IF(M76&gt;0,M76*I76/Y76,0)*VLOOKUP(B76,'2-Kosten per locatie'!$A$14:$C$28,3,FALSE)</f>
        <v>#DIV/0!</v>
      </c>
      <c r="T76" s="259">
        <f>IF(N76&gt;0,N76*I76/Z76,0)*VLOOKUP(B76,'2-Kosten per locatie'!$A$14:$C$28,3,FALSE)</f>
        <v>0</v>
      </c>
      <c r="U76" s="259">
        <f>IF(O76&gt;0,O76*I76/Y76,0)*VLOOKUP(B76,'2-Kosten per locatie'!$A$14:$C$28,3,FALSE)</f>
        <v>0</v>
      </c>
      <c r="V76" s="259">
        <f>IF(P76&gt;0,P76*I76/Z76,0)*VLOOKUP(B76,'2-Kosten per locatie'!$A$14:$C$28,3,FALSE)</f>
        <v>0</v>
      </c>
      <c r="W76" s="348">
        <f>IF(K76="nio",0,IF(K76&gt;0,VLOOKUP(G76,'3-Productie normen'!A:N,VLOOKUP(K76,'3-Productie normen'!$B$27:$C$38,2,FALSE),FALSE)))</f>
        <v>0</v>
      </c>
      <c r="X76" s="348">
        <f t="shared" si="8"/>
        <v>0</v>
      </c>
      <c r="Y76" s="348">
        <f t="shared" si="9"/>
        <v>0</v>
      </c>
      <c r="Z76" s="348">
        <f t="shared" si="10"/>
        <v>0</v>
      </c>
      <c r="AA76" s="349">
        <f>VLOOKUP(G76,'3-Productie normen'!A:Q,15,FALSE)</f>
        <v>235.06999999999988</v>
      </c>
      <c r="AB76" s="350">
        <f>VLOOKUP(G76,'3-Productie normen'!A:Q,16,FALSE)</f>
        <v>0</v>
      </c>
      <c r="AC76" s="349"/>
      <c r="AE76" s="351">
        <f t="shared" si="6"/>
        <v>3739.6800000000003</v>
      </c>
    </row>
    <row r="77" spans="1:31" ht="14.1" customHeight="1">
      <c r="A77" s="76">
        <v>77</v>
      </c>
      <c r="B77" s="496" t="s">
        <v>288</v>
      </c>
      <c r="C77" s="312" t="s">
        <v>289</v>
      </c>
      <c r="D77" s="345" t="s">
        <v>307</v>
      </c>
      <c r="E77" s="346">
        <v>12</v>
      </c>
      <c r="F77" s="72" t="s">
        <v>339</v>
      </c>
      <c r="G77" s="72" t="s">
        <v>81</v>
      </c>
      <c r="H77" s="72" t="s">
        <v>311</v>
      </c>
      <c r="I77" s="502">
        <v>6.65</v>
      </c>
      <c r="J77" s="347">
        <f t="shared" si="7"/>
        <v>336</v>
      </c>
      <c r="K77" s="260">
        <v>240</v>
      </c>
      <c r="L77" s="260"/>
      <c r="M77" s="260">
        <v>96</v>
      </c>
      <c r="N77" s="260"/>
      <c r="O77" s="260"/>
      <c r="P77" s="260"/>
      <c r="Q77" s="259" t="e">
        <f>IF(K77="nio",0,IF(K77&gt;0,K77*I77/W77,0))*VLOOKUP(B77,'2-Kosten per locatie'!$A$14:$C$28,3,FALSE)</f>
        <v>#DIV/0!</v>
      </c>
      <c r="R77" s="259">
        <f>IF(L77&gt;0,L77*I77/X77,0)*VLOOKUP(B77,'2-Kosten per locatie'!$A$14:$C$28,3,FALSE)</f>
        <v>0</v>
      </c>
      <c r="S77" s="259" t="e">
        <f>IF(M77&gt;0,M77*I77/Y77,0)*VLOOKUP(B77,'2-Kosten per locatie'!$A$14:$C$28,3,FALSE)</f>
        <v>#DIV/0!</v>
      </c>
      <c r="T77" s="259">
        <f>IF(N77&gt;0,N77*I77/Z77,0)*VLOOKUP(B77,'2-Kosten per locatie'!$A$14:$C$28,3,FALSE)</f>
        <v>0</v>
      </c>
      <c r="U77" s="259">
        <f>IF(O77&gt;0,O77*I77/Y77,0)*VLOOKUP(B77,'2-Kosten per locatie'!$A$14:$C$28,3,FALSE)</f>
        <v>0</v>
      </c>
      <c r="V77" s="259">
        <f>IF(P77&gt;0,P77*I77/Z77,0)*VLOOKUP(B77,'2-Kosten per locatie'!$A$14:$C$28,3,FALSE)</f>
        <v>0</v>
      </c>
      <c r="W77" s="348">
        <f>IF(K77="nio",0,IF(K77&gt;0,VLOOKUP(G77,'3-Productie normen'!A:N,VLOOKUP(K77,'3-Productie normen'!$B$27:$C$38,2,FALSE),FALSE)))</f>
        <v>0</v>
      </c>
      <c r="X77" s="348">
        <f t="shared" si="8"/>
        <v>0</v>
      </c>
      <c r="Y77" s="348">
        <f t="shared" si="9"/>
        <v>0</v>
      </c>
      <c r="Z77" s="348">
        <f t="shared" si="10"/>
        <v>0</v>
      </c>
      <c r="AA77" s="349">
        <f>VLOOKUP(G77,'3-Productie normen'!A:Q,15,FALSE)</f>
        <v>235.06999999999988</v>
      </c>
      <c r="AB77" s="350">
        <f>VLOOKUP(G77,'3-Productie normen'!A:Q,16,FALSE)</f>
        <v>0</v>
      </c>
      <c r="AC77" s="349"/>
      <c r="AE77" s="351">
        <f t="shared" si="6"/>
        <v>2234.4</v>
      </c>
    </row>
    <row r="78" spans="1:31" ht="14.1" customHeight="1">
      <c r="A78" s="76">
        <v>78</v>
      </c>
      <c r="B78" s="496" t="s">
        <v>288</v>
      </c>
      <c r="C78" s="312" t="s">
        <v>289</v>
      </c>
      <c r="D78" s="345" t="s">
        <v>307</v>
      </c>
      <c r="E78" s="346">
        <v>13</v>
      </c>
      <c r="F78" s="72" t="s">
        <v>340</v>
      </c>
      <c r="G78" s="72" t="s">
        <v>341</v>
      </c>
      <c r="H78" s="72" t="s">
        <v>311</v>
      </c>
      <c r="I78" s="502">
        <v>18.77</v>
      </c>
      <c r="J78" s="347">
        <f t="shared" si="7"/>
        <v>336</v>
      </c>
      <c r="K78" s="260">
        <v>240</v>
      </c>
      <c r="L78" s="260"/>
      <c r="M78" s="260">
        <v>96</v>
      </c>
      <c r="N78" s="260"/>
      <c r="O78" s="260"/>
      <c r="P78" s="260"/>
      <c r="Q78" s="259" t="e">
        <f>IF(K78="nio",0,IF(K78&gt;0,K78*I78/W78,0))*VLOOKUP(B78,'2-Kosten per locatie'!$A$14:$C$28,3,FALSE)</f>
        <v>#DIV/0!</v>
      </c>
      <c r="R78" s="259">
        <f>IF(L78&gt;0,L78*I78/X78,0)*VLOOKUP(B78,'2-Kosten per locatie'!$A$14:$C$28,3,FALSE)</f>
        <v>0</v>
      </c>
      <c r="S78" s="259" t="e">
        <f>IF(M78&gt;0,M78*I78/Y78,0)*VLOOKUP(B78,'2-Kosten per locatie'!$A$14:$C$28,3,FALSE)</f>
        <v>#DIV/0!</v>
      </c>
      <c r="T78" s="259">
        <f>IF(N78&gt;0,N78*I78/Z78,0)*VLOOKUP(B78,'2-Kosten per locatie'!$A$14:$C$28,3,FALSE)</f>
        <v>0</v>
      </c>
      <c r="U78" s="259">
        <f>IF(O78&gt;0,O78*I78/Y78,0)*VLOOKUP(B78,'2-Kosten per locatie'!$A$14:$C$28,3,FALSE)</f>
        <v>0</v>
      </c>
      <c r="V78" s="259">
        <f>IF(P78&gt;0,P78*I78/Z78,0)*VLOOKUP(B78,'2-Kosten per locatie'!$A$14:$C$28,3,FALSE)</f>
        <v>0</v>
      </c>
      <c r="W78" s="348">
        <f>IF(K78="nio",0,IF(K78&gt;0,VLOOKUP(G78,'3-Productie normen'!A:N,VLOOKUP(K78,'3-Productie normen'!$B$27:$C$38,2,FALSE),FALSE)))</f>
        <v>0</v>
      </c>
      <c r="X78" s="348">
        <f t="shared" si="8"/>
        <v>0</v>
      </c>
      <c r="Y78" s="348">
        <f t="shared" si="9"/>
        <v>0</v>
      </c>
      <c r="Z78" s="348">
        <f t="shared" si="10"/>
        <v>0</v>
      </c>
      <c r="AA78" s="349">
        <f>VLOOKUP(G78,'3-Productie normen'!A:Q,15,FALSE)</f>
        <v>452.79000000000019</v>
      </c>
      <c r="AB78" s="350">
        <f>VLOOKUP(G78,'3-Productie normen'!A:Q,16,FALSE)</f>
        <v>0</v>
      </c>
      <c r="AC78" s="349"/>
      <c r="AE78" s="351">
        <f t="shared" si="6"/>
        <v>6306.72</v>
      </c>
    </row>
    <row r="79" spans="1:31" ht="14.1" customHeight="1">
      <c r="A79" s="76">
        <v>79</v>
      </c>
      <c r="B79" s="496" t="s">
        <v>288</v>
      </c>
      <c r="C79" s="312" t="s">
        <v>289</v>
      </c>
      <c r="D79" s="345" t="s">
        <v>307</v>
      </c>
      <c r="E79" s="346">
        <v>14</v>
      </c>
      <c r="F79" s="72" t="s">
        <v>342</v>
      </c>
      <c r="G79" s="72" t="s">
        <v>343</v>
      </c>
      <c r="H79" s="72" t="s">
        <v>311</v>
      </c>
      <c r="I79" s="502">
        <v>318.46000000000004</v>
      </c>
      <c r="J79" s="347">
        <f t="shared" si="7"/>
        <v>336</v>
      </c>
      <c r="K79" s="260">
        <v>240</v>
      </c>
      <c r="L79" s="260"/>
      <c r="M79" s="260">
        <v>96</v>
      </c>
      <c r="N79" s="260"/>
      <c r="O79" s="260"/>
      <c r="P79" s="260"/>
      <c r="Q79" s="259" t="e">
        <f>IF(K79="nio",0,IF(K79&gt;0,K79*I79/W79,0))*VLOOKUP(B79,'2-Kosten per locatie'!$A$14:$C$28,3,FALSE)</f>
        <v>#DIV/0!</v>
      </c>
      <c r="R79" s="259">
        <f>IF(L79&gt;0,L79*I79/X79,0)*VLOOKUP(B79,'2-Kosten per locatie'!$A$14:$C$28,3,FALSE)</f>
        <v>0</v>
      </c>
      <c r="S79" s="259" t="e">
        <f>IF(M79&gt;0,M79*I79/Y79,0)*VLOOKUP(B79,'2-Kosten per locatie'!$A$14:$C$28,3,FALSE)</f>
        <v>#DIV/0!</v>
      </c>
      <c r="T79" s="259">
        <f>IF(N79&gt;0,N79*I79/Z79,0)*VLOOKUP(B79,'2-Kosten per locatie'!$A$14:$C$28,3,FALSE)</f>
        <v>0</v>
      </c>
      <c r="U79" s="259">
        <f>IF(O79&gt;0,O79*I79/Y79,0)*VLOOKUP(B79,'2-Kosten per locatie'!$A$14:$C$28,3,FALSE)</f>
        <v>0</v>
      </c>
      <c r="V79" s="259">
        <f>IF(P79&gt;0,P79*I79/Z79,0)*VLOOKUP(B79,'2-Kosten per locatie'!$A$14:$C$28,3,FALSE)</f>
        <v>0</v>
      </c>
      <c r="W79" s="348">
        <f>IF(K79="nio",0,IF(K79&gt;0,VLOOKUP(G79,'3-Productie normen'!A:N,VLOOKUP(K79,'3-Productie normen'!$B$27:$C$38,2,FALSE),FALSE)))</f>
        <v>0</v>
      </c>
      <c r="X79" s="348">
        <f t="shared" si="8"/>
        <v>0</v>
      </c>
      <c r="Y79" s="348">
        <f t="shared" si="9"/>
        <v>0</v>
      </c>
      <c r="Z79" s="348">
        <f t="shared" si="10"/>
        <v>0</v>
      </c>
      <c r="AA79" s="349">
        <f>VLOOKUP(G79,'3-Productie normen'!A:Q,15,FALSE)</f>
        <v>365.82</v>
      </c>
      <c r="AB79" s="350">
        <f>VLOOKUP(G79,'3-Productie normen'!A:Q,16,FALSE)</f>
        <v>0</v>
      </c>
      <c r="AC79" s="349"/>
      <c r="AE79" s="351">
        <f t="shared" si="6"/>
        <v>107002.56000000001</v>
      </c>
    </row>
    <row r="80" spans="1:31" ht="14.1" customHeight="1">
      <c r="A80" s="76">
        <v>80</v>
      </c>
      <c r="B80" s="496" t="s">
        <v>288</v>
      </c>
      <c r="C80" s="312" t="s">
        <v>289</v>
      </c>
      <c r="D80" s="345" t="s">
        <v>307</v>
      </c>
      <c r="E80" s="346">
        <v>15</v>
      </c>
      <c r="F80" s="72" t="s">
        <v>344</v>
      </c>
      <c r="G80" s="72" t="s">
        <v>87</v>
      </c>
      <c r="H80" s="72" t="s">
        <v>311</v>
      </c>
      <c r="I80" s="502">
        <v>14.45</v>
      </c>
      <c r="J80" s="347">
        <f t="shared" si="7"/>
        <v>52</v>
      </c>
      <c r="K80" s="260">
        <v>52</v>
      </c>
      <c r="L80" s="260"/>
      <c r="M80" s="260"/>
      <c r="N80" s="260"/>
      <c r="O80" s="260"/>
      <c r="P80" s="260"/>
      <c r="Q80" s="259" t="e">
        <f>IF(K80="nio",0,IF(K80&gt;0,K80*I80/W80,0))*VLOOKUP(B80,'2-Kosten per locatie'!$A$14:$C$28,3,FALSE)</f>
        <v>#DIV/0!</v>
      </c>
      <c r="R80" s="259">
        <f>IF(L80&gt;0,L80*I80/X80,0)*VLOOKUP(B80,'2-Kosten per locatie'!$A$14:$C$28,3,FALSE)</f>
        <v>0</v>
      </c>
      <c r="S80" s="259">
        <f>IF(M80&gt;0,M80*I80/Y80,0)*VLOOKUP(B80,'2-Kosten per locatie'!$A$14:$C$28,3,FALSE)</f>
        <v>0</v>
      </c>
      <c r="T80" s="259">
        <f>IF(N80&gt;0,N80*I80/Z80,0)*VLOOKUP(B80,'2-Kosten per locatie'!$A$14:$C$28,3,FALSE)</f>
        <v>0</v>
      </c>
      <c r="U80" s="259">
        <f>IF(O80&gt;0,O80*I80/Y80,0)*VLOOKUP(B80,'2-Kosten per locatie'!$A$14:$C$28,3,FALSE)</f>
        <v>0</v>
      </c>
      <c r="V80" s="259">
        <f>IF(P80&gt;0,P80*I80/Z80,0)*VLOOKUP(B80,'2-Kosten per locatie'!$A$14:$C$28,3,FALSE)</f>
        <v>0</v>
      </c>
      <c r="W80" s="348">
        <f>IF(K80="nio",0,IF(K80&gt;0,VLOOKUP(G80,'3-Productie normen'!A:N,VLOOKUP(K80,'3-Productie normen'!$B$27:$C$38,2,FALSE),FALSE)))</f>
        <v>0</v>
      </c>
      <c r="X80" s="348">
        <f t="shared" si="8"/>
        <v>0</v>
      </c>
      <c r="Y80" s="348">
        <f t="shared" si="9"/>
        <v>0</v>
      </c>
      <c r="Z80" s="348">
        <f t="shared" si="10"/>
        <v>0</v>
      </c>
      <c r="AA80" s="349">
        <f>VLOOKUP(G80,'3-Productie normen'!A:Q,15,FALSE)</f>
        <v>661.27599999999984</v>
      </c>
      <c r="AB80" s="350">
        <f>VLOOKUP(G80,'3-Productie normen'!A:Q,16,FALSE)</f>
        <v>0</v>
      </c>
      <c r="AC80" s="349"/>
      <c r="AE80" s="351">
        <f t="shared" si="6"/>
        <v>751.4</v>
      </c>
    </row>
    <row r="81" spans="1:31" ht="14.1" customHeight="1">
      <c r="A81" s="76">
        <v>81</v>
      </c>
      <c r="B81" s="496" t="s">
        <v>288</v>
      </c>
      <c r="C81" s="312" t="s">
        <v>289</v>
      </c>
      <c r="D81" s="345" t="s">
        <v>307</v>
      </c>
      <c r="E81" s="346">
        <v>16</v>
      </c>
      <c r="F81" s="72" t="s">
        <v>344</v>
      </c>
      <c r="G81" s="72" t="s">
        <v>87</v>
      </c>
      <c r="H81" s="72" t="s">
        <v>311</v>
      </c>
      <c r="I81" s="502">
        <v>17.61</v>
      </c>
      <c r="J81" s="347">
        <f t="shared" si="7"/>
        <v>52</v>
      </c>
      <c r="K81" s="260">
        <v>52</v>
      </c>
      <c r="L81" s="260"/>
      <c r="M81" s="260"/>
      <c r="N81" s="260"/>
      <c r="O81" s="260"/>
      <c r="P81" s="260"/>
      <c r="Q81" s="259" t="e">
        <f>IF(K81="nio",0,IF(K81&gt;0,K81*I81/W81,0))*VLOOKUP(B81,'2-Kosten per locatie'!$A$14:$C$28,3,FALSE)</f>
        <v>#DIV/0!</v>
      </c>
      <c r="R81" s="259">
        <f>IF(L81&gt;0,L81*I81/X81,0)*VLOOKUP(B81,'2-Kosten per locatie'!$A$14:$C$28,3,FALSE)</f>
        <v>0</v>
      </c>
      <c r="S81" s="259">
        <f>IF(M81&gt;0,M81*I81/Y81,0)*VLOOKUP(B81,'2-Kosten per locatie'!$A$14:$C$28,3,FALSE)</f>
        <v>0</v>
      </c>
      <c r="T81" s="259">
        <f>IF(N81&gt;0,N81*I81/Z81,0)*VLOOKUP(B81,'2-Kosten per locatie'!$A$14:$C$28,3,FALSE)</f>
        <v>0</v>
      </c>
      <c r="U81" s="259">
        <f>IF(O81&gt;0,O81*I81/Y81,0)*VLOOKUP(B81,'2-Kosten per locatie'!$A$14:$C$28,3,FALSE)</f>
        <v>0</v>
      </c>
      <c r="V81" s="259">
        <f>IF(P81&gt;0,P81*I81/Z81,0)*VLOOKUP(B81,'2-Kosten per locatie'!$A$14:$C$28,3,FALSE)</f>
        <v>0</v>
      </c>
      <c r="W81" s="348">
        <f>IF(K81="nio",0,IF(K81&gt;0,VLOOKUP(G81,'3-Productie normen'!A:N,VLOOKUP(K81,'3-Productie normen'!$B$27:$C$38,2,FALSE),FALSE)))</f>
        <v>0</v>
      </c>
      <c r="X81" s="348">
        <f t="shared" si="8"/>
        <v>0</v>
      </c>
      <c r="Y81" s="348">
        <f t="shared" si="9"/>
        <v>0</v>
      </c>
      <c r="Z81" s="348">
        <f t="shared" si="10"/>
        <v>0</v>
      </c>
      <c r="AA81" s="349">
        <f>VLOOKUP(G81,'3-Productie normen'!A:Q,15,FALSE)</f>
        <v>661.27599999999984</v>
      </c>
      <c r="AB81" s="350">
        <f>VLOOKUP(G81,'3-Productie normen'!A:Q,16,FALSE)</f>
        <v>0</v>
      </c>
      <c r="AC81" s="349"/>
      <c r="AE81" s="351">
        <f t="shared" si="6"/>
        <v>915.72</v>
      </c>
    </row>
    <row r="82" spans="1:31" ht="14.1" customHeight="1">
      <c r="A82" s="76">
        <v>82</v>
      </c>
      <c r="B82" s="496" t="s">
        <v>288</v>
      </c>
      <c r="C82" s="312" t="s">
        <v>289</v>
      </c>
      <c r="D82" s="345" t="s">
        <v>307</v>
      </c>
      <c r="E82" s="346"/>
      <c r="F82" s="72" t="s">
        <v>345</v>
      </c>
      <c r="G82" s="72" t="s">
        <v>343</v>
      </c>
      <c r="H82" s="72" t="s">
        <v>311</v>
      </c>
      <c r="I82" s="502">
        <v>13.2</v>
      </c>
      <c r="J82" s="347">
        <f t="shared" si="7"/>
        <v>52</v>
      </c>
      <c r="K82" s="260">
        <v>52</v>
      </c>
      <c r="L82" s="260"/>
      <c r="M82" s="260"/>
      <c r="N82" s="260"/>
      <c r="O82" s="260"/>
      <c r="P82" s="260"/>
      <c r="Q82" s="259" t="e">
        <f>IF(K82="nio",0,IF(K82&gt;0,K82*I82/W82,0))*VLOOKUP(B82,'2-Kosten per locatie'!$A$14:$C$28,3,FALSE)</f>
        <v>#DIV/0!</v>
      </c>
      <c r="R82" s="259">
        <f>IF(L82&gt;0,L82*I82/X82,0)*VLOOKUP(B82,'2-Kosten per locatie'!$A$14:$C$28,3,FALSE)</f>
        <v>0</v>
      </c>
      <c r="S82" s="259">
        <f>IF(M82&gt;0,M82*I82/Y82,0)*VLOOKUP(B82,'2-Kosten per locatie'!$A$14:$C$28,3,FALSE)</f>
        <v>0</v>
      </c>
      <c r="T82" s="259">
        <f>IF(N82&gt;0,N82*I82/Z82,0)*VLOOKUP(B82,'2-Kosten per locatie'!$A$14:$C$28,3,FALSE)</f>
        <v>0</v>
      </c>
      <c r="U82" s="259">
        <f>IF(O82&gt;0,O82*I82/Y82,0)*VLOOKUP(B82,'2-Kosten per locatie'!$A$14:$C$28,3,FALSE)</f>
        <v>0</v>
      </c>
      <c r="V82" s="259">
        <f>IF(P82&gt;0,P82*I82/Z82,0)*VLOOKUP(B82,'2-Kosten per locatie'!$A$14:$C$28,3,FALSE)</f>
        <v>0</v>
      </c>
      <c r="W82" s="348">
        <f>IF(K82="nio",0,IF(K82&gt;0,VLOOKUP(G82,'3-Productie normen'!A:N,VLOOKUP(K82,'3-Productie normen'!$B$27:$C$38,2,FALSE),FALSE)))</f>
        <v>0</v>
      </c>
      <c r="X82" s="348">
        <f t="shared" si="8"/>
        <v>0</v>
      </c>
      <c r="Y82" s="348">
        <f t="shared" si="9"/>
        <v>0</v>
      </c>
      <c r="Z82" s="348">
        <f t="shared" si="10"/>
        <v>0</v>
      </c>
      <c r="AA82" s="349">
        <f>VLOOKUP(G82,'3-Productie normen'!A:Q,15,FALSE)</f>
        <v>365.82</v>
      </c>
      <c r="AB82" s="350">
        <f>VLOOKUP(G82,'3-Productie normen'!A:Q,16,FALSE)</f>
        <v>0</v>
      </c>
      <c r="AC82" s="349"/>
      <c r="AE82" s="351">
        <f t="shared" si="6"/>
        <v>686.4</v>
      </c>
    </row>
    <row r="83" spans="1:31" ht="14.1" customHeight="1">
      <c r="A83" s="76">
        <v>83</v>
      </c>
      <c r="B83" s="496" t="s">
        <v>288</v>
      </c>
      <c r="C83" s="312" t="s">
        <v>289</v>
      </c>
      <c r="D83" s="345" t="s">
        <v>307</v>
      </c>
      <c r="E83" s="346"/>
      <c r="F83" s="72" t="s">
        <v>346</v>
      </c>
      <c r="G83" s="72" t="s">
        <v>343</v>
      </c>
      <c r="H83" s="72" t="s">
        <v>311</v>
      </c>
      <c r="I83" s="502">
        <v>24.42</v>
      </c>
      <c r="J83" s="347">
        <f t="shared" si="7"/>
        <v>52</v>
      </c>
      <c r="K83" s="260">
        <v>52</v>
      </c>
      <c r="L83" s="260"/>
      <c r="M83" s="260"/>
      <c r="N83" s="260"/>
      <c r="O83" s="260"/>
      <c r="P83" s="260"/>
      <c r="Q83" s="259" t="e">
        <f>IF(K83="nio",0,IF(K83&gt;0,K83*I83/W83,0))*VLOOKUP(B83,'2-Kosten per locatie'!$A$14:$C$28,3,FALSE)</f>
        <v>#DIV/0!</v>
      </c>
      <c r="R83" s="259">
        <f>IF(L83&gt;0,L83*I83/X83,0)*VLOOKUP(B83,'2-Kosten per locatie'!$A$14:$C$28,3,FALSE)</f>
        <v>0</v>
      </c>
      <c r="S83" s="259">
        <f>IF(M83&gt;0,M83*I83/Y83,0)*VLOOKUP(B83,'2-Kosten per locatie'!$A$14:$C$28,3,FALSE)</f>
        <v>0</v>
      </c>
      <c r="T83" s="259">
        <f>IF(N83&gt;0,N83*I83/Z83,0)*VLOOKUP(B83,'2-Kosten per locatie'!$A$14:$C$28,3,FALSE)</f>
        <v>0</v>
      </c>
      <c r="U83" s="259">
        <f>IF(O83&gt;0,O83*I83/Y83,0)*VLOOKUP(B83,'2-Kosten per locatie'!$A$14:$C$28,3,FALSE)</f>
        <v>0</v>
      </c>
      <c r="V83" s="259">
        <f>IF(P83&gt;0,P83*I83/Z83,0)*VLOOKUP(B83,'2-Kosten per locatie'!$A$14:$C$28,3,FALSE)</f>
        <v>0</v>
      </c>
      <c r="W83" s="348">
        <f>IF(K83="nio",0,IF(K83&gt;0,VLOOKUP(G83,'3-Productie normen'!A:N,VLOOKUP(K83,'3-Productie normen'!$B$27:$C$38,2,FALSE),FALSE)))</f>
        <v>0</v>
      </c>
      <c r="X83" s="348">
        <f t="shared" si="8"/>
        <v>0</v>
      </c>
      <c r="Y83" s="348">
        <f t="shared" si="9"/>
        <v>0</v>
      </c>
      <c r="Z83" s="348">
        <f t="shared" si="10"/>
        <v>0</v>
      </c>
      <c r="AA83" s="349">
        <f>VLOOKUP(G83,'3-Productie normen'!A:Q,15,FALSE)</f>
        <v>365.82</v>
      </c>
      <c r="AB83" s="350">
        <f>VLOOKUP(G83,'3-Productie normen'!A:Q,16,FALSE)</f>
        <v>0</v>
      </c>
      <c r="AC83" s="349"/>
      <c r="AE83" s="351">
        <f t="shared" si="6"/>
        <v>1269.8400000000001</v>
      </c>
    </row>
    <row r="84" spans="1:31" ht="14.1" customHeight="1">
      <c r="A84" s="76">
        <v>84</v>
      </c>
      <c r="B84" s="496" t="s">
        <v>288</v>
      </c>
      <c r="C84" s="312" t="s">
        <v>289</v>
      </c>
      <c r="D84" s="345" t="s">
        <v>307</v>
      </c>
      <c r="E84" s="346"/>
      <c r="F84" s="72" t="s">
        <v>347</v>
      </c>
      <c r="G84" s="72" t="s">
        <v>343</v>
      </c>
      <c r="H84" s="72" t="s">
        <v>348</v>
      </c>
      <c r="I84" s="502">
        <v>0.80400000000000005</v>
      </c>
      <c r="J84" s="347">
        <f t="shared" si="7"/>
        <v>52</v>
      </c>
      <c r="K84" s="260">
        <v>52</v>
      </c>
      <c r="L84" s="260"/>
      <c r="M84" s="260"/>
      <c r="N84" s="260"/>
      <c r="O84" s="260"/>
      <c r="P84" s="260"/>
      <c r="Q84" s="259" t="e">
        <f>IF(K84="nio",0,IF(K84&gt;0,K84*I84/W84,0))*VLOOKUP(B84,'2-Kosten per locatie'!$A$14:$C$28,3,FALSE)</f>
        <v>#DIV/0!</v>
      </c>
      <c r="R84" s="259">
        <f>IF(L84&gt;0,L84*I84/X84,0)*VLOOKUP(B84,'2-Kosten per locatie'!$A$14:$C$28,3,FALSE)</f>
        <v>0</v>
      </c>
      <c r="S84" s="259">
        <f>IF(M84&gt;0,M84*I84/Y84,0)*VLOOKUP(B84,'2-Kosten per locatie'!$A$14:$C$28,3,FALSE)</f>
        <v>0</v>
      </c>
      <c r="T84" s="259">
        <f>IF(N84&gt;0,N84*I84/Z84,0)*VLOOKUP(B84,'2-Kosten per locatie'!$A$14:$C$28,3,FALSE)</f>
        <v>0</v>
      </c>
      <c r="U84" s="259">
        <f>IF(O84&gt;0,O84*I84/Y84,0)*VLOOKUP(B84,'2-Kosten per locatie'!$A$14:$C$28,3,FALSE)</f>
        <v>0</v>
      </c>
      <c r="V84" s="259">
        <f>IF(P84&gt;0,P84*I84/Z84,0)*VLOOKUP(B84,'2-Kosten per locatie'!$A$14:$C$28,3,FALSE)</f>
        <v>0</v>
      </c>
      <c r="W84" s="348">
        <f>IF(K84="nio",0,IF(K84&gt;0,VLOOKUP(G84,'3-Productie normen'!A:N,VLOOKUP(K84,'3-Productie normen'!$B$27:$C$38,2,FALSE),FALSE)))</f>
        <v>0</v>
      </c>
      <c r="X84" s="348">
        <f t="shared" si="8"/>
        <v>0</v>
      </c>
      <c r="Y84" s="348">
        <f t="shared" si="9"/>
        <v>0</v>
      </c>
      <c r="Z84" s="348">
        <f t="shared" si="10"/>
        <v>0</v>
      </c>
      <c r="AA84" s="349">
        <f>VLOOKUP(G84,'3-Productie normen'!A:Q,15,FALSE)</f>
        <v>365.82</v>
      </c>
      <c r="AB84" s="350">
        <f>VLOOKUP(G84,'3-Productie normen'!A:Q,16,FALSE)</f>
        <v>0</v>
      </c>
      <c r="AC84" s="349"/>
      <c r="AE84" s="351">
        <f t="shared" si="6"/>
        <v>41.808</v>
      </c>
    </row>
    <row r="85" spans="1:31" ht="14.1" customHeight="1">
      <c r="A85" s="76">
        <v>85</v>
      </c>
      <c r="B85" s="496" t="s">
        <v>288</v>
      </c>
      <c r="C85" s="312" t="s">
        <v>289</v>
      </c>
      <c r="D85" s="345" t="s">
        <v>307</v>
      </c>
      <c r="E85" s="346"/>
      <c r="F85" s="72" t="s">
        <v>349</v>
      </c>
      <c r="G85" s="72" t="s">
        <v>343</v>
      </c>
      <c r="H85" s="72" t="s">
        <v>348</v>
      </c>
      <c r="I85" s="502">
        <v>5.27</v>
      </c>
      <c r="J85" s="347">
        <f t="shared" si="7"/>
        <v>52</v>
      </c>
      <c r="K85" s="260">
        <v>52</v>
      </c>
      <c r="L85" s="260"/>
      <c r="M85" s="260"/>
      <c r="N85" s="260"/>
      <c r="O85" s="260"/>
      <c r="P85" s="260"/>
      <c r="Q85" s="259" t="e">
        <f>IF(K85="nio",0,IF(K85&gt;0,K85*I85/W85,0))*VLOOKUP(B85,'2-Kosten per locatie'!$A$14:$C$28,3,FALSE)</f>
        <v>#DIV/0!</v>
      </c>
      <c r="R85" s="259">
        <f>IF(L85&gt;0,L85*I85/X85,0)*VLOOKUP(B85,'2-Kosten per locatie'!$A$14:$C$28,3,FALSE)</f>
        <v>0</v>
      </c>
      <c r="S85" s="259">
        <f>IF(M85&gt;0,M85*I85/Y85,0)*VLOOKUP(B85,'2-Kosten per locatie'!$A$14:$C$28,3,FALSE)</f>
        <v>0</v>
      </c>
      <c r="T85" s="259">
        <f>IF(N85&gt;0,N85*I85/Z85,0)*VLOOKUP(B85,'2-Kosten per locatie'!$A$14:$C$28,3,FALSE)</f>
        <v>0</v>
      </c>
      <c r="U85" s="259">
        <f>IF(O85&gt;0,O85*I85/Y85,0)*VLOOKUP(B85,'2-Kosten per locatie'!$A$14:$C$28,3,FALSE)</f>
        <v>0</v>
      </c>
      <c r="V85" s="259">
        <f>IF(P85&gt;0,P85*I85/Z85,0)*VLOOKUP(B85,'2-Kosten per locatie'!$A$14:$C$28,3,FALSE)</f>
        <v>0</v>
      </c>
      <c r="W85" s="348">
        <f>IF(K85="nio",0,IF(K85&gt;0,VLOOKUP(G85,'3-Productie normen'!A:N,VLOOKUP(K85,'3-Productie normen'!$B$27:$C$38,2,FALSE),FALSE)))</f>
        <v>0</v>
      </c>
      <c r="X85" s="348">
        <f t="shared" si="8"/>
        <v>0</v>
      </c>
      <c r="Y85" s="348">
        <f t="shared" si="9"/>
        <v>0</v>
      </c>
      <c r="Z85" s="348">
        <f t="shared" si="10"/>
        <v>0</v>
      </c>
      <c r="AA85" s="349">
        <f>VLOOKUP(G85,'3-Productie normen'!A:Q,15,FALSE)</f>
        <v>365.82</v>
      </c>
      <c r="AB85" s="350">
        <f>VLOOKUP(G85,'3-Productie normen'!A:Q,16,FALSE)</f>
        <v>0</v>
      </c>
      <c r="AC85" s="349"/>
      <c r="AE85" s="351">
        <f t="shared" si="6"/>
        <v>274.03999999999996</v>
      </c>
    </row>
    <row r="86" spans="1:31" ht="14.1" customHeight="1">
      <c r="A86" s="76">
        <v>86</v>
      </c>
      <c r="B86" s="496" t="s">
        <v>288</v>
      </c>
      <c r="C86" s="312" t="s">
        <v>289</v>
      </c>
      <c r="D86" s="345" t="s">
        <v>307</v>
      </c>
      <c r="E86" s="346"/>
      <c r="F86" s="72" t="s">
        <v>350</v>
      </c>
      <c r="G86" s="72" t="s">
        <v>343</v>
      </c>
      <c r="H86" s="72" t="s">
        <v>348</v>
      </c>
      <c r="I86" s="502">
        <v>3.6659999999999999</v>
      </c>
      <c r="J86" s="347">
        <f t="shared" si="7"/>
        <v>52</v>
      </c>
      <c r="K86" s="260">
        <v>52</v>
      </c>
      <c r="L86" s="260"/>
      <c r="M86" s="260"/>
      <c r="N86" s="260"/>
      <c r="O86" s="260"/>
      <c r="P86" s="260"/>
      <c r="Q86" s="259" t="e">
        <f>IF(K86="nio",0,IF(K86&gt;0,K86*I86/W86,0))*VLOOKUP(B86,'2-Kosten per locatie'!$A$14:$C$28,3,FALSE)</f>
        <v>#DIV/0!</v>
      </c>
      <c r="R86" s="259">
        <f>IF(L86&gt;0,L86*I86/X86,0)*VLOOKUP(B86,'2-Kosten per locatie'!$A$14:$C$28,3,FALSE)</f>
        <v>0</v>
      </c>
      <c r="S86" s="259">
        <f>IF(M86&gt;0,M86*I86/Y86,0)*VLOOKUP(B86,'2-Kosten per locatie'!$A$14:$C$28,3,FALSE)</f>
        <v>0</v>
      </c>
      <c r="T86" s="259">
        <f>IF(N86&gt;0,N86*I86/Z86,0)*VLOOKUP(B86,'2-Kosten per locatie'!$A$14:$C$28,3,FALSE)</f>
        <v>0</v>
      </c>
      <c r="U86" s="259">
        <f>IF(O86&gt;0,O86*I86/Y86,0)*VLOOKUP(B86,'2-Kosten per locatie'!$A$14:$C$28,3,FALSE)</f>
        <v>0</v>
      </c>
      <c r="V86" s="259">
        <f>IF(P86&gt;0,P86*I86/Z86,0)*VLOOKUP(B86,'2-Kosten per locatie'!$A$14:$C$28,3,FALSE)</f>
        <v>0</v>
      </c>
      <c r="W86" s="348">
        <f>IF(K86="nio",0,IF(K86&gt;0,VLOOKUP(G86,'3-Productie normen'!A:N,VLOOKUP(K86,'3-Productie normen'!$B$27:$C$38,2,FALSE),FALSE)))</f>
        <v>0</v>
      </c>
      <c r="X86" s="348">
        <f t="shared" si="8"/>
        <v>0</v>
      </c>
      <c r="Y86" s="348">
        <f t="shared" si="9"/>
        <v>0</v>
      </c>
      <c r="Z86" s="348">
        <f t="shared" si="10"/>
        <v>0</v>
      </c>
      <c r="AA86" s="349">
        <f>VLOOKUP(G86,'3-Productie normen'!A:Q,15,FALSE)</f>
        <v>365.82</v>
      </c>
      <c r="AB86" s="350">
        <f>VLOOKUP(G86,'3-Productie normen'!A:Q,16,FALSE)</f>
        <v>0</v>
      </c>
      <c r="AC86" s="349"/>
      <c r="AE86" s="351">
        <f t="shared" si="6"/>
        <v>190.63200000000001</v>
      </c>
    </row>
    <row r="87" spans="1:31" ht="14.1" customHeight="1">
      <c r="A87" s="76">
        <v>87</v>
      </c>
      <c r="B87" s="496" t="s">
        <v>288</v>
      </c>
      <c r="C87" s="312" t="s">
        <v>289</v>
      </c>
      <c r="D87" s="345" t="s">
        <v>307</v>
      </c>
      <c r="E87" s="346"/>
      <c r="F87" s="72" t="s">
        <v>351</v>
      </c>
      <c r="G87" s="72" t="s">
        <v>461</v>
      </c>
      <c r="H87" s="72" t="s">
        <v>348</v>
      </c>
      <c r="I87" s="502">
        <v>5.3375000000000004</v>
      </c>
      <c r="J87" s="347">
        <f t="shared" si="7"/>
        <v>0</v>
      </c>
      <c r="K87" s="260" t="s">
        <v>460</v>
      </c>
      <c r="L87" s="260"/>
      <c r="M87" s="260"/>
      <c r="N87" s="260"/>
      <c r="O87" s="260"/>
      <c r="P87" s="260"/>
      <c r="Q87" s="259">
        <f>IF(K87="nio",0,IF(K87&gt;0,K87*I87/W87,0))*VLOOKUP(B87,'2-Kosten per locatie'!$A$14:$C$28,3,FALSE)</f>
        <v>0</v>
      </c>
      <c r="R87" s="259">
        <f>IF(L87&gt;0,L87*I87/X87,0)*VLOOKUP(B87,'2-Kosten per locatie'!$A$14:$C$28,3,FALSE)</f>
        <v>0</v>
      </c>
      <c r="S87" s="259">
        <f>IF(M87&gt;0,M87*I87/Y87,0)*VLOOKUP(B87,'2-Kosten per locatie'!$A$14:$C$28,3,FALSE)</f>
        <v>0</v>
      </c>
      <c r="T87" s="259">
        <f>IF(N87&gt;0,N87*I87/Z87,0)*VLOOKUP(B87,'2-Kosten per locatie'!$A$14:$C$28,3,FALSE)</f>
        <v>0</v>
      </c>
      <c r="U87" s="259">
        <f>IF(O87&gt;0,O87*I87/Y87,0)*VLOOKUP(B87,'2-Kosten per locatie'!$A$14:$C$28,3,FALSE)</f>
        <v>0</v>
      </c>
      <c r="V87" s="259">
        <f>IF(P87&gt;0,P87*I87/Z87,0)*VLOOKUP(B87,'2-Kosten per locatie'!$A$14:$C$28,3,FALSE)</f>
        <v>0</v>
      </c>
      <c r="W87" s="348">
        <f>IF(K87="nio",0,IF(K87&gt;0,VLOOKUP(G87,'3-Productie normen'!A:N,VLOOKUP(K87,'3-Productie normen'!$B$27:$C$38,2,FALSE),FALSE)))</f>
        <v>0</v>
      </c>
      <c r="X87" s="348">
        <f t="shared" si="8"/>
        <v>0</v>
      </c>
      <c r="Y87" s="348">
        <f t="shared" si="9"/>
        <v>0</v>
      </c>
      <c r="Z87" s="348">
        <f t="shared" si="10"/>
        <v>0</v>
      </c>
      <c r="AA87" s="349" t="e">
        <f>VLOOKUP(G87,'3-Productie normen'!A:Q,15,FALSE)</f>
        <v>#N/A</v>
      </c>
      <c r="AB87" s="350" t="e">
        <f>VLOOKUP(G87,'3-Productie normen'!A:Q,16,FALSE)</f>
        <v>#N/A</v>
      </c>
      <c r="AC87" s="349"/>
      <c r="AE87" s="351">
        <f t="shared" si="6"/>
        <v>0</v>
      </c>
    </row>
    <row r="88" spans="1:31" ht="14.1" customHeight="1">
      <c r="A88" s="76">
        <v>88</v>
      </c>
      <c r="B88" s="496" t="s">
        <v>290</v>
      </c>
      <c r="C88" s="312" t="s">
        <v>291</v>
      </c>
      <c r="D88" s="345" t="s">
        <v>307</v>
      </c>
      <c r="E88" s="346">
        <v>1</v>
      </c>
      <c r="F88" s="72" t="s">
        <v>318</v>
      </c>
      <c r="G88" s="72" t="s">
        <v>89</v>
      </c>
      <c r="H88" s="72" t="s">
        <v>325</v>
      </c>
      <c r="I88" s="502">
        <v>4.2</v>
      </c>
      <c r="J88" s="347">
        <f t="shared" si="7"/>
        <v>230</v>
      </c>
      <c r="K88" s="260">
        <v>230</v>
      </c>
      <c r="L88" s="260"/>
      <c r="M88" s="260">
        <v>0</v>
      </c>
      <c r="N88" s="260"/>
      <c r="O88" s="260"/>
      <c r="P88" s="260"/>
      <c r="Q88" s="259" t="e">
        <f>IF(K88="nio",0,IF(K88&gt;0,K88*I88/W88,0))*VLOOKUP(B88,'2-Kosten per locatie'!$A$14:$C$28,3,FALSE)</f>
        <v>#DIV/0!</v>
      </c>
      <c r="R88" s="259">
        <f>IF(L88&gt;0,L88*I88/X88,0)*VLOOKUP(B88,'2-Kosten per locatie'!$A$14:$C$28,3,FALSE)</f>
        <v>0</v>
      </c>
      <c r="S88" s="259">
        <f>IF(M88&gt;0,M88*I88/Y88,0)*VLOOKUP(B88,'2-Kosten per locatie'!$A$14:$C$28,3,FALSE)</f>
        <v>0</v>
      </c>
      <c r="T88" s="259">
        <f>IF(N88&gt;0,N88*I88/Z88,0)*VLOOKUP(B88,'2-Kosten per locatie'!$A$14:$C$28,3,FALSE)</f>
        <v>0</v>
      </c>
      <c r="U88" s="259">
        <f>IF(O88&gt;0,O88*I88/Y88,0)*VLOOKUP(B88,'2-Kosten per locatie'!$A$14:$C$28,3,FALSE)</f>
        <v>0</v>
      </c>
      <c r="V88" s="259">
        <f>IF(P88&gt;0,P88*I88/Z88,0)*VLOOKUP(B88,'2-Kosten per locatie'!$A$14:$C$28,3,FALSE)</f>
        <v>0</v>
      </c>
      <c r="W88" s="348">
        <f>IF(K88="nio",0,IF(K88&gt;0,VLOOKUP(G88,'3-Productie normen'!A:N,VLOOKUP(K88,'3-Productie normen'!$B$27:$C$38,2,FALSE),FALSE)))</f>
        <v>0</v>
      </c>
      <c r="X88" s="348">
        <f t="shared" si="8"/>
        <v>0</v>
      </c>
      <c r="Y88" s="348">
        <f t="shared" si="9"/>
        <v>0</v>
      </c>
      <c r="Z88" s="348">
        <f t="shared" si="10"/>
        <v>0</v>
      </c>
      <c r="AA88" s="349">
        <f>VLOOKUP(G88,'3-Productie normen'!A:Q,15,FALSE)</f>
        <v>78.48</v>
      </c>
      <c r="AB88" s="350">
        <f>VLOOKUP(G88,'3-Productie normen'!A:Q,16,FALSE)</f>
        <v>0</v>
      </c>
      <c r="AC88" s="349"/>
      <c r="AE88" s="351">
        <f t="shared" si="6"/>
        <v>966</v>
      </c>
    </row>
    <row r="89" spans="1:31" ht="14.1" customHeight="1">
      <c r="A89" s="76">
        <v>89</v>
      </c>
      <c r="B89" s="496" t="s">
        <v>290</v>
      </c>
      <c r="C89" s="312" t="s">
        <v>291</v>
      </c>
      <c r="D89" s="345" t="s">
        <v>307</v>
      </c>
      <c r="E89" s="346">
        <v>2</v>
      </c>
      <c r="F89" s="72" t="s">
        <v>310</v>
      </c>
      <c r="G89" s="72" t="s">
        <v>81</v>
      </c>
      <c r="H89" s="72" t="s">
        <v>321</v>
      </c>
      <c r="I89" s="502">
        <v>1.21</v>
      </c>
      <c r="J89" s="347">
        <f t="shared" si="7"/>
        <v>230</v>
      </c>
      <c r="K89" s="260">
        <v>230</v>
      </c>
      <c r="L89" s="260"/>
      <c r="M89" s="260">
        <v>0</v>
      </c>
      <c r="N89" s="260"/>
      <c r="O89" s="260"/>
      <c r="P89" s="260"/>
      <c r="Q89" s="259" t="e">
        <f>IF(K89="nio",0,IF(K89&gt;0,K89*I89/W89,0))*VLOOKUP(B89,'2-Kosten per locatie'!$A$14:$C$28,3,FALSE)</f>
        <v>#DIV/0!</v>
      </c>
      <c r="R89" s="259">
        <f>IF(L89&gt;0,L89*I89/X89,0)*VLOOKUP(B89,'2-Kosten per locatie'!$A$14:$C$28,3,FALSE)</f>
        <v>0</v>
      </c>
      <c r="S89" s="259">
        <f>IF(M89&gt;0,M89*I89/Y89,0)*VLOOKUP(B89,'2-Kosten per locatie'!$A$14:$C$28,3,FALSE)</f>
        <v>0</v>
      </c>
      <c r="T89" s="259">
        <f>IF(N89&gt;0,N89*I89/Z89,0)*VLOOKUP(B89,'2-Kosten per locatie'!$A$14:$C$28,3,FALSE)</f>
        <v>0</v>
      </c>
      <c r="U89" s="259">
        <f>IF(O89&gt;0,O89*I89/Y89,0)*VLOOKUP(B89,'2-Kosten per locatie'!$A$14:$C$28,3,FALSE)</f>
        <v>0</v>
      </c>
      <c r="V89" s="259">
        <f>IF(P89&gt;0,P89*I89/Z89,0)*VLOOKUP(B89,'2-Kosten per locatie'!$A$14:$C$28,3,FALSE)</f>
        <v>0</v>
      </c>
      <c r="W89" s="348">
        <f>IF(K89="nio",0,IF(K89&gt;0,VLOOKUP(G89,'3-Productie normen'!A:N,VLOOKUP(K89,'3-Productie normen'!$B$27:$C$38,2,FALSE),FALSE)))</f>
        <v>0</v>
      </c>
      <c r="X89" s="348">
        <f t="shared" si="8"/>
        <v>0</v>
      </c>
      <c r="Y89" s="348">
        <f t="shared" si="9"/>
        <v>0</v>
      </c>
      <c r="Z89" s="348">
        <f t="shared" si="10"/>
        <v>0</v>
      </c>
      <c r="AA89" s="349">
        <f>VLOOKUP(G89,'3-Productie normen'!A:Q,15,FALSE)</f>
        <v>235.06999999999988</v>
      </c>
      <c r="AB89" s="350">
        <f>VLOOKUP(G89,'3-Productie normen'!A:Q,16,FALSE)</f>
        <v>0</v>
      </c>
      <c r="AC89" s="349"/>
      <c r="AE89" s="351">
        <f t="shared" si="6"/>
        <v>278.3</v>
      </c>
    </row>
    <row r="90" spans="1:31" ht="14.1" customHeight="1">
      <c r="A90" s="76">
        <v>90</v>
      </c>
      <c r="B90" s="496" t="s">
        <v>290</v>
      </c>
      <c r="C90" s="312" t="s">
        <v>291</v>
      </c>
      <c r="D90" s="345" t="s">
        <v>307</v>
      </c>
      <c r="E90" s="346">
        <v>3</v>
      </c>
      <c r="F90" s="72" t="s">
        <v>310</v>
      </c>
      <c r="G90" s="72" t="s">
        <v>81</v>
      </c>
      <c r="H90" s="72" t="s">
        <v>321</v>
      </c>
      <c r="I90" s="502">
        <v>1.21</v>
      </c>
      <c r="J90" s="347">
        <f t="shared" si="7"/>
        <v>230</v>
      </c>
      <c r="K90" s="260">
        <v>230</v>
      </c>
      <c r="L90" s="260"/>
      <c r="M90" s="260">
        <v>0</v>
      </c>
      <c r="N90" s="260"/>
      <c r="O90" s="260"/>
      <c r="P90" s="260"/>
      <c r="Q90" s="259" t="e">
        <f>IF(K90="nio",0,IF(K90&gt;0,K90*I90/W90,0))*VLOOKUP(B90,'2-Kosten per locatie'!$A$14:$C$28,3,FALSE)</f>
        <v>#DIV/0!</v>
      </c>
      <c r="R90" s="259">
        <f>IF(L90&gt;0,L90*I90/X90,0)*VLOOKUP(B90,'2-Kosten per locatie'!$A$14:$C$28,3,FALSE)</f>
        <v>0</v>
      </c>
      <c r="S90" s="259">
        <f>IF(M90&gt;0,M90*I90/Y90,0)*VLOOKUP(B90,'2-Kosten per locatie'!$A$14:$C$28,3,FALSE)</f>
        <v>0</v>
      </c>
      <c r="T90" s="259">
        <f>IF(N90&gt;0,N90*I90/Z90,0)*VLOOKUP(B90,'2-Kosten per locatie'!$A$14:$C$28,3,FALSE)</f>
        <v>0</v>
      </c>
      <c r="U90" s="259">
        <f>IF(O90&gt;0,O90*I90/Y90,0)*VLOOKUP(B90,'2-Kosten per locatie'!$A$14:$C$28,3,FALSE)</f>
        <v>0</v>
      </c>
      <c r="V90" s="259">
        <f>IF(P90&gt;0,P90*I90/Z90,0)*VLOOKUP(B90,'2-Kosten per locatie'!$A$14:$C$28,3,FALSE)</f>
        <v>0</v>
      </c>
      <c r="W90" s="348">
        <f>IF(K90="nio",0,IF(K90&gt;0,VLOOKUP(G90,'3-Productie normen'!A:N,VLOOKUP(K90,'3-Productie normen'!$B$27:$C$38,2,FALSE),FALSE)))</f>
        <v>0</v>
      </c>
      <c r="X90" s="348">
        <f t="shared" si="8"/>
        <v>0</v>
      </c>
      <c r="Y90" s="348">
        <f t="shared" si="9"/>
        <v>0</v>
      </c>
      <c r="Z90" s="348">
        <f t="shared" si="10"/>
        <v>0</v>
      </c>
      <c r="AA90" s="349">
        <f>VLOOKUP(G90,'3-Productie normen'!A:Q,15,FALSE)</f>
        <v>235.06999999999988</v>
      </c>
      <c r="AB90" s="350">
        <f>VLOOKUP(G90,'3-Productie normen'!A:Q,16,FALSE)</f>
        <v>0</v>
      </c>
      <c r="AC90" s="349"/>
      <c r="AE90" s="351">
        <f t="shared" si="6"/>
        <v>278.3</v>
      </c>
    </row>
    <row r="91" spans="1:31" ht="14.1" customHeight="1">
      <c r="A91" s="76">
        <v>91</v>
      </c>
      <c r="B91" s="496" t="s">
        <v>290</v>
      </c>
      <c r="C91" s="312" t="s">
        <v>291</v>
      </c>
      <c r="D91" s="345" t="s">
        <v>307</v>
      </c>
      <c r="E91" s="346">
        <v>4</v>
      </c>
      <c r="F91" s="72" t="s">
        <v>352</v>
      </c>
      <c r="G91" s="72" t="s">
        <v>83</v>
      </c>
      <c r="H91" s="72" t="s">
        <v>321</v>
      </c>
      <c r="I91" s="502">
        <v>14.42</v>
      </c>
      <c r="J91" s="347">
        <f t="shared" si="7"/>
        <v>230</v>
      </c>
      <c r="K91" s="260">
        <v>230</v>
      </c>
      <c r="L91" s="260"/>
      <c r="M91" s="260">
        <v>0</v>
      </c>
      <c r="N91" s="260"/>
      <c r="O91" s="260"/>
      <c r="P91" s="260"/>
      <c r="Q91" s="259" t="e">
        <f>IF(K91="nio",0,IF(K91&gt;0,K91*I91/W91,0))*VLOOKUP(B91,'2-Kosten per locatie'!$A$14:$C$28,3,FALSE)</f>
        <v>#DIV/0!</v>
      </c>
      <c r="R91" s="259">
        <f>IF(L91&gt;0,L91*I91/X91,0)*VLOOKUP(B91,'2-Kosten per locatie'!$A$14:$C$28,3,FALSE)</f>
        <v>0</v>
      </c>
      <c r="S91" s="259">
        <f>IF(M91&gt;0,M91*I91/Y91,0)*VLOOKUP(B91,'2-Kosten per locatie'!$A$14:$C$28,3,FALSE)</f>
        <v>0</v>
      </c>
      <c r="T91" s="259">
        <f>IF(N91&gt;0,N91*I91/Z91,0)*VLOOKUP(B91,'2-Kosten per locatie'!$A$14:$C$28,3,FALSE)</f>
        <v>0</v>
      </c>
      <c r="U91" s="259">
        <f>IF(O91&gt;0,O91*I91/Y91,0)*VLOOKUP(B91,'2-Kosten per locatie'!$A$14:$C$28,3,FALSE)</f>
        <v>0</v>
      </c>
      <c r="V91" s="259">
        <f>IF(P91&gt;0,P91*I91/Z91,0)*VLOOKUP(B91,'2-Kosten per locatie'!$A$14:$C$28,3,FALSE)</f>
        <v>0</v>
      </c>
      <c r="W91" s="348">
        <f>IF(K91="nio",0,IF(K91&gt;0,VLOOKUP(G91,'3-Productie normen'!A:N,VLOOKUP(K91,'3-Productie normen'!$B$27:$C$38,2,FALSE),FALSE)))</f>
        <v>0</v>
      </c>
      <c r="X91" s="348">
        <f t="shared" si="8"/>
        <v>0</v>
      </c>
      <c r="Y91" s="348">
        <f t="shared" si="9"/>
        <v>0</v>
      </c>
      <c r="Z91" s="348">
        <f t="shared" si="10"/>
        <v>0</v>
      </c>
      <c r="AA91" s="349">
        <f>VLOOKUP(G91,'3-Productie normen'!A:Q,15,FALSE)</f>
        <v>773.68459999999982</v>
      </c>
      <c r="AB91" s="350">
        <f>VLOOKUP(G91,'3-Productie normen'!A:Q,16,FALSE)</f>
        <v>0</v>
      </c>
      <c r="AC91" s="349"/>
      <c r="AE91" s="351">
        <f t="shared" si="6"/>
        <v>3316.6</v>
      </c>
    </row>
    <row r="92" spans="1:31" ht="14.1" customHeight="1">
      <c r="A92" s="76">
        <v>92</v>
      </c>
      <c r="B92" s="496" t="s">
        <v>290</v>
      </c>
      <c r="C92" s="312" t="s">
        <v>291</v>
      </c>
      <c r="D92" s="345" t="s">
        <v>307</v>
      </c>
      <c r="E92" s="346">
        <v>5</v>
      </c>
      <c r="F92" s="72" t="s">
        <v>323</v>
      </c>
      <c r="G92" s="72" t="s">
        <v>461</v>
      </c>
      <c r="H92" s="72" t="s">
        <v>311</v>
      </c>
      <c r="I92" s="502">
        <v>1</v>
      </c>
      <c r="J92" s="347">
        <f t="shared" si="7"/>
        <v>0</v>
      </c>
      <c r="K92" s="260" t="s">
        <v>460</v>
      </c>
      <c r="L92" s="260"/>
      <c r="M92" s="260">
        <v>0</v>
      </c>
      <c r="N92" s="260"/>
      <c r="O92" s="260"/>
      <c r="P92" s="260"/>
      <c r="Q92" s="259">
        <f>IF(K92="nio",0,IF(K92&gt;0,K92*I92/W92,0))*VLOOKUP(B92,'2-Kosten per locatie'!$A$14:$C$28,3,FALSE)</f>
        <v>0</v>
      </c>
      <c r="R92" s="259">
        <f>IF(L92&gt;0,L92*I92/X92,0)*VLOOKUP(B92,'2-Kosten per locatie'!$A$14:$C$28,3,FALSE)</f>
        <v>0</v>
      </c>
      <c r="S92" s="259">
        <f>IF(M92&gt;0,M92*I92/Y92,0)*VLOOKUP(B92,'2-Kosten per locatie'!$A$14:$C$28,3,FALSE)</f>
        <v>0</v>
      </c>
      <c r="T92" s="259">
        <f>IF(N92&gt;0,N92*I92/Z92,0)*VLOOKUP(B92,'2-Kosten per locatie'!$A$14:$C$28,3,FALSE)</f>
        <v>0</v>
      </c>
      <c r="U92" s="259">
        <f>IF(O92&gt;0,O92*I92/Y92,0)*VLOOKUP(B92,'2-Kosten per locatie'!$A$14:$C$28,3,FALSE)</f>
        <v>0</v>
      </c>
      <c r="V92" s="259">
        <f>IF(P92&gt;0,P92*I92/Z92,0)*VLOOKUP(B92,'2-Kosten per locatie'!$A$14:$C$28,3,FALSE)</f>
        <v>0</v>
      </c>
      <c r="W92" s="348">
        <f>IF(K92="nio",0,IF(K92&gt;0,VLOOKUP(G92,'3-Productie normen'!A:N,VLOOKUP(K92,'3-Productie normen'!$B$27:$C$38,2,FALSE),FALSE)))</f>
        <v>0</v>
      </c>
      <c r="X92" s="348">
        <f t="shared" si="8"/>
        <v>0</v>
      </c>
      <c r="Y92" s="348">
        <f t="shared" si="9"/>
        <v>0</v>
      </c>
      <c r="Z92" s="348">
        <f t="shared" si="10"/>
        <v>0</v>
      </c>
      <c r="AA92" s="349" t="e">
        <f>VLOOKUP(G92,'3-Productie normen'!A:Q,15,FALSE)</f>
        <v>#N/A</v>
      </c>
      <c r="AB92" s="350" t="e">
        <f>VLOOKUP(G92,'3-Productie normen'!A:Q,16,FALSE)</f>
        <v>#N/A</v>
      </c>
      <c r="AC92" s="349"/>
      <c r="AE92" s="351">
        <f t="shared" si="6"/>
        <v>0</v>
      </c>
    </row>
    <row r="93" spans="1:31" ht="14.1" customHeight="1">
      <c r="A93" s="76">
        <v>93</v>
      </c>
      <c r="B93" s="496" t="s">
        <v>290</v>
      </c>
      <c r="C93" s="312" t="s">
        <v>291</v>
      </c>
      <c r="D93" s="345" t="s">
        <v>307</v>
      </c>
      <c r="E93" s="346">
        <v>6</v>
      </c>
      <c r="F93" s="72" t="s">
        <v>353</v>
      </c>
      <c r="G93" s="72" t="s">
        <v>87</v>
      </c>
      <c r="H93" s="72" t="s">
        <v>321</v>
      </c>
      <c r="I93" s="502">
        <v>5.87</v>
      </c>
      <c r="J93" s="347">
        <f t="shared" si="7"/>
        <v>46</v>
      </c>
      <c r="K93" s="260">
        <v>46</v>
      </c>
      <c r="L93" s="260"/>
      <c r="M93" s="260">
        <v>0</v>
      </c>
      <c r="N93" s="260"/>
      <c r="O93" s="260"/>
      <c r="P93" s="260"/>
      <c r="Q93" s="259" t="e">
        <f>IF(K93="nio",0,IF(K93&gt;0,K93*I93/W93,0))*VLOOKUP(B93,'2-Kosten per locatie'!$A$14:$C$28,3,FALSE)</f>
        <v>#DIV/0!</v>
      </c>
      <c r="R93" s="259">
        <f>IF(L93&gt;0,L93*I93/X93,0)*VLOOKUP(B93,'2-Kosten per locatie'!$A$14:$C$28,3,FALSE)</f>
        <v>0</v>
      </c>
      <c r="S93" s="259">
        <f>IF(M93&gt;0,M93*I93/Y93,0)*VLOOKUP(B93,'2-Kosten per locatie'!$A$14:$C$28,3,FALSE)</f>
        <v>0</v>
      </c>
      <c r="T93" s="259">
        <f>IF(N93&gt;0,N93*I93/Z93,0)*VLOOKUP(B93,'2-Kosten per locatie'!$A$14:$C$28,3,FALSE)</f>
        <v>0</v>
      </c>
      <c r="U93" s="259">
        <f>IF(O93&gt;0,O93*I93/Y93,0)*VLOOKUP(B93,'2-Kosten per locatie'!$A$14:$C$28,3,FALSE)</f>
        <v>0</v>
      </c>
      <c r="V93" s="259">
        <f>IF(P93&gt;0,P93*I93/Z93,0)*VLOOKUP(B93,'2-Kosten per locatie'!$A$14:$C$28,3,FALSE)</f>
        <v>0</v>
      </c>
      <c r="W93" s="348">
        <f>IF(K93="nio",0,IF(K93&gt;0,VLOOKUP(G93,'3-Productie normen'!A:N,VLOOKUP(K93,'3-Productie normen'!$B$27:$C$38,2,FALSE),FALSE)))</f>
        <v>0</v>
      </c>
      <c r="X93" s="348">
        <f t="shared" si="8"/>
        <v>0</v>
      </c>
      <c r="Y93" s="348">
        <f t="shared" si="9"/>
        <v>0</v>
      </c>
      <c r="Z93" s="348">
        <f t="shared" si="10"/>
        <v>0</v>
      </c>
      <c r="AA93" s="349">
        <f>VLOOKUP(G93,'3-Productie normen'!A:Q,15,FALSE)</f>
        <v>661.27599999999984</v>
      </c>
      <c r="AB93" s="350">
        <f>VLOOKUP(G93,'3-Productie normen'!A:Q,16,FALSE)</f>
        <v>0</v>
      </c>
      <c r="AC93" s="349"/>
      <c r="AE93" s="351">
        <f t="shared" si="6"/>
        <v>270.02</v>
      </c>
    </row>
    <row r="94" spans="1:31" ht="14.1" customHeight="1">
      <c r="A94" s="76">
        <v>94</v>
      </c>
      <c r="B94" s="496" t="s">
        <v>290</v>
      </c>
      <c r="C94" s="312" t="s">
        <v>291</v>
      </c>
      <c r="D94" s="345" t="s">
        <v>307</v>
      </c>
      <c r="E94" s="346">
        <v>7</v>
      </c>
      <c r="F94" s="72" t="s">
        <v>313</v>
      </c>
      <c r="G94" s="72" t="s">
        <v>85</v>
      </c>
      <c r="H94" s="72" t="s">
        <v>321</v>
      </c>
      <c r="I94" s="502">
        <v>24.12</v>
      </c>
      <c r="J94" s="347">
        <f t="shared" si="7"/>
        <v>230</v>
      </c>
      <c r="K94" s="260">
        <v>230</v>
      </c>
      <c r="L94" s="260"/>
      <c r="M94" s="260">
        <v>0</v>
      </c>
      <c r="N94" s="260"/>
      <c r="O94" s="260"/>
      <c r="P94" s="260"/>
      <c r="Q94" s="259" t="e">
        <f>IF(K94="nio",0,IF(K94&gt;0,K94*I94/W94,0))*VLOOKUP(B94,'2-Kosten per locatie'!$A$14:$C$28,3,FALSE)</f>
        <v>#DIV/0!</v>
      </c>
      <c r="R94" s="259">
        <f>IF(L94&gt;0,L94*I94/X94,0)*VLOOKUP(B94,'2-Kosten per locatie'!$A$14:$C$28,3,FALSE)</f>
        <v>0</v>
      </c>
      <c r="S94" s="259">
        <f>IF(M94&gt;0,M94*I94/Y94,0)*VLOOKUP(B94,'2-Kosten per locatie'!$A$14:$C$28,3,FALSE)</f>
        <v>0</v>
      </c>
      <c r="T94" s="259">
        <f>IF(N94&gt;0,N94*I94/Z94,0)*VLOOKUP(B94,'2-Kosten per locatie'!$A$14:$C$28,3,FALSE)</f>
        <v>0</v>
      </c>
      <c r="U94" s="259">
        <f>IF(O94&gt;0,O94*I94/Y94,0)*VLOOKUP(B94,'2-Kosten per locatie'!$A$14:$C$28,3,FALSE)</f>
        <v>0</v>
      </c>
      <c r="V94" s="259">
        <f>IF(P94&gt;0,P94*I94/Z94,0)*VLOOKUP(B94,'2-Kosten per locatie'!$A$14:$C$28,3,FALSE)</f>
        <v>0</v>
      </c>
      <c r="W94" s="348">
        <f>IF(K94="nio",0,IF(K94&gt;0,VLOOKUP(G94,'3-Productie normen'!A:N,VLOOKUP(K94,'3-Productie normen'!$B$27:$C$38,2,FALSE),FALSE)))</f>
        <v>0</v>
      </c>
      <c r="X94" s="348">
        <f t="shared" si="8"/>
        <v>0</v>
      </c>
      <c r="Y94" s="348">
        <f t="shared" si="9"/>
        <v>0</v>
      </c>
      <c r="Z94" s="348">
        <f t="shared" si="10"/>
        <v>0</v>
      </c>
      <c r="AA94" s="349">
        <f>VLOOKUP(G94,'3-Productie normen'!A:Q,15,FALSE)</f>
        <v>1367.5950000000007</v>
      </c>
      <c r="AB94" s="350">
        <f>VLOOKUP(G94,'3-Productie normen'!A:Q,16,FALSE)</f>
        <v>0</v>
      </c>
      <c r="AC94" s="349"/>
      <c r="AE94" s="351">
        <f t="shared" si="6"/>
        <v>5547.6</v>
      </c>
    </row>
    <row r="95" spans="1:31" ht="14.1" customHeight="1">
      <c r="A95" s="76">
        <v>95</v>
      </c>
      <c r="B95" s="496" t="s">
        <v>290</v>
      </c>
      <c r="C95" s="312" t="s">
        <v>291</v>
      </c>
      <c r="D95" s="345" t="s">
        <v>307</v>
      </c>
      <c r="E95" s="346">
        <v>8</v>
      </c>
      <c r="F95" s="72" t="s">
        <v>322</v>
      </c>
      <c r="G95" s="72" t="s">
        <v>341</v>
      </c>
      <c r="H95" s="72" t="s">
        <v>321</v>
      </c>
      <c r="I95" s="502">
        <v>10</v>
      </c>
      <c r="J95" s="347">
        <f t="shared" si="7"/>
        <v>230</v>
      </c>
      <c r="K95" s="260">
        <v>230</v>
      </c>
      <c r="L95" s="260"/>
      <c r="M95" s="260">
        <v>0</v>
      </c>
      <c r="N95" s="260"/>
      <c r="O95" s="260"/>
      <c r="P95" s="260"/>
      <c r="Q95" s="259" t="e">
        <f>IF(K95="nio",0,IF(K95&gt;0,K95*I95/W95,0))*VLOOKUP(B95,'2-Kosten per locatie'!$A$14:$C$28,3,FALSE)</f>
        <v>#DIV/0!</v>
      </c>
      <c r="R95" s="259">
        <f>IF(L95&gt;0,L95*I95/X95,0)*VLOOKUP(B95,'2-Kosten per locatie'!$A$14:$C$28,3,FALSE)</f>
        <v>0</v>
      </c>
      <c r="S95" s="259">
        <f>IF(M95&gt;0,M95*I95/Y95,0)*VLOOKUP(B95,'2-Kosten per locatie'!$A$14:$C$28,3,FALSE)</f>
        <v>0</v>
      </c>
      <c r="T95" s="259">
        <f>IF(N95&gt;0,N95*I95/Z95,0)*VLOOKUP(B95,'2-Kosten per locatie'!$A$14:$C$28,3,FALSE)</f>
        <v>0</v>
      </c>
      <c r="U95" s="259">
        <f>IF(O95&gt;0,O95*I95/Y95,0)*VLOOKUP(B95,'2-Kosten per locatie'!$A$14:$C$28,3,FALSE)</f>
        <v>0</v>
      </c>
      <c r="V95" s="259">
        <f>IF(P95&gt;0,P95*I95/Z95,0)*VLOOKUP(B95,'2-Kosten per locatie'!$A$14:$C$28,3,FALSE)</f>
        <v>0</v>
      </c>
      <c r="W95" s="348">
        <f>IF(K95="nio",0,IF(K95&gt;0,VLOOKUP(G95,'3-Productie normen'!A:N,VLOOKUP(K95,'3-Productie normen'!$B$27:$C$38,2,FALSE),FALSE)))</f>
        <v>0</v>
      </c>
      <c r="X95" s="348">
        <f t="shared" si="8"/>
        <v>0</v>
      </c>
      <c r="Y95" s="348">
        <f t="shared" si="9"/>
        <v>0</v>
      </c>
      <c r="Z95" s="348">
        <f t="shared" si="10"/>
        <v>0</v>
      </c>
      <c r="AA95" s="349">
        <f>VLOOKUP(G95,'3-Productie normen'!A:Q,15,FALSE)</f>
        <v>452.79000000000019</v>
      </c>
      <c r="AB95" s="350">
        <f>VLOOKUP(G95,'3-Productie normen'!A:Q,16,FALSE)</f>
        <v>0</v>
      </c>
      <c r="AC95" s="349"/>
      <c r="AE95" s="351">
        <f t="shared" si="6"/>
        <v>2300</v>
      </c>
    </row>
    <row r="96" spans="1:31" ht="14.1" customHeight="1">
      <c r="A96" s="76">
        <v>96</v>
      </c>
      <c r="B96" s="496" t="s">
        <v>290</v>
      </c>
      <c r="C96" s="312" t="s">
        <v>291</v>
      </c>
      <c r="D96" s="345" t="s">
        <v>307</v>
      </c>
      <c r="E96" s="346">
        <v>9</v>
      </c>
      <c r="F96" s="72" t="s">
        <v>322</v>
      </c>
      <c r="G96" s="72" t="s">
        <v>341</v>
      </c>
      <c r="H96" s="72" t="s">
        <v>321</v>
      </c>
      <c r="I96" s="502">
        <v>10</v>
      </c>
      <c r="J96" s="347">
        <f t="shared" si="7"/>
        <v>230</v>
      </c>
      <c r="K96" s="260">
        <v>230</v>
      </c>
      <c r="L96" s="260"/>
      <c r="M96" s="260">
        <v>0</v>
      </c>
      <c r="N96" s="260"/>
      <c r="O96" s="260"/>
      <c r="P96" s="260"/>
      <c r="Q96" s="259" t="e">
        <f>IF(K96="nio",0,IF(K96&gt;0,K96*I96/W96,0))*VLOOKUP(B96,'2-Kosten per locatie'!$A$14:$C$28,3,FALSE)</f>
        <v>#DIV/0!</v>
      </c>
      <c r="R96" s="259">
        <f>IF(L96&gt;0,L96*I96/X96,0)*VLOOKUP(B96,'2-Kosten per locatie'!$A$14:$C$28,3,FALSE)</f>
        <v>0</v>
      </c>
      <c r="S96" s="259">
        <f>IF(M96&gt;0,M96*I96/Y96,0)*VLOOKUP(B96,'2-Kosten per locatie'!$A$14:$C$28,3,FALSE)</f>
        <v>0</v>
      </c>
      <c r="T96" s="259">
        <f>IF(N96&gt;0,N96*I96/Z96,0)*VLOOKUP(B96,'2-Kosten per locatie'!$A$14:$C$28,3,FALSE)</f>
        <v>0</v>
      </c>
      <c r="U96" s="259">
        <f>IF(O96&gt;0,O96*I96/Y96,0)*VLOOKUP(B96,'2-Kosten per locatie'!$A$14:$C$28,3,FALSE)</f>
        <v>0</v>
      </c>
      <c r="V96" s="259">
        <f>IF(P96&gt;0,P96*I96/Z96,0)*VLOOKUP(B96,'2-Kosten per locatie'!$A$14:$C$28,3,FALSE)</f>
        <v>0</v>
      </c>
      <c r="W96" s="348">
        <f>IF(K96="nio",0,IF(K96&gt;0,VLOOKUP(G96,'3-Productie normen'!A:N,VLOOKUP(K96,'3-Productie normen'!$B$27:$C$38,2,FALSE),FALSE)))</f>
        <v>0</v>
      </c>
      <c r="X96" s="348">
        <f t="shared" si="8"/>
        <v>0</v>
      </c>
      <c r="Y96" s="348">
        <f t="shared" si="9"/>
        <v>0</v>
      </c>
      <c r="Z96" s="348">
        <f t="shared" si="10"/>
        <v>0</v>
      </c>
      <c r="AA96" s="349">
        <f>VLOOKUP(G96,'3-Productie normen'!A:Q,15,FALSE)</f>
        <v>452.79000000000019</v>
      </c>
      <c r="AB96" s="350">
        <f>VLOOKUP(G96,'3-Productie normen'!A:Q,16,FALSE)</f>
        <v>0</v>
      </c>
      <c r="AC96" s="349"/>
      <c r="AE96" s="351">
        <f t="shared" si="6"/>
        <v>2300</v>
      </c>
    </row>
    <row r="97" spans="1:31" ht="14.1" customHeight="1">
      <c r="A97" s="76">
        <v>97</v>
      </c>
      <c r="B97" s="496" t="s">
        <v>290</v>
      </c>
      <c r="C97" s="312" t="s">
        <v>291</v>
      </c>
      <c r="D97" s="345" t="s">
        <v>307</v>
      </c>
      <c r="E97" s="346">
        <v>10</v>
      </c>
      <c r="F97" s="72" t="s">
        <v>313</v>
      </c>
      <c r="G97" s="72" t="s">
        <v>85</v>
      </c>
      <c r="H97" s="72" t="s">
        <v>321</v>
      </c>
      <c r="I97" s="502">
        <v>24.12</v>
      </c>
      <c r="J97" s="347">
        <f t="shared" si="7"/>
        <v>230</v>
      </c>
      <c r="K97" s="260">
        <v>230</v>
      </c>
      <c r="L97" s="260"/>
      <c r="M97" s="260">
        <v>0</v>
      </c>
      <c r="N97" s="260"/>
      <c r="O97" s="260"/>
      <c r="P97" s="260"/>
      <c r="Q97" s="259" t="e">
        <f>IF(K97="nio",0,IF(K97&gt;0,K97*I97/W97,0))*VLOOKUP(B97,'2-Kosten per locatie'!$A$14:$C$28,3,FALSE)</f>
        <v>#DIV/0!</v>
      </c>
      <c r="R97" s="259">
        <f>IF(L97&gt;0,L97*I97/X97,0)*VLOOKUP(B97,'2-Kosten per locatie'!$A$14:$C$28,3,FALSE)</f>
        <v>0</v>
      </c>
      <c r="S97" s="259">
        <f>IF(M97&gt;0,M97*I97/Y97,0)*VLOOKUP(B97,'2-Kosten per locatie'!$A$14:$C$28,3,FALSE)</f>
        <v>0</v>
      </c>
      <c r="T97" s="259">
        <f>IF(N97&gt;0,N97*I97/Z97,0)*VLOOKUP(B97,'2-Kosten per locatie'!$A$14:$C$28,3,FALSE)</f>
        <v>0</v>
      </c>
      <c r="U97" s="259">
        <f>IF(O97&gt;0,O97*I97/Y97,0)*VLOOKUP(B97,'2-Kosten per locatie'!$A$14:$C$28,3,FALSE)</f>
        <v>0</v>
      </c>
      <c r="V97" s="259">
        <f>IF(P97&gt;0,P97*I97/Z97,0)*VLOOKUP(B97,'2-Kosten per locatie'!$A$14:$C$28,3,FALSE)</f>
        <v>0</v>
      </c>
      <c r="W97" s="348">
        <f>IF(K97="nio",0,IF(K97&gt;0,VLOOKUP(G97,'3-Productie normen'!A:N,VLOOKUP(K97,'3-Productie normen'!$B$27:$C$38,2,FALSE),FALSE)))</f>
        <v>0</v>
      </c>
      <c r="X97" s="348">
        <f t="shared" si="8"/>
        <v>0</v>
      </c>
      <c r="Y97" s="348">
        <f t="shared" si="9"/>
        <v>0</v>
      </c>
      <c r="Z97" s="348">
        <f t="shared" si="10"/>
        <v>0</v>
      </c>
      <c r="AA97" s="349">
        <f>VLOOKUP(G97,'3-Productie normen'!A:Q,15,FALSE)</f>
        <v>1367.5950000000007</v>
      </c>
      <c r="AB97" s="350">
        <f>VLOOKUP(G97,'3-Productie normen'!A:Q,16,FALSE)</f>
        <v>0</v>
      </c>
      <c r="AC97" s="349"/>
      <c r="AE97" s="351">
        <f t="shared" si="6"/>
        <v>5547.6</v>
      </c>
    </row>
    <row r="98" spans="1:31" ht="14.1" customHeight="1">
      <c r="A98" s="76">
        <v>98</v>
      </c>
      <c r="B98" s="496" t="s">
        <v>290</v>
      </c>
      <c r="C98" s="312" t="s">
        <v>291</v>
      </c>
      <c r="D98" s="345" t="s">
        <v>307</v>
      </c>
      <c r="E98" s="346">
        <v>11</v>
      </c>
      <c r="F98" s="72" t="s">
        <v>354</v>
      </c>
      <c r="G98" s="72" t="s">
        <v>355</v>
      </c>
      <c r="H98" s="72" t="s">
        <v>316</v>
      </c>
      <c r="I98" s="502">
        <v>180.4</v>
      </c>
      <c r="J98" s="347">
        <f t="shared" si="7"/>
        <v>230</v>
      </c>
      <c r="K98" s="260">
        <v>230</v>
      </c>
      <c r="L98" s="260"/>
      <c r="M98" s="260"/>
      <c r="N98" s="260"/>
      <c r="O98" s="260"/>
      <c r="P98" s="260"/>
      <c r="Q98" s="259" t="e">
        <f>IF(K98="nio",0,IF(K98&gt;0,K98*I98/W98,0))*VLOOKUP(B98,'2-Kosten per locatie'!$A$14:$C$28,3,FALSE)</f>
        <v>#DIV/0!</v>
      </c>
      <c r="R98" s="259">
        <f>IF(L98&gt;0,L98*I98/X98,0)*VLOOKUP(B98,'2-Kosten per locatie'!$A$14:$C$28,3,FALSE)</f>
        <v>0</v>
      </c>
      <c r="S98" s="259">
        <f>IF(M98&gt;0,M98*I98/Y98,0)*VLOOKUP(B98,'2-Kosten per locatie'!$A$14:$C$28,3,FALSE)</f>
        <v>0</v>
      </c>
      <c r="T98" s="259">
        <f>IF(N98&gt;0,N98*I98/Z98,0)*VLOOKUP(B98,'2-Kosten per locatie'!$A$14:$C$28,3,FALSE)</f>
        <v>0</v>
      </c>
      <c r="U98" s="259">
        <f>IF(O98&gt;0,O98*I98/Y98,0)*VLOOKUP(B98,'2-Kosten per locatie'!$A$14:$C$28,3,FALSE)</f>
        <v>0</v>
      </c>
      <c r="V98" s="259">
        <f>IF(P98&gt;0,P98*I98/Z98,0)*VLOOKUP(B98,'2-Kosten per locatie'!$A$14:$C$28,3,FALSE)</f>
        <v>0</v>
      </c>
      <c r="W98" s="348">
        <f>IF(K98="nio",0,IF(K98&gt;0,VLOOKUP(G98,'3-Productie normen'!A:N,VLOOKUP(K98,'3-Productie normen'!$B$27:$C$38,2,FALSE),FALSE)))</f>
        <v>0</v>
      </c>
      <c r="X98" s="348">
        <f t="shared" si="8"/>
        <v>0</v>
      </c>
      <c r="Y98" s="348">
        <f t="shared" si="9"/>
        <v>0</v>
      </c>
      <c r="Z98" s="348">
        <f t="shared" si="10"/>
        <v>0</v>
      </c>
      <c r="AA98" s="349">
        <f>VLOOKUP(G98,'3-Productie normen'!A:Q,15,FALSE)</f>
        <v>6683.51</v>
      </c>
      <c r="AB98" s="350">
        <f>VLOOKUP(G98,'3-Productie normen'!A:Q,16,FALSE)</f>
        <v>0</v>
      </c>
      <c r="AC98" s="349"/>
      <c r="AE98" s="351">
        <f t="shared" si="6"/>
        <v>41492</v>
      </c>
    </row>
    <row r="99" spans="1:31" ht="14.1" customHeight="1">
      <c r="A99" s="76">
        <v>99</v>
      </c>
      <c r="B99" s="496" t="s">
        <v>290</v>
      </c>
      <c r="C99" s="312" t="s">
        <v>291</v>
      </c>
      <c r="D99" s="345" t="s">
        <v>307</v>
      </c>
      <c r="E99" s="346">
        <v>12</v>
      </c>
      <c r="F99" s="72" t="s">
        <v>315</v>
      </c>
      <c r="G99" s="72" t="s">
        <v>87</v>
      </c>
      <c r="H99" s="72" t="s">
        <v>316</v>
      </c>
      <c r="I99" s="502">
        <v>34.15</v>
      </c>
      <c r="J99" s="347">
        <f t="shared" si="7"/>
        <v>46</v>
      </c>
      <c r="K99" s="260">
        <v>46</v>
      </c>
      <c r="L99" s="260"/>
      <c r="M99" s="260"/>
      <c r="N99" s="260"/>
      <c r="O99" s="260"/>
      <c r="P99" s="260"/>
      <c r="Q99" s="259" t="e">
        <f>IF(K99="nio",0,IF(K99&gt;0,K99*I99/W99,0))*VLOOKUP(B99,'2-Kosten per locatie'!$A$14:$C$28,3,FALSE)</f>
        <v>#DIV/0!</v>
      </c>
      <c r="R99" s="259">
        <f>IF(L99&gt;0,L99*I99/X99,0)*VLOOKUP(B99,'2-Kosten per locatie'!$A$14:$C$28,3,FALSE)</f>
        <v>0</v>
      </c>
      <c r="S99" s="259">
        <f>IF(M99&gt;0,M99*I99/Y99,0)*VLOOKUP(B99,'2-Kosten per locatie'!$A$14:$C$28,3,FALSE)</f>
        <v>0</v>
      </c>
      <c r="T99" s="259">
        <f>IF(N99&gt;0,N99*I99/Z99,0)*VLOOKUP(B99,'2-Kosten per locatie'!$A$14:$C$28,3,FALSE)</f>
        <v>0</v>
      </c>
      <c r="U99" s="259">
        <f>IF(O99&gt;0,O99*I99/Y99,0)*VLOOKUP(B99,'2-Kosten per locatie'!$A$14:$C$28,3,FALSE)</f>
        <v>0</v>
      </c>
      <c r="V99" s="259">
        <f>IF(P99&gt;0,P99*I99/Z99,0)*VLOOKUP(B99,'2-Kosten per locatie'!$A$14:$C$28,3,FALSE)</f>
        <v>0</v>
      </c>
      <c r="W99" s="348">
        <f>IF(K99="nio",0,IF(K99&gt;0,VLOOKUP(G99,'3-Productie normen'!A:N,VLOOKUP(K99,'3-Productie normen'!$B$27:$C$38,2,FALSE),FALSE)))</f>
        <v>0</v>
      </c>
      <c r="X99" s="348">
        <f t="shared" si="8"/>
        <v>0</v>
      </c>
      <c r="Y99" s="348">
        <f t="shared" si="9"/>
        <v>0</v>
      </c>
      <c r="Z99" s="348">
        <f t="shared" si="10"/>
        <v>0</v>
      </c>
      <c r="AA99" s="349">
        <f>VLOOKUP(G99,'3-Productie normen'!A:Q,15,FALSE)</f>
        <v>661.27599999999984</v>
      </c>
      <c r="AB99" s="350">
        <f>VLOOKUP(G99,'3-Productie normen'!A:Q,16,FALSE)</f>
        <v>0</v>
      </c>
      <c r="AC99" s="349"/>
      <c r="AE99" s="351">
        <f t="shared" si="6"/>
        <v>1570.8999999999999</v>
      </c>
    </row>
    <row r="100" spans="1:31" ht="14.1" customHeight="1">
      <c r="A100" s="76">
        <v>100</v>
      </c>
      <c r="B100" s="496" t="s">
        <v>292</v>
      </c>
      <c r="C100" s="312" t="s">
        <v>293</v>
      </c>
      <c r="D100" s="345" t="s">
        <v>307</v>
      </c>
      <c r="E100" s="346">
        <v>1</v>
      </c>
      <c r="F100" s="72" t="s">
        <v>318</v>
      </c>
      <c r="G100" s="72" t="s">
        <v>89</v>
      </c>
      <c r="H100" s="72" t="s">
        <v>325</v>
      </c>
      <c r="I100" s="502">
        <v>4.32</v>
      </c>
      <c r="J100" s="347">
        <f t="shared" si="7"/>
        <v>357</v>
      </c>
      <c r="K100" s="260">
        <v>255</v>
      </c>
      <c r="L100" s="260"/>
      <c r="M100" s="260">
        <v>102</v>
      </c>
      <c r="N100" s="260"/>
      <c r="O100" s="260"/>
      <c r="P100" s="260"/>
      <c r="Q100" s="259" t="e">
        <f>IF(K100="nio",0,IF(K100&gt;0,K100*I100/W100,0))*VLOOKUP(B100,'2-Kosten per locatie'!$A$14:$C$28,3,FALSE)</f>
        <v>#DIV/0!</v>
      </c>
      <c r="R100" s="259">
        <f>IF(L100&gt;0,L100*I100/X100,0)*VLOOKUP(B100,'2-Kosten per locatie'!$A$14:$C$28,3,FALSE)</f>
        <v>0</v>
      </c>
      <c r="S100" s="259" t="e">
        <f>IF(M100&gt;0,M100*I100/Y100,0)*VLOOKUP(B100,'2-Kosten per locatie'!$A$14:$C$28,3,FALSE)</f>
        <v>#DIV/0!</v>
      </c>
      <c r="T100" s="259">
        <f>IF(N100&gt;0,N100*I100/Z100,0)*VLOOKUP(B100,'2-Kosten per locatie'!$A$14:$C$28,3,FALSE)</f>
        <v>0</v>
      </c>
      <c r="U100" s="259">
        <f>IF(O100&gt;0,O100*I100/Y100,0)*VLOOKUP(B100,'2-Kosten per locatie'!$A$14:$C$28,3,FALSE)</f>
        <v>0</v>
      </c>
      <c r="V100" s="259">
        <f>IF(P100&gt;0,P100*I100/Z100,0)*VLOOKUP(B100,'2-Kosten per locatie'!$A$14:$C$28,3,FALSE)</f>
        <v>0</v>
      </c>
      <c r="W100" s="348">
        <f>IF(K100="nio",0,IF(K100&gt;0,VLOOKUP(G100,'3-Productie normen'!A:N,VLOOKUP(K100,'3-Productie normen'!$B$27:$C$38,2,FALSE),FALSE)))</f>
        <v>0</v>
      </c>
      <c r="X100" s="348">
        <f t="shared" si="8"/>
        <v>0</v>
      </c>
      <c r="Y100" s="348">
        <f t="shared" si="9"/>
        <v>0</v>
      </c>
      <c r="Z100" s="348">
        <f t="shared" si="10"/>
        <v>0</v>
      </c>
      <c r="AA100" s="349">
        <f>VLOOKUP(G100,'3-Productie normen'!A:Q,15,FALSE)</f>
        <v>78.48</v>
      </c>
      <c r="AB100" s="350">
        <f>VLOOKUP(G100,'3-Productie normen'!A:Q,16,FALSE)</f>
        <v>0</v>
      </c>
      <c r="AC100" s="349"/>
      <c r="AE100" s="351">
        <f t="shared" si="6"/>
        <v>1542.24</v>
      </c>
    </row>
    <row r="101" spans="1:31" ht="14.1" customHeight="1">
      <c r="A101" s="76">
        <v>101</v>
      </c>
      <c r="B101" s="496" t="s">
        <v>292</v>
      </c>
      <c r="C101" s="312" t="s">
        <v>293</v>
      </c>
      <c r="D101" s="345" t="s">
        <v>307</v>
      </c>
      <c r="E101" s="346">
        <v>2</v>
      </c>
      <c r="F101" s="72" t="s">
        <v>312</v>
      </c>
      <c r="G101" s="72" t="s">
        <v>83</v>
      </c>
      <c r="H101" s="72" t="s">
        <v>311</v>
      </c>
      <c r="I101" s="502">
        <v>22.67</v>
      </c>
      <c r="J101" s="347">
        <f t="shared" si="7"/>
        <v>357</v>
      </c>
      <c r="K101" s="260">
        <v>255</v>
      </c>
      <c r="L101" s="260"/>
      <c r="M101" s="260">
        <v>102</v>
      </c>
      <c r="N101" s="260"/>
      <c r="O101" s="260"/>
      <c r="P101" s="260"/>
      <c r="Q101" s="259" t="e">
        <f>IF(K101="nio",0,IF(K101&gt;0,K101*I101/W101,0))*VLOOKUP(B101,'2-Kosten per locatie'!$A$14:$C$28,3,FALSE)</f>
        <v>#DIV/0!</v>
      </c>
      <c r="R101" s="259">
        <f>IF(L101&gt;0,L101*I101/X101,0)*VLOOKUP(B101,'2-Kosten per locatie'!$A$14:$C$28,3,FALSE)</f>
        <v>0</v>
      </c>
      <c r="S101" s="259" t="e">
        <f>IF(M101&gt;0,M101*I101/Y101,0)*VLOOKUP(B101,'2-Kosten per locatie'!$A$14:$C$28,3,FALSE)</f>
        <v>#DIV/0!</v>
      </c>
      <c r="T101" s="259">
        <f>IF(N101&gt;0,N101*I101/Z101,0)*VLOOKUP(B101,'2-Kosten per locatie'!$A$14:$C$28,3,FALSE)</f>
        <v>0</v>
      </c>
      <c r="U101" s="259">
        <f>IF(O101&gt;0,O101*I101/Y101,0)*VLOOKUP(B101,'2-Kosten per locatie'!$A$14:$C$28,3,FALSE)</f>
        <v>0</v>
      </c>
      <c r="V101" s="259">
        <f>IF(P101&gt;0,P101*I101/Z101,0)*VLOOKUP(B101,'2-Kosten per locatie'!$A$14:$C$28,3,FALSE)</f>
        <v>0</v>
      </c>
      <c r="W101" s="348">
        <f>IF(K101="nio",0,IF(K101&gt;0,VLOOKUP(G101,'3-Productie normen'!A:N,VLOOKUP(K101,'3-Productie normen'!$B$27:$C$38,2,FALSE),FALSE)))</f>
        <v>0</v>
      </c>
      <c r="X101" s="348">
        <f t="shared" si="8"/>
        <v>0</v>
      </c>
      <c r="Y101" s="348">
        <f t="shared" si="9"/>
        <v>0</v>
      </c>
      <c r="Z101" s="348">
        <f t="shared" si="10"/>
        <v>0</v>
      </c>
      <c r="AA101" s="349">
        <f>VLOOKUP(G101,'3-Productie normen'!A:Q,15,FALSE)</f>
        <v>773.68459999999982</v>
      </c>
      <c r="AB101" s="350">
        <f>VLOOKUP(G101,'3-Productie normen'!A:Q,16,FALSE)</f>
        <v>0</v>
      </c>
      <c r="AC101" s="349"/>
      <c r="AE101" s="351">
        <f t="shared" si="6"/>
        <v>8093.1900000000005</v>
      </c>
    </row>
    <row r="102" spans="1:31" ht="14.1" customHeight="1">
      <c r="A102" s="76">
        <v>102</v>
      </c>
      <c r="B102" s="496" t="s">
        <v>292</v>
      </c>
      <c r="C102" s="312" t="s">
        <v>293</v>
      </c>
      <c r="D102" s="345" t="s">
        <v>307</v>
      </c>
      <c r="E102" s="346">
        <v>3</v>
      </c>
      <c r="F102" s="72" t="s">
        <v>336</v>
      </c>
      <c r="G102" s="72" t="s">
        <v>81</v>
      </c>
      <c r="H102" s="72" t="s">
        <v>311</v>
      </c>
      <c r="I102" s="502">
        <v>3.37</v>
      </c>
      <c r="J102" s="347">
        <f t="shared" si="7"/>
        <v>357</v>
      </c>
      <c r="K102" s="260">
        <v>255</v>
      </c>
      <c r="L102" s="260"/>
      <c r="M102" s="260">
        <v>102</v>
      </c>
      <c r="N102" s="260"/>
      <c r="O102" s="260"/>
      <c r="P102" s="260"/>
      <c r="Q102" s="259" t="e">
        <f>IF(K102="nio",0,IF(K102&gt;0,K102*I102/W102,0))*VLOOKUP(B102,'2-Kosten per locatie'!$A$14:$C$28,3,FALSE)</f>
        <v>#DIV/0!</v>
      </c>
      <c r="R102" s="259">
        <f>IF(L102&gt;0,L102*I102/X102,0)*VLOOKUP(B102,'2-Kosten per locatie'!$A$14:$C$28,3,FALSE)</f>
        <v>0</v>
      </c>
      <c r="S102" s="259" t="e">
        <f>IF(M102&gt;0,M102*I102/Y102,0)*VLOOKUP(B102,'2-Kosten per locatie'!$A$14:$C$28,3,FALSE)</f>
        <v>#DIV/0!</v>
      </c>
      <c r="T102" s="259">
        <f>IF(N102&gt;0,N102*I102/Z102,0)*VLOOKUP(B102,'2-Kosten per locatie'!$A$14:$C$28,3,FALSE)</f>
        <v>0</v>
      </c>
      <c r="U102" s="259">
        <f>IF(O102&gt;0,O102*I102/Y102,0)*VLOOKUP(B102,'2-Kosten per locatie'!$A$14:$C$28,3,FALSE)</f>
        <v>0</v>
      </c>
      <c r="V102" s="259">
        <f>IF(P102&gt;0,P102*I102/Z102,0)*VLOOKUP(B102,'2-Kosten per locatie'!$A$14:$C$28,3,FALSE)</f>
        <v>0</v>
      </c>
      <c r="W102" s="348">
        <f>IF(K102="nio",0,IF(K102&gt;0,VLOOKUP(G102,'3-Productie normen'!A:N,VLOOKUP(K102,'3-Productie normen'!$B$27:$C$38,2,FALSE),FALSE)))</f>
        <v>0</v>
      </c>
      <c r="X102" s="348">
        <f t="shared" si="8"/>
        <v>0</v>
      </c>
      <c r="Y102" s="348">
        <f t="shared" si="9"/>
        <v>0</v>
      </c>
      <c r="Z102" s="348">
        <f t="shared" si="10"/>
        <v>0</v>
      </c>
      <c r="AA102" s="349">
        <f>VLOOKUP(G102,'3-Productie normen'!A:Q,15,FALSE)</f>
        <v>235.06999999999988</v>
      </c>
      <c r="AB102" s="350">
        <f>VLOOKUP(G102,'3-Productie normen'!A:Q,16,FALSE)</f>
        <v>0</v>
      </c>
      <c r="AC102" s="349"/>
      <c r="AE102" s="351">
        <f t="shared" si="6"/>
        <v>1203.0900000000001</v>
      </c>
    </row>
    <row r="103" spans="1:31" ht="14.1" customHeight="1">
      <c r="A103" s="76">
        <v>103</v>
      </c>
      <c r="B103" s="496" t="s">
        <v>292</v>
      </c>
      <c r="C103" s="312" t="s">
        <v>293</v>
      </c>
      <c r="D103" s="345" t="s">
        <v>307</v>
      </c>
      <c r="E103" s="346">
        <v>4</v>
      </c>
      <c r="F103" s="72" t="s">
        <v>356</v>
      </c>
      <c r="G103" s="72" t="s">
        <v>85</v>
      </c>
      <c r="H103" s="72" t="s">
        <v>311</v>
      </c>
      <c r="I103" s="502">
        <v>4.5599999999999996</v>
      </c>
      <c r="J103" s="347">
        <f t="shared" si="7"/>
        <v>357</v>
      </c>
      <c r="K103" s="260">
        <v>255</v>
      </c>
      <c r="L103" s="260"/>
      <c r="M103" s="260">
        <v>102</v>
      </c>
      <c r="N103" s="260"/>
      <c r="O103" s="260"/>
      <c r="P103" s="260"/>
      <c r="Q103" s="259" t="e">
        <f>IF(K103="nio",0,IF(K103&gt;0,K103*I103/W103,0))*VLOOKUP(B103,'2-Kosten per locatie'!$A$14:$C$28,3,FALSE)</f>
        <v>#DIV/0!</v>
      </c>
      <c r="R103" s="259">
        <f>IF(L103&gt;0,L103*I103/X103,0)*VLOOKUP(B103,'2-Kosten per locatie'!$A$14:$C$28,3,FALSE)</f>
        <v>0</v>
      </c>
      <c r="S103" s="259" t="e">
        <f>IF(M103&gt;0,M103*I103/Y103,0)*VLOOKUP(B103,'2-Kosten per locatie'!$A$14:$C$28,3,FALSE)</f>
        <v>#DIV/0!</v>
      </c>
      <c r="T103" s="259">
        <f>IF(N103&gt;0,N103*I103/Z103,0)*VLOOKUP(B103,'2-Kosten per locatie'!$A$14:$C$28,3,FALSE)</f>
        <v>0</v>
      </c>
      <c r="U103" s="259">
        <f>IF(O103&gt;0,O103*I103/Y103,0)*VLOOKUP(B103,'2-Kosten per locatie'!$A$14:$C$28,3,FALSE)</f>
        <v>0</v>
      </c>
      <c r="V103" s="259">
        <f>IF(P103&gt;0,P103*I103/Z103,0)*VLOOKUP(B103,'2-Kosten per locatie'!$A$14:$C$28,3,FALSE)</f>
        <v>0</v>
      </c>
      <c r="W103" s="348">
        <f>IF(K103="nio",0,IF(K103&gt;0,VLOOKUP(G103,'3-Productie normen'!A:N,VLOOKUP(K103,'3-Productie normen'!$B$27:$C$38,2,FALSE),FALSE)))</f>
        <v>0</v>
      </c>
      <c r="X103" s="348">
        <f t="shared" si="8"/>
        <v>0</v>
      </c>
      <c r="Y103" s="348">
        <f t="shared" si="9"/>
        <v>0</v>
      </c>
      <c r="Z103" s="348">
        <f t="shared" si="10"/>
        <v>0</v>
      </c>
      <c r="AA103" s="349">
        <f>VLOOKUP(G103,'3-Productie normen'!A:Q,15,FALSE)</f>
        <v>1367.5950000000007</v>
      </c>
      <c r="AB103" s="350">
        <f>VLOOKUP(G103,'3-Productie normen'!A:Q,16,FALSE)</f>
        <v>0</v>
      </c>
      <c r="AC103" s="349"/>
      <c r="AE103" s="351">
        <f t="shared" si="6"/>
        <v>1627.9199999999998</v>
      </c>
    </row>
    <row r="104" spans="1:31" ht="14.1" customHeight="1">
      <c r="A104" s="76">
        <v>104</v>
      </c>
      <c r="B104" s="496" t="s">
        <v>292</v>
      </c>
      <c r="C104" s="312" t="s">
        <v>293</v>
      </c>
      <c r="D104" s="345" t="s">
        <v>307</v>
      </c>
      <c r="E104" s="346">
        <v>5</v>
      </c>
      <c r="F104" s="72" t="s">
        <v>357</v>
      </c>
      <c r="G104" s="72" t="s">
        <v>85</v>
      </c>
      <c r="H104" s="72" t="s">
        <v>311</v>
      </c>
      <c r="I104" s="502">
        <v>5.0599999999999996</v>
      </c>
      <c r="J104" s="347">
        <f t="shared" si="7"/>
        <v>357</v>
      </c>
      <c r="K104" s="260">
        <v>255</v>
      </c>
      <c r="L104" s="260"/>
      <c r="M104" s="260">
        <v>102</v>
      </c>
      <c r="N104" s="260"/>
      <c r="O104" s="260"/>
      <c r="P104" s="260"/>
      <c r="Q104" s="259" t="e">
        <f>IF(K104="nio",0,IF(K104&gt;0,K104*I104/W104,0))*VLOOKUP(B104,'2-Kosten per locatie'!$A$14:$C$28,3,FALSE)</f>
        <v>#DIV/0!</v>
      </c>
      <c r="R104" s="259">
        <f>IF(L104&gt;0,L104*I104/X104,0)*VLOOKUP(B104,'2-Kosten per locatie'!$A$14:$C$28,3,FALSE)</f>
        <v>0</v>
      </c>
      <c r="S104" s="259" t="e">
        <f>IF(M104&gt;0,M104*I104/Y104,0)*VLOOKUP(B104,'2-Kosten per locatie'!$A$14:$C$28,3,FALSE)</f>
        <v>#DIV/0!</v>
      </c>
      <c r="T104" s="259">
        <f>IF(N104&gt;0,N104*I104/Z104,0)*VLOOKUP(B104,'2-Kosten per locatie'!$A$14:$C$28,3,FALSE)</f>
        <v>0</v>
      </c>
      <c r="U104" s="259">
        <f>IF(O104&gt;0,O104*I104/Y104,0)*VLOOKUP(B104,'2-Kosten per locatie'!$A$14:$C$28,3,FALSE)</f>
        <v>0</v>
      </c>
      <c r="V104" s="259">
        <f>IF(P104&gt;0,P104*I104/Z104,0)*VLOOKUP(B104,'2-Kosten per locatie'!$A$14:$C$28,3,FALSE)</f>
        <v>0</v>
      </c>
      <c r="W104" s="348">
        <f>IF(K104="nio",0,IF(K104&gt;0,VLOOKUP(G104,'3-Productie normen'!A:N,VLOOKUP(K104,'3-Productie normen'!$B$27:$C$38,2,FALSE),FALSE)))</f>
        <v>0</v>
      </c>
      <c r="X104" s="348">
        <f t="shared" si="8"/>
        <v>0</v>
      </c>
      <c r="Y104" s="348">
        <f t="shared" si="9"/>
        <v>0</v>
      </c>
      <c r="Z104" s="348">
        <f t="shared" si="10"/>
        <v>0</v>
      </c>
      <c r="AA104" s="349">
        <f>VLOOKUP(G104,'3-Productie normen'!A:Q,15,FALSE)</f>
        <v>1367.5950000000007</v>
      </c>
      <c r="AB104" s="350">
        <f>VLOOKUP(G104,'3-Productie normen'!A:Q,16,FALSE)</f>
        <v>0</v>
      </c>
      <c r="AC104" s="349"/>
      <c r="AE104" s="351">
        <f t="shared" si="6"/>
        <v>1806.4199999999998</v>
      </c>
    </row>
    <row r="105" spans="1:31" ht="14.1" customHeight="1">
      <c r="A105" s="76">
        <v>105</v>
      </c>
      <c r="B105" s="496" t="s">
        <v>292</v>
      </c>
      <c r="C105" s="312" t="s">
        <v>293</v>
      </c>
      <c r="D105" s="345" t="s">
        <v>307</v>
      </c>
      <c r="E105" s="346">
        <v>6</v>
      </c>
      <c r="F105" s="72" t="s">
        <v>317</v>
      </c>
      <c r="G105" s="72" t="s">
        <v>88</v>
      </c>
      <c r="H105" s="72" t="s">
        <v>316</v>
      </c>
      <c r="I105" s="502">
        <v>1850</v>
      </c>
      <c r="J105" s="347">
        <f t="shared" si="7"/>
        <v>357</v>
      </c>
      <c r="K105" s="260">
        <v>255</v>
      </c>
      <c r="L105" s="260"/>
      <c r="M105" s="260">
        <v>102</v>
      </c>
      <c r="N105" s="260"/>
      <c r="O105" s="260"/>
      <c r="P105" s="260"/>
      <c r="Q105" s="259" t="e">
        <f>IF(K105="nio",0,IF(K105&gt;0,K105*I105/W105,0))*VLOOKUP(B105,'2-Kosten per locatie'!$A$14:$C$28,3,FALSE)</f>
        <v>#DIV/0!</v>
      </c>
      <c r="R105" s="259">
        <f>IF(L105&gt;0,L105*I105/X105,0)*VLOOKUP(B105,'2-Kosten per locatie'!$A$14:$C$28,3,FALSE)</f>
        <v>0</v>
      </c>
      <c r="S105" s="259" t="e">
        <f>IF(M105&gt;0,M105*I105/Y105,0)*VLOOKUP(B105,'2-Kosten per locatie'!$A$14:$C$28,3,FALSE)</f>
        <v>#DIV/0!</v>
      </c>
      <c r="T105" s="259">
        <f>IF(N105&gt;0,N105*I105/Z105,0)*VLOOKUP(B105,'2-Kosten per locatie'!$A$14:$C$28,3,FALSE)</f>
        <v>0</v>
      </c>
      <c r="U105" s="259">
        <f>IF(O105&gt;0,O105*I105/Y105,0)*VLOOKUP(B105,'2-Kosten per locatie'!$A$14:$C$28,3,FALSE)</f>
        <v>0</v>
      </c>
      <c r="V105" s="259">
        <f>IF(P105&gt;0,P105*I105/Z105,0)*VLOOKUP(B105,'2-Kosten per locatie'!$A$14:$C$28,3,FALSE)</f>
        <v>0</v>
      </c>
      <c r="W105" s="348">
        <f>IF(K105="nio",0,IF(K105&gt;0,VLOOKUP(G105,'3-Productie normen'!A:N,VLOOKUP(K105,'3-Productie normen'!$B$27:$C$38,2,FALSE),FALSE)))</f>
        <v>0</v>
      </c>
      <c r="X105" s="348">
        <f t="shared" si="8"/>
        <v>0</v>
      </c>
      <c r="Y105" s="348">
        <f t="shared" si="9"/>
        <v>0</v>
      </c>
      <c r="Z105" s="348">
        <f t="shared" si="10"/>
        <v>0</v>
      </c>
      <c r="AA105" s="349">
        <f>VLOOKUP(G105,'3-Productie normen'!A:Q,15,FALSE)</f>
        <v>6683.51</v>
      </c>
      <c r="AB105" s="350">
        <f>VLOOKUP(G105,'3-Productie normen'!A:Q,16,FALSE)</f>
        <v>0</v>
      </c>
      <c r="AC105" s="349"/>
      <c r="AE105" s="351">
        <f t="shared" si="6"/>
        <v>660450</v>
      </c>
    </row>
    <row r="106" spans="1:31" ht="14.1" customHeight="1">
      <c r="A106" s="76">
        <v>106</v>
      </c>
      <c r="B106" s="496" t="s">
        <v>292</v>
      </c>
      <c r="C106" s="312" t="s">
        <v>293</v>
      </c>
      <c r="D106" s="345" t="s">
        <v>307</v>
      </c>
      <c r="E106" s="346">
        <v>7</v>
      </c>
      <c r="F106" s="72" t="s">
        <v>315</v>
      </c>
      <c r="G106" s="72" t="s">
        <v>87</v>
      </c>
      <c r="H106" s="72" t="s">
        <v>330</v>
      </c>
      <c r="I106" s="502">
        <v>27.65</v>
      </c>
      <c r="J106" s="347">
        <f t="shared" si="7"/>
        <v>52</v>
      </c>
      <c r="K106" s="260">
        <v>52</v>
      </c>
      <c r="L106" s="260"/>
      <c r="M106" s="260"/>
      <c r="N106" s="260"/>
      <c r="O106" s="260"/>
      <c r="P106" s="260"/>
      <c r="Q106" s="259" t="e">
        <f>IF(K106="nio",0,IF(K106&gt;0,K106*I106/W106,0))*VLOOKUP(B106,'2-Kosten per locatie'!$A$14:$C$28,3,FALSE)</f>
        <v>#DIV/0!</v>
      </c>
      <c r="R106" s="259">
        <f>IF(L106&gt;0,L106*I106/X106,0)*VLOOKUP(B106,'2-Kosten per locatie'!$A$14:$C$28,3,FALSE)</f>
        <v>0</v>
      </c>
      <c r="S106" s="259">
        <f>IF(M106&gt;0,M106*I106/Y106,0)*VLOOKUP(B106,'2-Kosten per locatie'!$A$14:$C$28,3,FALSE)</f>
        <v>0</v>
      </c>
      <c r="T106" s="259">
        <f>IF(N106&gt;0,N106*I106/Z106,0)*VLOOKUP(B106,'2-Kosten per locatie'!$A$14:$C$28,3,FALSE)</f>
        <v>0</v>
      </c>
      <c r="U106" s="259">
        <f>IF(O106&gt;0,O106*I106/Y106,0)*VLOOKUP(B106,'2-Kosten per locatie'!$A$14:$C$28,3,FALSE)</f>
        <v>0</v>
      </c>
      <c r="V106" s="259">
        <f>IF(P106&gt;0,P106*I106/Z106,0)*VLOOKUP(B106,'2-Kosten per locatie'!$A$14:$C$28,3,FALSE)</f>
        <v>0</v>
      </c>
      <c r="W106" s="348">
        <f>IF(K106="nio",0,IF(K106&gt;0,VLOOKUP(G106,'3-Productie normen'!A:N,VLOOKUP(K106,'3-Productie normen'!$B$27:$C$38,2,FALSE),FALSE)))</f>
        <v>0</v>
      </c>
      <c r="X106" s="348">
        <f t="shared" si="8"/>
        <v>0</v>
      </c>
      <c r="Y106" s="348">
        <f t="shared" si="9"/>
        <v>0</v>
      </c>
      <c r="Z106" s="348">
        <f t="shared" si="10"/>
        <v>0</v>
      </c>
      <c r="AA106" s="349">
        <f>VLOOKUP(G106,'3-Productie normen'!A:Q,15,FALSE)</f>
        <v>661.27599999999984</v>
      </c>
      <c r="AB106" s="350">
        <f>VLOOKUP(G106,'3-Productie normen'!A:Q,16,FALSE)</f>
        <v>0</v>
      </c>
      <c r="AC106" s="349"/>
      <c r="AE106" s="351">
        <f t="shared" si="6"/>
        <v>1437.8</v>
      </c>
    </row>
    <row r="107" spans="1:31" ht="14.1" customHeight="1">
      <c r="A107" s="76">
        <v>107</v>
      </c>
      <c r="B107" s="496" t="s">
        <v>292</v>
      </c>
      <c r="C107" s="312" t="s">
        <v>293</v>
      </c>
      <c r="D107" s="345" t="s">
        <v>307</v>
      </c>
      <c r="E107" s="346">
        <v>8</v>
      </c>
      <c r="F107" s="72" t="s">
        <v>315</v>
      </c>
      <c r="G107" s="72" t="s">
        <v>87</v>
      </c>
      <c r="H107" s="72" t="s">
        <v>311</v>
      </c>
      <c r="I107" s="502">
        <v>17</v>
      </c>
      <c r="J107" s="347">
        <f t="shared" si="7"/>
        <v>52</v>
      </c>
      <c r="K107" s="260">
        <v>52</v>
      </c>
      <c r="L107" s="260"/>
      <c r="M107" s="260"/>
      <c r="N107" s="260"/>
      <c r="O107" s="260"/>
      <c r="P107" s="260"/>
      <c r="Q107" s="259" t="e">
        <f>IF(K107="nio",0,IF(K107&gt;0,K107*I107/W107,0))*VLOOKUP(B107,'2-Kosten per locatie'!$A$14:$C$28,3,FALSE)</f>
        <v>#DIV/0!</v>
      </c>
      <c r="R107" s="259">
        <f>IF(L107&gt;0,L107*I107/X107,0)*VLOOKUP(B107,'2-Kosten per locatie'!$A$14:$C$28,3,FALSE)</f>
        <v>0</v>
      </c>
      <c r="S107" s="259">
        <f>IF(M107&gt;0,M107*I107/Y107,0)*VLOOKUP(B107,'2-Kosten per locatie'!$A$14:$C$28,3,FALSE)</f>
        <v>0</v>
      </c>
      <c r="T107" s="259">
        <f>IF(N107&gt;0,N107*I107/Z107,0)*VLOOKUP(B107,'2-Kosten per locatie'!$A$14:$C$28,3,FALSE)</f>
        <v>0</v>
      </c>
      <c r="U107" s="259">
        <f>IF(O107&gt;0,O107*I107/Y107,0)*VLOOKUP(B107,'2-Kosten per locatie'!$A$14:$C$28,3,FALSE)</f>
        <v>0</v>
      </c>
      <c r="V107" s="259">
        <f>IF(P107&gt;0,P107*I107/Z107,0)*VLOOKUP(B107,'2-Kosten per locatie'!$A$14:$C$28,3,FALSE)</f>
        <v>0</v>
      </c>
      <c r="W107" s="348">
        <f>IF(K107="nio",0,IF(K107&gt;0,VLOOKUP(G107,'3-Productie normen'!A:N,VLOOKUP(K107,'3-Productie normen'!$B$27:$C$38,2,FALSE),FALSE)))</f>
        <v>0</v>
      </c>
      <c r="X107" s="348">
        <f t="shared" si="8"/>
        <v>0</v>
      </c>
      <c r="Y107" s="348">
        <f t="shared" si="9"/>
        <v>0</v>
      </c>
      <c r="Z107" s="348">
        <f t="shared" si="10"/>
        <v>0</v>
      </c>
      <c r="AA107" s="349">
        <f>VLOOKUP(G107,'3-Productie normen'!A:Q,15,FALSE)</f>
        <v>661.27599999999984</v>
      </c>
      <c r="AB107" s="350">
        <f>VLOOKUP(G107,'3-Productie normen'!A:Q,16,FALSE)</f>
        <v>0</v>
      </c>
      <c r="AC107" s="349"/>
      <c r="AE107" s="351">
        <f t="shared" si="6"/>
        <v>884</v>
      </c>
    </row>
    <row r="108" spans="1:31" ht="14.1" customHeight="1">
      <c r="A108" s="76">
        <v>108</v>
      </c>
      <c r="B108" s="496" t="s">
        <v>292</v>
      </c>
      <c r="C108" s="312" t="s">
        <v>293</v>
      </c>
      <c r="D108" s="345" t="s">
        <v>307</v>
      </c>
      <c r="E108" s="346">
        <v>9</v>
      </c>
      <c r="F108" s="72" t="s">
        <v>358</v>
      </c>
      <c r="G108" s="72" t="s">
        <v>90</v>
      </c>
      <c r="H108" s="72" t="s">
        <v>348</v>
      </c>
      <c r="I108" s="502">
        <v>3.0840000000000001</v>
      </c>
      <c r="J108" s="347">
        <f t="shared" si="7"/>
        <v>258</v>
      </c>
      <c r="K108" s="260">
        <v>156</v>
      </c>
      <c r="L108" s="260"/>
      <c r="M108" s="260">
        <v>102</v>
      </c>
      <c r="N108" s="260"/>
      <c r="O108" s="260"/>
      <c r="P108" s="260"/>
      <c r="Q108" s="259" t="e">
        <f>IF(K108="nio",0,IF(K108&gt;0,K108*I108/W108,0))*VLOOKUP(B108,'2-Kosten per locatie'!$A$14:$C$28,3,FALSE)</f>
        <v>#DIV/0!</v>
      </c>
      <c r="R108" s="259">
        <f>IF(L108&gt;0,L108*I108/X108,0)*VLOOKUP(B108,'2-Kosten per locatie'!$A$14:$C$28,3,FALSE)</f>
        <v>0</v>
      </c>
      <c r="S108" s="259" t="e">
        <f>IF(M108&gt;0,M108*I108/Y108,0)*VLOOKUP(B108,'2-Kosten per locatie'!$A$14:$C$28,3,FALSE)</f>
        <v>#DIV/0!</v>
      </c>
      <c r="T108" s="259">
        <f>IF(N108&gt;0,N108*I108/Z108,0)*VLOOKUP(B108,'2-Kosten per locatie'!$A$14:$C$28,3,FALSE)</f>
        <v>0</v>
      </c>
      <c r="U108" s="259">
        <f>IF(O108&gt;0,O108*I108/Y108,0)*VLOOKUP(B108,'2-Kosten per locatie'!$A$14:$C$28,3,FALSE)</f>
        <v>0</v>
      </c>
      <c r="V108" s="259">
        <f>IF(P108&gt;0,P108*I108/Z108,0)*VLOOKUP(B108,'2-Kosten per locatie'!$A$14:$C$28,3,FALSE)</f>
        <v>0</v>
      </c>
      <c r="W108" s="348">
        <f>IF(K108="nio",0,IF(K108&gt;0,VLOOKUP(G108,'3-Productie normen'!A:N,VLOOKUP(K108,'3-Productie normen'!$B$27:$C$38,2,FALSE),FALSE)))</f>
        <v>0</v>
      </c>
      <c r="X108" s="348">
        <f t="shared" si="8"/>
        <v>0</v>
      </c>
      <c r="Y108" s="348">
        <f t="shared" si="9"/>
        <v>0</v>
      </c>
      <c r="Z108" s="348">
        <f t="shared" si="10"/>
        <v>0</v>
      </c>
      <c r="AA108" s="349">
        <f>VLOOKUP(G108,'3-Productie normen'!A:Q,15,FALSE)</f>
        <v>24.734000000000002</v>
      </c>
      <c r="AB108" s="350">
        <f>VLOOKUP(G108,'3-Productie normen'!A:Q,16,FALSE)</f>
        <v>0</v>
      </c>
      <c r="AC108" s="349"/>
      <c r="AE108" s="351">
        <f t="shared" si="6"/>
        <v>795.67200000000003</v>
      </c>
    </row>
    <row r="109" spans="1:31" ht="14.1" customHeight="1">
      <c r="A109" s="76">
        <v>109</v>
      </c>
      <c r="B109" s="496" t="s">
        <v>292</v>
      </c>
      <c r="C109" s="312" t="s">
        <v>293</v>
      </c>
      <c r="D109" s="345" t="s">
        <v>359</v>
      </c>
      <c r="E109" s="346">
        <v>10</v>
      </c>
      <c r="F109" s="72" t="s">
        <v>360</v>
      </c>
      <c r="G109" s="72" t="s">
        <v>83</v>
      </c>
      <c r="H109" s="72" t="s">
        <v>309</v>
      </c>
      <c r="I109" s="502">
        <v>82.634600000000006</v>
      </c>
      <c r="J109" s="347">
        <f t="shared" si="7"/>
        <v>258</v>
      </c>
      <c r="K109" s="260">
        <v>156</v>
      </c>
      <c r="L109" s="260"/>
      <c r="M109" s="260">
        <v>102</v>
      </c>
      <c r="N109" s="260"/>
      <c r="O109" s="260"/>
      <c r="P109" s="260"/>
      <c r="Q109" s="259" t="e">
        <f>IF(K109="nio",0,IF(K109&gt;0,K109*I109/W109,0))*VLOOKUP(B109,'2-Kosten per locatie'!$A$14:$C$28,3,FALSE)</f>
        <v>#DIV/0!</v>
      </c>
      <c r="R109" s="259">
        <f>IF(L109&gt;0,L109*I109/X109,0)*VLOOKUP(B109,'2-Kosten per locatie'!$A$14:$C$28,3,FALSE)</f>
        <v>0</v>
      </c>
      <c r="S109" s="259" t="e">
        <f>IF(M109&gt;0,M109*I109/Y109,0)*VLOOKUP(B109,'2-Kosten per locatie'!$A$14:$C$28,3,FALSE)</f>
        <v>#DIV/0!</v>
      </c>
      <c r="T109" s="259">
        <f>IF(N109&gt;0,N109*I109/Z109,0)*VLOOKUP(B109,'2-Kosten per locatie'!$A$14:$C$28,3,FALSE)</f>
        <v>0</v>
      </c>
      <c r="U109" s="259">
        <f>IF(O109&gt;0,O109*I109/Y109,0)*VLOOKUP(B109,'2-Kosten per locatie'!$A$14:$C$28,3,FALSE)</f>
        <v>0</v>
      </c>
      <c r="V109" s="259">
        <f>IF(P109&gt;0,P109*I109/Z109,0)*VLOOKUP(B109,'2-Kosten per locatie'!$A$14:$C$28,3,FALSE)</f>
        <v>0</v>
      </c>
      <c r="W109" s="348">
        <f>IF(K109="nio",0,IF(K109&gt;0,VLOOKUP(G109,'3-Productie normen'!A:N,VLOOKUP(K109,'3-Productie normen'!$B$27:$C$38,2,FALSE),FALSE)))</f>
        <v>0</v>
      </c>
      <c r="X109" s="348">
        <f t="shared" si="8"/>
        <v>0</v>
      </c>
      <c r="Y109" s="348">
        <f t="shared" si="9"/>
        <v>0</v>
      </c>
      <c r="Z109" s="348">
        <f t="shared" si="10"/>
        <v>0</v>
      </c>
      <c r="AA109" s="349">
        <f>VLOOKUP(G109,'3-Productie normen'!A:Q,15,FALSE)</f>
        <v>773.68459999999982</v>
      </c>
      <c r="AB109" s="350">
        <f>VLOOKUP(G109,'3-Productie normen'!A:Q,16,FALSE)</f>
        <v>0</v>
      </c>
      <c r="AC109" s="349"/>
      <c r="AE109" s="351">
        <f t="shared" si="6"/>
        <v>21319.7268</v>
      </c>
    </row>
    <row r="110" spans="1:31" ht="14.1" customHeight="1">
      <c r="A110" s="76">
        <v>110</v>
      </c>
      <c r="B110" s="496" t="s">
        <v>292</v>
      </c>
      <c r="C110" s="312" t="s">
        <v>293</v>
      </c>
      <c r="D110" s="345" t="s">
        <v>307</v>
      </c>
      <c r="E110" s="346">
        <v>11</v>
      </c>
      <c r="F110" s="72" t="s">
        <v>358</v>
      </c>
      <c r="G110" s="72" t="s">
        <v>90</v>
      </c>
      <c r="H110" s="72" t="s">
        <v>333</v>
      </c>
      <c r="I110" s="502">
        <v>8.7000000000000011</v>
      </c>
      <c r="J110" s="347">
        <f t="shared" si="7"/>
        <v>258</v>
      </c>
      <c r="K110" s="260">
        <v>156</v>
      </c>
      <c r="L110" s="260"/>
      <c r="M110" s="260">
        <v>102</v>
      </c>
      <c r="N110" s="260"/>
      <c r="O110" s="260"/>
      <c r="P110" s="260"/>
      <c r="Q110" s="259" t="e">
        <f>IF(K110="nio",0,IF(K110&gt;0,K110*I110/W110,0))*VLOOKUP(B110,'2-Kosten per locatie'!$A$14:$C$28,3,FALSE)</f>
        <v>#DIV/0!</v>
      </c>
      <c r="R110" s="259">
        <f>IF(L110&gt;0,L110*I110/X110,0)*VLOOKUP(B110,'2-Kosten per locatie'!$A$14:$C$28,3,FALSE)</f>
        <v>0</v>
      </c>
      <c r="S110" s="259" t="e">
        <f>IF(M110&gt;0,M110*I110/Y110,0)*VLOOKUP(B110,'2-Kosten per locatie'!$A$14:$C$28,3,FALSE)</f>
        <v>#DIV/0!</v>
      </c>
      <c r="T110" s="259">
        <f>IF(N110&gt;0,N110*I110/Z110,0)*VLOOKUP(B110,'2-Kosten per locatie'!$A$14:$C$28,3,FALSE)</f>
        <v>0</v>
      </c>
      <c r="U110" s="259">
        <f>IF(O110&gt;0,O110*I110/Y110,0)*VLOOKUP(B110,'2-Kosten per locatie'!$A$14:$C$28,3,FALSE)</f>
        <v>0</v>
      </c>
      <c r="V110" s="259">
        <f>IF(P110&gt;0,P110*I110/Z110,0)*VLOOKUP(B110,'2-Kosten per locatie'!$A$14:$C$28,3,FALSE)</f>
        <v>0</v>
      </c>
      <c r="W110" s="348">
        <f>IF(K110="nio",0,IF(K110&gt;0,VLOOKUP(G110,'3-Productie normen'!A:N,VLOOKUP(K110,'3-Productie normen'!$B$27:$C$38,2,FALSE),FALSE)))</f>
        <v>0</v>
      </c>
      <c r="X110" s="348">
        <f t="shared" si="8"/>
        <v>0</v>
      </c>
      <c r="Y110" s="348">
        <f t="shared" si="9"/>
        <v>0</v>
      </c>
      <c r="Z110" s="348">
        <f t="shared" si="10"/>
        <v>0</v>
      </c>
      <c r="AA110" s="349">
        <f>VLOOKUP(G110,'3-Productie normen'!A:Q,15,FALSE)</f>
        <v>24.734000000000002</v>
      </c>
      <c r="AB110" s="350">
        <f>VLOOKUP(G110,'3-Productie normen'!A:Q,16,FALSE)</f>
        <v>0</v>
      </c>
      <c r="AC110" s="349"/>
      <c r="AE110" s="351">
        <f t="shared" si="6"/>
        <v>2244.6000000000004</v>
      </c>
    </row>
    <row r="111" spans="1:31" ht="14.1" customHeight="1">
      <c r="A111" s="76">
        <v>111</v>
      </c>
      <c r="B111" s="496" t="s">
        <v>292</v>
      </c>
      <c r="C111" s="312" t="s">
        <v>293</v>
      </c>
      <c r="D111" s="345" t="s">
        <v>307</v>
      </c>
      <c r="E111" s="346">
        <v>12</v>
      </c>
      <c r="F111" s="72" t="s">
        <v>312</v>
      </c>
      <c r="G111" s="72" t="s">
        <v>83</v>
      </c>
      <c r="H111" s="72" t="s">
        <v>311</v>
      </c>
      <c r="I111" s="502">
        <v>15.96</v>
      </c>
      <c r="J111" s="347">
        <f t="shared" si="7"/>
        <v>357</v>
      </c>
      <c r="K111" s="260">
        <v>255</v>
      </c>
      <c r="L111" s="260"/>
      <c r="M111" s="260">
        <v>102</v>
      </c>
      <c r="N111" s="260"/>
      <c r="O111" s="260"/>
      <c r="P111" s="260"/>
      <c r="Q111" s="259" t="e">
        <f>IF(K111="nio",0,IF(K111&gt;0,K111*I111/W111,0))*VLOOKUP(B111,'2-Kosten per locatie'!$A$14:$C$28,3,FALSE)</f>
        <v>#DIV/0!</v>
      </c>
      <c r="R111" s="259">
        <f>IF(L111&gt;0,L111*I111/X111,0)*VLOOKUP(B111,'2-Kosten per locatie'!$A$14:$C$28,3,FALSE)</f>
        <v>0</v>
      </c>
      <c r="S111" s="259" t="e">
        <f>IF(M111&gt;0,M111*I111/Y111,0)*VLOOKUP(B111,'2-Kosten per locatie'!$A$14:$C$28,3,FALSE)</f>
        <v>#DIV/0!</v>
      </c>
      <c r="T111" s="259">
        <f>IF(N111&gt;0,N111*I111/Z111,0)*VLOOKUP(B111,'2-Kosten per locatie'!$A$14:$C$28,3,FALSE)</f>
        <v>0</v>
      </c>
      <c r="U111" s="259">
        <f>IF(O111&gt;0,O111*I111/Y111,0)*VLOOKUP(B111,'2-Kosten per locatie'!$A$14:$C$28,3,FALSE)</f>
        <v>0</v>
      </c>
      <c r="V111" s="259">
        <f>IF(P111&gt;0,P111*I111/Z111,0)*VLOOKUP(B111,'2-Kosten per locatie'!$A$14:$C$28,3,FALSE)</f>
        <v>0</v>
      </c>
      <c r="W111" s="348">
        <f>IF(K111="nio",0,IF(K111&gt;0,VLOOKUP(G111,'3-Productie normen'!A:N,VLOOKUP(K111,'3-Productie normen'!$B$27:$C$38,2,FALSE),FALSE)))</f>
        <v>0</v>
      </c>
      <c r="X111" s="348">
        <f t="shared" si="8"/>
        <v>0</v>
      </c>
      <c r="Y111" s="348">
        <f t="shared" si="9"/>
        <v>0</v>
      </c>
      <c r="Z111" s="348">
        <f t="shared" si="10"/>
        <v>0</v>
      </c>
      <c r="AA111" s="349">
        <f>VLOOKUP(G111,'3-Productie normen'!A:Q,15,FALSE)</f>
        <v>773.68459999999982</v>
      </c>
      <c r="AB111" s="350">
        <f>VLOOKUP(G111,'3-Productie normen'!A:Q,16,FALSE)</f>
        <v>0</v>
      </c>
      <c r="AC111" s="349"/>
      <c r="AE111" s="351">
        <f t="shared" si="6"/>
        <v>5697.72</v>
      </c>
    </row>
    <row r="112" spans="1:31" ht="14.1" customHeight="1">
      <c r="A112" s="76">
        <v>112</v>
      </c>
      <c r="B112" s="496" t="s">
        <v>292</v>
      </c>
      <c r="C112" s="312" t="s">
        <v>293</v>
      </c>
      <c r="D112" s="345" t="s">
        <v>307</v>
      </c>
      <c r="E112" s="346">
        <v>13</v>
      </c>
      <c r="F112" s="72" t="s">
        <v>361</v>
      </c>
      <c r="G112" s="72" t="s">
        <v>85</v>
      </c>
      <c r="H112" s="72" t="s">
        <v>311</v>
      </c>
      <c r="I112" s="502">
        <v>17.64</v>
      </c>
      <c r="J112" s="347">
        <f t="shared" si="7"/>
        <v>357</v>
      </c>
      <c r="K112" s="260">
        <v>255</v>
      </c>
      <c r="L112" s="260"/>
      <c r="M112" s="260">
        <v>102</v>
      </c>
      <c r="N112" s="260"/>
      <c r="O112" s="260"/>
      <c r="P112" s="260"/>
      <c r="Q112" s="259" t="e">
        <f>IF(K112="nio",0,IF(K112&gt;0,K112*I112/W112,0))*VLOOKUP(B112,'2-Kosten per locatie'!$A$14:$C$28,3,FALSE)</f>
        <v>#DIV/0!</v>
      </c>
      <c r="R112" s="259">
        <f>IF(L112&gt;0,L112*I112/X112,0)*VLOOKUP(B112,'2-Kosten per locatie'!$A$14:$C$28,3,FALSE)</f>
        <v>0</v>
      </c>
      <c r="S112" s="259" t="e">
        <f>IF(M112&gt;0,M112*I112/Y112,0)*VLOOKUP(B112,'2-Kosten per locatie'!$A$14:$C$28,3,FALSE)</f>
        <v>#DIV/0!</v>
      </c>
      <c r="T112" s="259">
        <f>IF(N112&gt;0,N112*I112/Z112,0)*VLOOKUP(B112,'2-Kosten per locatie'!$A$14:$C$28,3,FALSE)</f>
        <v>0</v>
      </c>
      <c r="U112" s="259">
        <f>IF(O112&gt;0,O112*I112/Y112,0)*VLOOKUP(B112,'2-Kosten per locatie'!$A$14:$C$28,3,FALSE)</f>
        <v>0</v>
      </c>
      <c r="V112" s="259">
        <f>IF(P112&gt;0,P112*I112/Z112,0)*VLOOKUP(B112,'2-Kosten per locatie'!$A$14:$C$28,3,FALSE)</f>
        <v>0</v>
      </c>
      <c r="W112" s="348">
        <f>IF(K112="nio",0,IF(K112&gt;0,VLOOKUP(G112,'3-Productie normen'!A:N,VLOOKUP(K112,'3-Productie normen'!$B$27:$C$38,2,FALSE),FALSE)))</f>
        <v>0</v>
      </c>
      <c r="X112" s="348">
        <f t="shared" si="8"/>
        <v>0</v>
      </c>
      <c r="Y112" s="348">
        <f t="shared" si="9"/>
        <v>0</v>
      </c>
      <c r="Z112" s="348">
        <f t="shared" si="10"/>
        <v>0</v>
      </c>
      <c r="AA112" s="349">
        <f>VLOOKUP(G112,'3-Productie normen'!A:Q,15,FALSE)</f>
        <v>1367.5950000000007</v>
      </c>
      <c r="AB112" s="350">
        <f>VLOOKUP(G112,'3-Productie normen'!A:Q,16,FALSE)</f>
        <v>0</v>
      </c>
      <c r="AC112" s="349"/>
      <c r="AE112" s="351">
        <f t="shared" si="6"/>
        <v>6297.4800000000005</v>
      </c>
    </row>
    <row r="113" spans="1:31" ht="14.1" customHeight="1">
      <c r="A113" s="76">
        <v>113</v>
      </c>
      <c r="B113" s="496" t="s">
        <v>292</v>
      </c>
      <c r="C113" s="312" t="s">
        <v>293</v>
      </c>
      <c r="D113" s="345" t="s">
        <v>307</v>
      </c>
      <c r="E113" s="346">
        <v>14</v>
      </c>
      <c r="F113" s="72" t="s">
        <v>362</v>
      </c>
      <c r="G113" s="72" t="s">
        <v>81</v>
      </c>
      <c r="H113" s="72" t="s">
        <v>311</v>
      </c>
      <c r="I113" s="502">
        <v>1.25</v>
      </c>
      <c r="J113" s="347">
        <f t="shared" si="7"/>
        <v>357</v>
      </c>
      <c r="K113" s="260">
        <v>255</v>
      </c>
      <c r="L113" s="260"/>
      <c r="M113" s="260">
        <v>102</v>
      </c>
      <c r="N113" s="260"/>
      <c r="O113" s="260"/>
      <c r="P113" s="260"/>
      <c r="Q113" s="259" t="e">
        <f>IF(K113="nio",0,IF(K113&gt;0,K113*I113/W113,0))*VLOOKUP(B113,'2-Kosten per locatie'!$A$14:$C$28,3,FALSE)</f>
        <v>#DIV/0!</v>
      </c>
      <c r="R113" s="259">
        <f>IF(L113&gt;0,L113*I113/X113,0)*VLOOKUP(B113,'2-Kosten per locatie'!$A$14:$C$28,3,FALSE)</f>
        <v>0</v>
      </c>
      <c r="S113" s="259" t="e">
        <f>IF(M113&gt;0,M113*I113/Y113,0)*VLOOKUP(B113,'2-Kosten per locatie'!$A$14:$C$28,3,FALSE)</f>
        <v>#DIV/0!</v>
      </c>
      <c r="T113" s="259">
        <f>IF(N113&gt;0,N113*I113/Z113,0)*VLOOKUP(B113,'2-Kosten per locatie'!$A$14:$C$28,3,FALSE)</f>
        <v>0</v>
      </c>
      <c r="U113" s="259">
        <f>IF(O113&gt;0,O113*I113/Y113,0)*VLOOKUP(B113,'2-Kosten per locatie'!$A$14:$C$28,3,FALSE)</f>
        <v>0</v>
      </c>
      <c r="V113" s="259">
        <f>IF(P113&gt;0,P113*I113/Z113,0)*VLOOKUP(B113,'2-Kosten per locatie'!$A$14:$C$28,3,FALSE)</f>
        <v>0</v>
      </c>
      <c r="W113" s="348">
        <f>IF(K113="nio",0,IF(K113&gt;0,VLOOKUP(G113,'3-Productie normen'!A:N,VLOOKUP(K113,'3-Productie normen'!$B$27:$C$38,2,FALSE),FALSE)))</f>
        <v>0</v>
      </c>
      <c r="X113" s="348">
        <f t="shared" si="8"/>
        <v>0</v>
      </c>
      <c r="Y113" s="348">
        <f t="shared" si="9"/>
        <v>0</v>
      </c>
      <c r="Z113" s="348">
        <f t="shared" si="10"/>
        <v>0</v>
      </c>
      <c r="AA113" s="349">
        <f>VLOOKUP(G113,'3-Productie normen'!A:Q,15,FALSE)</f>
        <v>235.06999999999988</v>
      </c>
      <c r="AB113" s="350">
        <f>VLOOKUP(G113,'3-Productie normen'!A:Q,16,FALSE)</f>
        <v>0</v>
      </c>
      <c r="AC113" s="349"/>
      <c r="AE113" s="351">
        <f t="shared" si="6"/>
        <v>446.25</v>
      </c>
    </row>
    <row r="114" spans="1:31" ht="14.1" customHeight="1">
      <c r="A114" s="76">
        <v>114</v>
      </c>
      <c r="B114" s="496" t="s">
        <v>292</v>
      </c>
      <c r="C114" s="312" t="s">
        <v>293</v>
      </c>
      <c r="D114" s="345" t="s">
        <v>307</v>
      </c>
      <c r="E114" s="346">
        <v>15</v>
      </c>
      <c r="F114" s="72" t="s">
        <v>363</v>
      </c>
      <c r="G114" s="72" t="s">
        <v>341</v>
      </c>
      <c r="H114" s="72" t="s">
        <v>311</v>
      </c>
      <c r="I114" s="502">
        <v>4.6500000000000004</v>
      </c>
      <c r="J114" s="347">
        <f t="shared" si="7"/>
        <v>357</v>
      </c>
      <c r="K114" s="260">
        <v>255</v>
      </c>
      <c r="L114" s="260"/>
      <c r="M114" s="260">
        <v>102</v>
      </c>
      <c r="N114" s="260"/>
      <c r="O114" s="260"/>
      <c r="P114" s="260"/>
      <c r="Q114" s="259" t="e">
        <f>IF(K114="nio",0,IF(K114&gt;0,K114*I114/W114,0))*VLOOKUP(B114,'2-Kosten per locatie'!$A$14:$C$28,3,FALSE)</f>
        <v>#DIV/0!</v>
      </c>
      <c r="R114" s="259">
        <f>IF(L114&gt;0,L114*I114/X114,0)*VLOOKUP(B114,'2-Kosten per locatie'!$A$14:$C$28,3,FALSE)</f>
        <v>0</v>
      </c>
      <c r="S114" s="259" t="e">
        <f>IF(M114&gt;0,M114*I114/Y114,0)*VLOOKUP(B114,'2-Kosten per locatie'!$A$14:$C$28,3,FALSE)</f>
        <v>#DIV/0!</v>
      </c>
      <c r="T114" s="259">
        <f>IF(N114&gt;0,N114*I114/Z114,0)*VLOOKUP(B114,'2-Kosten per locatie'!$A$14:$C$28,3,FALSE)</f>
        <v>0</v>
      </c>
      <c r="U114" s="259">
        <f>IF(O114&gt;0,O114*I114/Y114,0)*VLOOKUP(B114,'2-Kosten per locatie'!$A$14:$C$28,3,FALSE)</f>
        <v>0</v>
      </c>
      <c r="V114" s="259">
        <f>IF(P114&gt;0,P114*I114/Z114,0)*VLOOKUP(B114,'2-Kosten per locatie'!$A$14:$C$28,3,FALSE)</f>
        <v>0</v>
      </c>
      <c r="W114" s="348">
        <f>IF(K114="nio",0,IF(K114&gt;0,VLOOKUP(G114,'3-Productie normen'!A:N,VLOOKUP(K114,'3-Productie normen'!$B$27:$C$38,2,FALSE),FALSE)))</f>
        <v>0</v>
      </c>
      <c r="X114" s="348">
        <f t="shared" si="8"/>
        <v>0</v>
      </c>
      <c r="Y114" s="348">
        <f t="shared" si="9"/>
        <v>0</v>
      </c>
      <c r="Z114" s="348">
        <f t="shared" si="10"/>
        <v>0</v>
      </c>
      <c r="AA114" s="349">
        <f>VLOOKUP(G114,'3-Productie normen'!A:Q,15,FALSE)</f>
        <v>452.79000000000019</v>
      </c>
      <c r="AB114" s="350">
        <f>VLOOKUP(G114,'3-Productie normen'!A:Q,16,FALSE)</f>
        <v>0</v>
      </c>
      <c r="AC114" s="349"/>
      <c r="AE114" s="351">
        <f t="shared" si="6"/>
        <v>1660.0500000000002</v>
      </c>
    </row>
    <row r="115" spans="1:31" ht="14.1" customHeight="1">
      <c r="A115" s="76">
        <v>115</v>
      </c>
      <c r="B115" s="496" t="s">
        <v>292</v>
      </c>
      <c r="C115" s="312" t="s">
        <v>293</v>
      </c>
      <c r="D115" s="345" t="s">
        <v>307</v>
      </c>
      <c r="E115" s="346">
        <v>16</v>
      </c>
      <c r="F115" s="72" t="s">
        <v>364</v>
      </c>
      <c r="G115" s="72" t="s">
        <v>85</v>
      </c>
      <c r="H115" s="72" t="s">
        <v>311</v>
      </c>
      <c r="I115" s="502">
        <v>17.64</v>
      </c>
      <c r="J115" s="347">
        <f t="shared" si="7"/>
        <v>357</v>
      </c>
      <c r="K115" s="260">
        <v>255</v>
      </c>
      <c r="L115" s="260"/>
      <c r="M115" s="260">
        <v>102</v>
      </c>
      <c r="N115" s="260"/>
      <c r="O115" s="260"/>
      <c r="P115" s="260"/>
      <c r="Q115" s="259" t="e">
        <f>IF(K115="nio",0,IF(K115&gt;0,K115*I115/W115,0))*VLOOKUP(B115,'2-Kosten per locatie'!$A$14:$C$28,3,FALSE)</f>
        <v>#DIV/0!</v>
      </c>
      <c r="R115" s="259">
        <f>IF(L115&gt;0,L115*I115/X115,0)*VLOOKUP(B115,'2-Kosten per locatie'!$A$14:$C$28,3,FALSE)</f>
        <v>0</v>
      </c>
      <c r="S115" s="259" t="e">
        <f>IF(M115&gt;0,M115*I115/Y115,0)*VLOOKUP(B115,'2-Kosten per locatie'!$A$14:$C$28,3,FALSE)</f>
        <v>#DIV/0!</v>
      </c>
      <c r="T115" s="259">
        <f>IF(N115&gt;0,N115*I115/Z115,0)*VLOOKUP(B115,'2-Kosten per locatie'!$A$14:$C$28,3,FALSE)</f>
        <v>0</v>
      </c>
      <c r="U115" s="259">
        <f>IF(O115&gt;0,O115*I115/Y115,0)*VLOOKUP(B115,'2-Kosten per locatie'!$A$14:$C$28,3,FALSE)</f>
        <v>0</v>
      </c>
      <c r="V115" s="259">
        <f>IF(P115&gt;0,P115*I115/Z115,0)*VLOOKUP(B115,'2-Kosten per locatie'!$A$14:$C$28,3,FALSE)</f>
        <v>0</v>
      </c>
      <c r="W115" s="348">
        <f>IF(K115="nio",0,IF(K115&gt;0,VLOOKUP(G115,'3-Productie normen'!A:N,VLOOKUP(K115,'3-Productie normen'!$B$27:$C$38,2,FALSE),FALSE)))</f>
        <v>0</v>
      </c>
      <c r="X115" s="348">
        <f t="shared" si="8"/>
        <v>0</v>
      </c>
      <c r="Y115" s="348">
        <f t="shared" si="9"/>
        <v>0</v>
      </c>
      <c r="Z115" s="348">
        <f t="shared" si="10"/>
        <v>0</v>
      </c>
      <c r="AA115" s="349">
        <f>VLOOKUP(G115,'3-Productie normen'!A:Q,15,FALSE)</f>
        <v>1367.5950000000007</v>
      </c>
      <c r="AB115" s="350">
        <f>VLOOKUP(G115,'3-Productie normen'!A:Q,16,FALSE)</f>
        <v>0</v>
      </c>
      <c r="AC115" s="349"/>
      <c r="AE115" s="351">
        <f t="shared" si="6"/>
        <v>6297.4800000000005</v>
      </c>
    </row>
    <row r="116" spans="1:31" ht="14.1" customHeight="1">
      <c r="A116" s="76">
        <v>116</v>
      </c>
      <c r="B116" s="496" t="s">
        <v>292</v>
      </c>
      <c r="C116" s="312" t="s">
        <v>293</v>
      </c>
      <c r="D116" s="345" t="s">
        <v>307</v>
      </c>
      <c r="E116" s="346">
        <v>17</v>
      </c>
      <c r="F116" s="72" t="s">
        <v>365</v>
      </c>
      <c r="G116" s="72" t="s">
        <v>81</v>
      </c>
      <c r="H116" s="72" t="s">
        <v>311</v>
      </c>
      <c r="I116" s="502">
        <v>1.25</v>
      </c>
      <c r="J116" s="347">
        <f t="shared" si="7"/>
        <v>357</v>
      </c>
      <c r="K116" s="260">
        <v>255</v>
      </c>
      <c r="L116" s="260"/>
      <c r="M116" s="260">
        <v>102</v>
      </c>
      <c r="N116" s="260"/>
      <c r="O116" s="260"/>
      <c r="P116" s="260"/>
      <c r="Q116" s="259" t="e">
        <f>IF(K116="nio",0,IF(K116&gt;0,K116*I116/W116,0))*VLOOKUP(B116,'2-Kosten per locatie'!$A$14:$C$28,3,FALSE)</f>
        <v>#DIV/0!</v>
      </c>
      <c r="R116" s="259">
        <f>IF(L116&gt;0,L116*I116/X116,0)*VLOOKUP(B116,'2-Kosten per locatie'!$A$14:$C$28,3,FALSE)</f>
        <v>0</v>
      </c>
      <c r="S116" s="259" t="e">
        <f>IF(M116&gt;0,M116*I116/Y116,0)*VLOOKUP(B116,'2-Kosten per locatie'!$A$14:$C$28,3,FALSE)</f>
        <v>#DIV/0!</v>
      </c>
      <c r="T116" s="259">
        <f>IF(N116&gt;0,N116*I116/Z116,0)*VLOOKUP(B116,'2-Kosten per locatie'!$A$14:$C$28,3,FALSE)</f>
        <v>0</v>
      </c>
      <c r="U116" s="259">
        <f>IF(O116&gt;0,O116*I116/Y116,0)*VLOOKUP(B116,'2-Kosten per locatie'!$A$14:$C$28,3,FALSE)</f>
        <v>0</v>
      </c>
      <c r="V116" s="259">
        <f>IF(P116&gt;0,P116*I116/Z116,0)*VLOOKUP(B116,'2-Kosten per locatie'!$A$14:$C$28,3,FALSE)</f>
        <v>0</v>
      </c>
      <c r="W116" s="348">
        <f>IF(K116="nio",0,IF(K116&gt;0,VLOOKUP(G116,'3-Productie normen'!A:N,VLOOKUP(K116,'3-Productie normen'!$B$27:$C$38,2,FALSE),FALSE)))</f>
        <v>0</v>
      </c>
      <c r="X116" s="348">
        <f t="shared" si="8"/>
        <v>0</v>
      </c>
      <c r="Y116" s="348">
        <f t="shared" si="9"/>
        <v>0</v>
      </c>
      <c r="Z116" s="348">
        <f t="shared" si="10"/>
        <v>0</v>
      </c>
      <c r="AA116" s="349">
        <f>VLOOKUP(G116,'3-Productie normen'!A:Q,15,FALSE)</f>
        <v>235.06999999999988</v>
      </c>
      <c r="AB116" s="350">
        <f>VLOOKUP(G116,'3-Productie normen'!A:Q,16,FALSE)</f>
        <v>0</v>
      </c>
      <c r="AC116" s="349"/>
      <c r="AE116" s="351">
        <f t="shared" si="6"/>
        <v>446.25</v>
      </c>
    </row>
    <row r="117" spans="1:31" ht="14.1" customHeight="1">
      <c r="A117" s="76">
        <v>117</v>
      </c>
      <c r="B117" s="496" t="s">
        <v>292</v>
      </c>
      <c r="C117" s="312" t="s">
        <v>293</v>
      </c>
      <c r="D117" s="345" t="s">
        <v>307</v>
      </c>
      <c r="E117" s="346">
        <v>18</v>
      </c>
      <c r="F117" s="72" t="s">
        <v>366</v>
      </c>
      <c r="G117" s="72" t="s">
        <v>341</v>
      </c>
      <c r="H117" s="72" t="s">
        <v>311</v>
      </c>
      <c r="I117" s="502">
        <v>4.6500000000000004</v>
      </c>
      <c r="J117" s="347">
        <f t="shared" si="7"/>
        <v>357</v>
      </c>
      <c r="K117" s="260">
        <v>255</v>
      </c>
      <c r="L117" s="260"/>
      <c r="M117" s="260">
        <v>102</v>
      </c>
      <c r="N117" s="260"/>
      <c r="O117" s="260"/>
      <c r="P117" s="260"/>
      <c r="Q117" s="259" t="e">
        <f>IF(K117="nio",0,IF(K117&gt;0,K117*I117/W117,0))*VLOOKUP(B117,'2-Kosten per locatie'!$A$14:$C$28,3,FALSE)</f>
        <v>#DIV/0!</v>
      </c>
      <c r="R117" s="259">
        <f>IF(L117&gt;0,L117*I117/X117,0)*VLOOKUP(B117,'2-Kosten per locatie'!$A$14:$C$28,3,FALSE)</f>
        <v>0</v>
      </c>
      <c r="S117" s="259" t="e">
        <f>IF(M117&gt;0,M117*I117/Y117,0)*VLOOKUP(B117,'2-Kosten per locatie'!$A$14:$C$28,3,FALSE)</f>
        <v>#DIV/0!</v>
      </c>
      <c r="T117" s="259">
        <f>IF(N117&gt;0,N117*I117/Z117,0)*VLOOKUP(B117,'2-Kosten per locatie'!$A$14:$C$28,3,FALSE)</f>
        <v>0</v>
      </c>
      <c r="U117" s="259">
        <f>IF(O117&gt;0,O117*I117/Y117,0)*VLOOKUP(B117,'2-Kosten per locatie'!$A$14:$C$28,3,FALSE)</f>
        <v>0</v>
      </c>
      <c r="V117" s="259">
        <f>IF(P117&gt;0,P117*I117/Z117,0)*VLOOKUP(B117,'2-Kosten per locatie'!$A$14:$C$28,3,FALSE)</f>
        <v>0</v>
      </c>
      <c r="W117" s="348">
        <f>IF(K117="nio",0,IF(K117&gt;0,VLOOKUP(G117,'3-Productie normen'!A:N,VLOOKUP(K117,'3-Productie normen'!$B$27:$C$38,2,FALSE),FALSE)))</f>
        <v>0</v>
      </c>
      <c r="X117" s="348">
        <f t="shared" si="8"/>
        <v>0</v>
      </c>
      <c r="Y117" s="348">
        <f t="shared" si="9"/>
        <v>0</v>
      </c>
      <c r="Z117" s="348">
        <f t="shared" si="10"/>
        <v>0</v>
      </c>
      <c r="AA117" s="349">
        <f>VLOOKUP(G117,'3-Productie normen'!A:Q,15,FALSE)</f>
        <v>452.79000000000019</v>
      </c>
      <c r="AB117" s="350">
        <f>VLOOKUP(G117,'3-Productie normen'!A:Q,16,FALSE)</f>
        <v>0</v>
      </c>
      <c r="AC117" s="349"/>
      <c r="AE117" s="351">
        <f t="shared" si="6"/>
        <v>1660.0500000000002</v>
      </c>
    </row>
    <row r="118" spans="1:31" ht="14.1" customHeight="1">
      <c r="A118" s="76">
        <v>118</v>
      </c>
      <c r="B118" s="496" t="s">
        <v>292</v>
      </c>
      <c r="C118" s="312" t="s">
        <v>293</v>
      </c>
      <c r="D118" s="345" t="s">
        <v>307</v>
      </c>
      <c r="E118" s="346">
        <v>19</v>
      </c>
      <c r="F118" s="72" t="s">
        <v>367</v>
      </c>
      <c r="G118" s="72" t="s">
        <v>85</v>
      </c>
      <c r="H118" s="72" t="s">
        <v>311</v>
      </c>
      <c r="I118" s="503">
        <v>17.64</v>
      </c>
      <c r="J118" s="347">
        <f t="shared" si="7"/>
        <v>357</v>
      </c>
      <c r="K118" s="260">
        <v>255</v>
      </c>
      <c r="L118" s="260"/>
      <c r="M118" s="260">
        <v>102</v>
      </c>
      <c r="N118" s="260"/>
      <c r="O118" s="260"/>
      <c r="P118" s="260"/>
      <c r="Q118" s="259" t="e">
        <f>IF(K118="nio",0,IF(K118&gt;0,K118*I118/W118,0))*VLOOKUP(B118,'2-Kosten per locatie'!$A$14:$C$28,3,FALSE)</f>
        <v>#DIV/0!</v>
      </c>
      <c r="R118" s="259">
        <f>IF(L118&gt;0,L118*I118/X118,0)*VLOOKUP(B118,'2-Kosten per locatie'!$A$14:$C$28,3,FALSE)</f>
        <v>0</v>
      </c>
      <c r="S118" s="259" t="e">
        <f>IF(M118&gt;0,M118*I118/Y118,0)*VLOOKUP(B118,'2-Kosten per locatie'!$A$14:$C$28,3,FALSE)</f>
        <v>#DIV/0!</v>
      </c>
      <c r="T118" s="259">
        <f>IF(N118&gt;0,N118*I118/Z118,0)*VLOOKUP(B118,'2-Kosten per locatie'!$A$14:$C$28,3,FALSE)</f>
        <v>0</v>
      </c>
      <c r="U118" s="259">
        <f>IF(O118&gt;0,O118*I118/Y118,0)*VLOOKUP(B118,'2-Kosten per locatie'!$A$14:$C$28,3,FALSE)</f>
        <v>0</v>
      </c>
      <c r="V118" s="259">
        <f>IF(P118&gt;0,P118*I118/Z118,0)*VLOOKUP(B118,'2-Kosten per locatie'!$A$14:$C$28,3,FALSE)</f>
        <v>0</v>
      </c>
      <c r="W118" s="348">
        <f>IF(K118="nio",0,IF(K118&gt;0,VLOOKUP(G118,'3-Productie normen'!A:N,VLOOKUP(K118,'3-Productie normen'!$B$27:$C$38,2,FALSE),FALSE)))</f>
        <v>0</v>
      </c>
      <c r="X118" s="348">
        <f t="shared" si="8"/>
        <v>0</v>
      </c>
      <c r="Y118" s="348">
        <f t="shared" si="9"/>
        <v>0</v>
      </c>
      <c r="Z118" s="348">
        <f t="shared" si="10"/>
        <v>0</v>
      </c>
      <c r="AA118" s="349">
        <f>VLOOKUP(G118,'3-Productie normen'!A:Q,15,FALSE)</f>
        <v>1367.5950000000007</v>
      </c>
      <c r="AB118" s="350">
        <f>VLOOKUP(G118,'3-Productie normen'!A:Q,16,FALSE)</f>
        <v>0</v>
      </c>
      <c r="AC118" s="349"/>
      <c r="AE118" s="351">
        <f t="shared" si="6"/>
        <v>6297.4800000000005</v>
      </c>
    </row>
    <row r="119" spans="1:31" ht="14.1" customHeight="1">
      <c r="A119" s="76">
        <v>119</v>
      </c>
      <c r="B119" s="496" t="s">
        <v>292</v>
      </c>
      <c r="C119" s="312" t="s">
        <v>293</v>
      </c>
      <c r="D119" s="87" t="s">
        <v>307</v>
      </c>
      <c r="E119" s="254">
        <v>20</v>
      </c>
      <c r="F119" s="86" t="s">
        <v>368</v>
      </c>
      <c r="G119" s="86" t="s">
        <v>81</v>
      </c>
      <c r="H119" s="86" t="s">
        <v>311</v>
      </c>
      <c r="I119" s="502">
        <v>1.25</v>
      </c>
      <c r="J119" s="347">
        <f t="shared" si="7"/>
        <v>357</v>
      </c>
      <c r="K119" s="260">
        <v>255</v>
      </c>
      <c r="L119" s="260"/>
      <c r="M119" s="260">
        <v>102</v>
      </c>
      <c r="N119" s="260"/>
      <c r="O119" s="260"/>
      <c r="P119" s="260"/>
      <c r="Q119" s="259" t="e">
        <f>IF(K119="nio",0,IF(K119&gt;0,K119*I119/W119,0))*VLOOKUP(B119,'2-Kosten per locatie'!$A$14:$C$28,3,FALSE)</f>
        <v>#DIV/0!</v>
      </c>
      <c r="R119" s="259">
        <f>IF(L119&gt;0,L119*I119/X119,0)*VLOOKUP(B119,'2-Kosten per locatie'!$A$14:$C$28,3,FALSE)</f>
        <v>0</v>
      </c>
      <c r="S119" s="259" t="e">
        <f>IF(M119&gt;0,M119*I119/Y119,0)*VLOOKUP(B119,'2-Kosten per locatie'!$A$14:$C$28,3,FALSE)</f>
        <v>#DIV/0!</v>
      </c>
      <c r="T119" s="259">
        <f>IF(N119&gt;0,N119*I119/Z119,0)*VLOOKUP(B119,'2-Kosten per locatie'!$A$14:$C$28,3,FALSE)</f>
        <v>0</v>
      </c>
      <c r="U119" s="259">
        <f>IF(O119&gt;0,O119*I119/Y119,0)*VLOOKUP(B119,'2-Kosten per locatie'!$A$14:$C$28,3,FALSE)</f>
        <v>0</v>
      </c>
      <c r="V119" s="259">
        <f>IF(P119&gt;0,P119*I119/Z119,0)*VLOOKUP(B119,'2-Kosten per locatie'!$A$14:$C$28,3,FALSE)</f>
        <v>0</v>
      </c>
      <c r="W119" s="348">
        <f>IF(K119="nio",0,IF(K119&gt;0,VLOOKUP(G119,'3-Productie normen'!A:N,VLOOKUP(K119,'3-Productie normen'!$B$27:$C$38,2,FALSE),FALSE)))</f>
        <v>0</v>
      </c>
      <c r="X119" s="348">
        <f t="shared" si="8"/>
        <v>0</v>
      </c>
      <c r="Y119" s="348">
        <f t="shared" si="9"/>
        <v>0</v>
      </c>
      <c r="Z119" s="348">
        <f t="shared" si="10"/>
        <v>0</v>
      </c>
      <c r="AA119" s="349">
        <f>VLOOKUP(G119,'3-Productie normen'!A:Q,15,FALSE)</f>
        <v>235.06999999999988</v>
      </c>
      <c r="AB119" s="350">
        <f>VLOOKUP(G119,'3-Productie normen'!A:Q,16,FALSE)</f>
        <v>0</v>
      </c>
      <c r="AC119" s="349"/>
      <c r="AE119" s="351">
        <f t="shared" si="6"/>
        <v>446.25</v>
      </c>
    </row>
    <row r="120" spans="1:31" ht="14.1" customHeight="1">
      <c r="A120" s="76">
        <v>120</v>
      </c>
      <c r="B120" s="496" t="s">
        <v>292</v>
      </c>
      <c r="C120" s="312" t="s">
        <v>293</v>
      </c>
      <c r="D120" s="345" t="s">
        <v>307</v>
      </c>
      <c r="E120" s="346">
        <v>21</v>
      </c>
      <c r="F120" s="72" t="s">
        <v>369</v>
      </c>
      <c r="G120" s="72" t="s">
        <v>341</v>
      </c>
      <c r="H120" s="72" t="s">
        <v>311</v>
      </c>
      <c r="I120" s="502">
        <v>4.6500000000000004</v>
      </c>
      <c r="J120" s="347">
        <f t="shared" si="7"/>
        <v>357</v>
      </c>
      <c r="K120" s="260">
        <v>255</v>
      </c>
      <c r="L120" s="260"/>
      <c r="M120" s="260">
        <v>102</v>
      </c>
      <c r="N120" s="260"/>
      <c r="O120" s="260"/>
      <c r="P120" s="260"/>
      <c r="Q120" s="259" t="e">
        <f>IF(K120="nio",0,IF(K120&gt;0,K120*I120/W120,0))*VLOOKUP(B120,'2-Kosten per locatie'!$A$14:$C$28,3,FALSE)</f>
        <v>#DIV/0!</v>
      </c>
      <c r="R120" s="259">
        <f>IF(L120&gt;0,L120*I120/X120,0)*VLOOKUP(B120,'2-Kosten per locatie'!$A$14:$C$28,3,FALSE)</f>
        <v>0</v>
      </c>
      <c r="S120" s="259" t="e">
        <f>IF(M120&gt;0,M120*I120/Y120,0)*VLOOKUP(B120,'2-Kosten per locatie'!$A$14:$C$28,3,FALSE)</f>
        <v>#DIV/0!</v>
      </c>
      <c r="T120" s="259">
        <f>IF(N120&gt;0,N120*I120/Z120,0)*VLOOKUP(B120,'2-Kosten per locatie'!$A$14:$C$28,3,FALSE)</f>
        <v>0</v>
      </c>
      <c r="U120" s="259">
        <f>IF(O120&gt;0,O120*I120/Y120,0)*VLOOKUP(B120,'2-Kosten per locatie'!$A$14:$C$28,3,FALSE)</f>
        <v>0</v>
      </c>
      <c r="V120" s="259">
        <f>IF(P120&gt;0,P120*I120/Z120,0)*VLOOKUP(B120,'2-Kosten per locatie'!$A$14:$C$28,3,FALSE)</f>
        <v>0</v>
      </c>
      <c r="W120" s="348">
        <f>IF(K120="nio",0,IF(K120&gt;0,VLOOKUP(G120,'3-Productie normen'!A:N,VLOOKUP(K120,'3-Productie normen'!$B$27:$C$38,2,FALSE),FALSE)))</f>
        <v>0</v>
      </c>
      <c r="X120" s="348">
        <f t="shared" si="8"/>
        <v>0</v>
      </c>
      <c r="Y120" s="348">
        <f t="shared" si="9"/>
        <v>0</v>
      </c>
      <c r="Z120" s="348">
        <f t="shared" si="10"/>
        <v>0</v>
      </c>
      <c r="AA120" s="349">
        <f>VLOOKUP(G120,'3-Productie normen'!A:Q,15,FALSE)</f>
        <v>452.79000000000019</v>
      </c>
      <c r="AB120" s="350">
        <f>VLOOKUP(G120,'3-Productie normen'!A:Q,16,FALSE)</f>
        <v>0</v>
      </c>
      <c r="AC120" s="349"/>
      <c r="AE120" s="351">
        <f t="shared" si="6"/>
        <v>1660.0500000000002</v>
      </c>
    </row>
    <row r="121" spans="1:31" ht="14.1" customHeight="1">
      <c r="A121" s="76">
        <v>121</v>
      </c>
      <c r="B121" s="496" t="s">
        <v>292</v>
      </c>
      <c r="C121" s="312" t="s">
        <v>293</v>
      </c>
      <c r="D121" s="345" t="s">
        <v>307</v>
      </c>
      <c r="E121" s="346">
        <v>22</v>
      </c>
      <c r="F121" s="72" t="s">
        <v>370</v>
      </c>
      <c r="G121" s="72" t="s">
        <v>85</v>
      </c>
      <c r="H121" s="72" t="s">
        <v>311</v>
      </c>
      <c r="I121" s="502">
        <v>17.64</v>
      </c>
      <c r="J121" s="347">
        <f t="shared" si="7"/>
        <v>357</v>
      </c>
      <c r="K121" s="260">
        <v>255</v>
      </c>
      <c r="L121" s="260"/>
      <c r="M121" s="260">
        <v>102</v>
      </c>
      <c r="N121" s="260"/>
      <c r="O121" s="260"/>
      <c r="P121" s="260"/>
      <c r="Q121" s="259" t="e">
        <f>IF(K121="nio",0,IF(K121&gt;0,K121*I121/W121,0))*VLOOKUP(B121,'2-Kosten per locatie'!$A$14:$C$28,3,FALSE)</f>
        <v>#DIV/0!</v>
      </c>
      <c r="R121" s="259">
        <f>IF(L121&gt;0,L121*I121/X121,0)*VLOOKUP(B121,'2-Kosten per locatie'!$A$14:$C$28,3,FALSE)</f>
        <v>0</v>
      </c>
      <c r="S121" s="259" t="e">
        <f>IF(M121&gt;0,M121*I121/Y121,0)*VLOOKUP(B121,'2-Kosten per locatie'!$A$14:$C$28,3,FALSE)</f>
        <v>#DIV/0!</v>
      </c>
      <c r="T121" s="259">
        <f>IF(N121&gt;0,N121*I121/Z121,0)*VLOOKUP(B121,'2-Kosten per locatie'!$A$14:$C$28,3,FALSE)</f>
        <v>0</v>
      </c>
      <c r="U121" s="259">
        <f>IF(O121&gt;0,O121*I121/Y121,0)*VLOOKUP(B121,'2-Kosten per locatie'!$A$14:$C$28,3,FALSE)</f>
        <v>0</v>
      </c>
      <c r="V121" s="259">
        <f>IF(P121&gt;0,P121*I121/Z121,0)*VLOOKUP(B121,'2-Kosten per locatie'!$A$14:$C$28,3,FALSE)</f>
        <v>0</v>
      </c>
      <c r="W121" s="348">
        <f>IF(K121="nio",0,IF(K121&gt;0,VLOOKUP(G121,'3-Productie normen'!A:N,VLOOKUP(K121,'3-Productie normen'!$B$27:$C$38,2,FALSE),FALSE)))</f>
        <v>0</v>
      </c>
      <c r="X121" s="348">
        <f t="shared" si="8"/>
        <v>0</v>
      </c>
      <c r="Y121" s="348">
        <f t="shared" si="9"/>
        <v>0</v>
      </c>
      <c r="Z121" s="348">
        <f t="shared" si="10"/>
        <v>0</v>
      </c>
      <c r="AA121" s="349">
        <f>VLOOKUP(G121,'3-Productie normen'!A:Q,15,FALSE)</f>
        <v>1367.5950000000007</v>
      </c>
      <c r="AB121" s="350">
        <f>VLOOKUP(G121,'3-Productie normen'!A:Q,16,FALSE)</f>
        <v>0</v>
      </c>
      <c r="AC121" s="349"/>
      <c r="AE121" s="351">
        <f t="shared" si="6"/>
        <v>6297.4800000000005</v>
      </c>
    </row>
    <row r="122" spans="1:31" ht="14.1" customHeight="1">
      <c r="A122" s="76">
        <v>122</v>
      </c>
      <c r="B122" s="496" t="s">
        <v>292</v>
      </c>
      <c r="C122" s="312" t="s">
        <v>293</v>
      </c>
      <c r="D122" s="345" t="s">
        <v>307</v>
      </c>
      <c r="E122" s="346">
        <v>23</v>
      </c>
      <c r="F122" s="72" t="s">
        <v>371</v>
      </c>
      <c r="G122" s="72" t="s">
        <v>81</v>
      </c>
      <c r="H122" s="72" t="s">
        <v>311</v>
      </c>
      <c r="I122" s="502">
        <v>1.25</v>
      </c>
      <c r="J122" s="347">
        <f t="shared" si="7"/>
        <v>357</v>
      </c>
      <c r="K122" s="260">
        <v>255</v>
      </c>
      <c r="L122" s="260"/>
      <c r="M122" s="260">
        <v>102</v>
      </c>
      <c r="N122" s="260"/>
      <c r="O122" s="260"/>
      <c r="P122" s="260"/>
      <c r="Q122" s="259" t="e">
        <f>IF(K122="nio",0,IF(K122&gt;0,K122*I122/W122,0))*VLOOKUP(B122,'2-Kosten per locatie'!$A$14:$C$28,3,FALSE)</f>
        <v>#DIV/0!</v>
      </c>
      <c r="R122" s="259">
        <f>IF(L122&gt;0,L122*I122/X122,0)*VLOOKUP(B122,'2-Kosten per locatie'!$A$14:$C$28,3,FALSE)</f>
        <v>0</v>
      </c>
      <c r="S122" s="259" t="e">
        <f>IF(M122&gt;0,M122*I122/Y122,0)*VLOOKUP(B122,'2-Kosten per locatie'!$A$14:$C$28,3,FALSE)</f>
        <v>#DIV/0!</v>
      </c>
      <c r="T122" s="259">
        <f>IF(N122&gt;0,N122*I122/Z122,0)*VLOOKUP(B122,'2-Kosten per locatie'!$A$14:$C$28,3,FALSE)</f>
        <v>0</v>
      </c>
      <c r="U122" s="259">
        <f>IF(O122&gt;0,O122*I122/Y122,0)*VLOOKUP(B122,'2-Kosten per locatie'!$A$14:$C$28,3,FALSE)</f>
        <v>0</v>
      </c>
      <c r="V122" s="259">
        <f>IF(P122&gt;0,P122*I122/Z122,0)*VLOOKUP(B122,'2-Kosten per locatie'!$A$14:$C$28,3,FALSE)</f>
        <v>0</v>
      </c>
      <c r="W122" s="348">
        <f>IF(K122="nio",0,IF(K122&gt;0,VLOOKUP(G122,'3-Productie normen'!A:N,VLOOKUP(K122,'3-Productie normen'!$B$27:$C$38,2,FALSE),FALSE)))</f>
        <v>0</v>
      </c>
      <c r="X122" s="348">
        <f t="shared" si="8"/>
        <v>0</v>
      </c>
      <c r="Y122" s="348">
        <f t="shared" si="9"/>
        <v>0</v>
      </c>
      <c r="Z122" s="348">
        <f t="shared" si="10"/>
        <v>0</v>
      </c>
      <c r="AA122" s="349">
        <f>VLOOKUP(G122,'3-Productie normen'!A:Q,15,FALSE)</f>
        <v>235.06999999999988</v>
      </c>
      <c r="AB122" s="350">
        <f>VLOOKUP(G122,'3-Productie normen'!A:Q,16,FALSE)</f>
        <v>0</v>
      </c>
      <c r="AC122" s="349"/>
      <c r="AE122" s="351">
        <f t="shared" si="6"/>
        <v>446.25</v>
      </c>
    </row>
    <row r="123" spans="1:31" ht="14.1" customHeight="1">
      <c r="A123" s="76">
        <v>123</v>
      </c>
      <c r="B123" s="496" t="s">
        <v>292</v>
      </c>
      <c r="C123" s="312" t="s">
        <v>293</v>
      </c>
      <c r="D123" s="345" t="s">
        <v>307</v>
      </c>
      <c r="E123" s="346">
        <v>24</v>
      </c>
      <c r="F123" s="72" t="s">
        <v>372</v>
      </c>
      <c r="G123" s="72" t="s">
        <v>341</v>
      </c>
      <c r="H123" s="72" t="s">
        <v>311</v>
      </c>
      <c r="I123" s="502">
        <v>4.6500000000000004</v>
      </c>
      <c r="J123" s="347">
        <f t="shared" si="7"/>
        <v>357</v>
      </c>
      <c r="K123" s="260">
        <v>255</v>
      </c>
      <c r="L123" s="260"/>
      <c r="M123" s="260">
        <v>102</v>
      </c>
      <c r="N123" s="260"/>
      <c r="O123" s="260"/>
      <c r="P123" s="260"/>
      <c r="Q123" s="259" t="e">
        <f>IF(K123="nio",0,IF(K123&gt;0,K123*I123/W123,0))*VLOOKUP(B123,'2-Kosten per locatie'!$A$14:$C$28,3,FALSE)</f>
        <v>#DIV/0!</v>
      </c>
      <c r="R123" s="259">
        <f>IF(L123&gt;0,L123*I123/X123,0)*VLOOKUP(B123,'2-Kosten per locatie'!$A$14:$C$28,3,FALSE)</f>
        <v>0</v>
      </c>
      <c r="S123" s="259" t="e">
        <f>IF(M123&gt;0,M123*I123/Y123,0)*VLOOKUP(B123,'2-Kosten per locatie'!$A$14:$C$28,3,FALSE)</f>
        <v>#DIV/0!</v>
      </c>
      <c r="T123" s="259">
        <f>IF(N123&gt;0,N123*I123/Z123,0)*VLOOKUP(B123,'2-Kosten per locatie'!$A$14:$C$28,3,FALSE)</f>
        <v>0</v>
      </c>
      <c r="U123" s="259">
        <f>IF(O123&gt;0,O123*I123/Y123,0)*VLOOKUP(B123,'2-Kosten per locatie'!$A$14:$C$28,3,FALSE)</f>
        <v>0</v>
      </c>
      <c r="V123" s="259">
        <f>IF(P123&gt;0,P123*I123/Z123,0)*VLOOKUP(B123,'2-Kosten per locatie'!$A$14:$C$28,3,FALSE)</f>
        <v>0</v>
      </c>
      <c r="W123" s="348">
        <f>IF(K123="nio",0,IF(K123&gt;0,VLOOKUP(G123,'3-Productie normen'!A:N,VLOOKUP(K123,'3-Productie normen'!$B$27:$C$38,2,FALSE),FALSE)))</f>
        <v>0</v>
      </c>
      <c r="X123" s="348">
        <f t="shared" si="8"/>
        <v>0</v>
      </c>
      <c r="Y123" s="348">
        <f t="shared" si="9"/>
        <v>0</v>
      </c>
      <c r="Z123" s="348">
        <f t="shared" si="10"/>
        <v>0</v>
      </c>
      <c r="AA123" s="349">
        <f>VLOOKUP(G123,'3-Productie normen'!A:Q,15,FALSE)</f>
        <v>452.79000000000019</v>
      </c>
      <c r="AB123" s="350">
        <f>VLOOKUP(G123,'3-Productie normen'!A:Q,16,FALSE)</f>
        <v>0</v>
      </c>
      <c r="AC123" s="349"/>
      <c r="AE123" s="351">
        <f t="shared" si="6"/>
        <v>1660.0500000000002</v>
      </c>
    </row>
    <row r="124" spans="1:31" ht="14.1" customHeight="1">
      <c r="A124" s="76">
        <v>124</v>
      </c>
      <c r="B124" s="496" t="s">
        <v>292</v>
      </c>
      <c r="C124" s="312" t="s">
        <v>293</v>
      </c>
      <c r="D124" s="345" t="s">
        <v>307</v>
      </c>
      <c r="E124" s="346">
        <v>1</v>
      </c>
      <c r="F124" s="72" t="s">
        <v>318</v>
      </c>
      <c r="G124" s="72" t="s">
        <v>461</v>
      </c>
      <c r="H124" s="72" t="s">
        <v>325</v>
      </c>
      <c r="I124" s="502">
        <v>6.13</v>
      </c>
      <c r="J124" s="347">
        <f t="shared" si="7"/>
        <v>0</v>
      </c>
      <c r="K124" s="260" t="s">
        <v>460</v>
      </c>
      <c r="L124" s="260"/>
      <c r="M124" s="260"/>
      <c r="N124" s="260"/>
      <c r="O124" s="260"/>
      <c r="P124" s="260"/>
      <c r="Q124" s="259">
        <f>IF(K124="nio",0,IF(K124&gt;0,K124*I124/W124,0))*VLOOKUP(B124,'2-Kosten per locatie'!$A$14:$C$28,3,FALSE)</f>
        <v>0</v>
      </c>
      <c r="R124" s="259">
        <f>IF(L124&gt;0,L124*I124/X124,0)*VLOOKUP(B124,'2-Kosten per locatie'!$A$14:$C$28,3,FALSE)</f>
        <v>0</v>
      </c>
      <c r="S124" s="259">
        <f>IF(M124&gt;0,M124*I124/Y124,0)*VLOOKUP(B124,'2-Kosten per locatie'!$A$14:$C$28,3,FALSE)</f>
        <v>0</v>
      </c>
      <c r="T124" s="259">
        <f>IF(N124&gt;0,N124*I124/Z124,0)*VLOOKUP(B124,'2-Kosten per locatie'!$A$14:$C$28,3,FALSE)</f>
        <v>0</v>
      </c>
      <c r="U124" s="259">
        <f>IF(O124&gt;0,O124*I124/Y124,0)*VLOOKUP(B124,'2-Kosten per locatie'!$A$14:$C$28,3,FALSE)</f>
        <v>0</v>
      </c>
      <c r="V124" s="259">
        <f>IF(P124&gt;0,P124*I124/Z124,0)*VLOOKUP(B124,'2-Kosten per locatie'!$A$14:$C$28,3,FALSE)</f>
        <v>0</v>
      </c>
      <c r="W124" s="348">
        <f>IF(K124="nio",0,IF(K124&gt;0,VLOOKUP(G124,'3-Productie normen'!A:N,VLOOKUP(K124,'3-Productie normen'!$B$27:$C$38,2,FALSE),FALSE)))</f>
        <v>0</v>
      </c>
      <c r="X124" s="348">
        <f t="shared" si="8"/>
        <v>0</v>
      </c>
      <c r="Y124" s="348">
        <f t="shared" si="9"/>
        <v>0</v>
      </c>
      <c r="Z124" s="348">
        <f t="shared" si="10"/>
        <v>0</v>
      </c>
      <c r="AA124" s="349" t="e">
        <f>VLOOKUP(G124,'3-Productie normen'!A:Q,15,FALSE)</f>
        <v>#N/A</v>
      </c>
      <c r="AB124" s="350" t="e">
        <f>VLOOKUP(G124,'3-Productie normen'!A:Q,16,FALSE)</f>
        <v>#N/A</v>
      </c>
      <c r="AC124" s="349"/>
      <c r="AE124" s="351">
        <f t="shared" si="6"/>
        <v>0</v>
      </c>
    </row>
    <row r="125" spans="1:31" ht="14.1" customHeight="1">
      <c r="A125" s="76">
        <v>125</v>
      </c>
      <c r="B125" s="496" t="s">
        <v>292</v>
      </c>
      <c r="C125" s="312" t="s">
        <v>293</v>
      </c>
      <c r="D125" s="345" t="s">
        <v>307</v>
      </c>
      <c r="E125" s="346">
        <v>2</v>
      </c>
      <c r="F125" s="72" t="s">
        <v>373</v>
      </c>
      <c r="G125" s="72" t="s">
        <v>461</v>
      </c>
      <c r="H125" s="72" t="s">
        <v>374</v>
      </c>
      <c r="I125" s="502">
        <v>256</v>
      </c>
      <c r="J125" s="347">
        <f t="shared" si="7"/>
        <v>0</v>
      </c>
      <c r="K125" s="260" t="s">
        <v>460</v>
      </c>
      <c r="L125" s="260"/>
      <c r="M125" s="260"/>
      <c r="N125" s="260"/>
      <c r="O125" s="260"/>
      <c r="P125" s="260"/>
      <c r="Q125" s="259">
        <f>IF(K125="nio",0,IF(K125&gt;0,K125*I125/W125,0))*VLOOKUP(B125,'2-Kosten per locatie'!$A$14:$C$28,3,FALSE)</f>
        <v>0</v>
      </c>
      <c r="R125" s="259">
        <f>IF(L125&gt;0,L125*I125/X125,0)*VLOOKUP(B125,'2-Kosten per locatie'!$A$14:$C$28,3,FALSE)</f>
        <v>0</v>
      </c>
      <c r="S125" s="259">
        <f>IF(M125&gt;0,M125*I125/Y125,0)*VLOOKUP(B125,'2-Kosten per locatie'!$A$14:$C$28,3,FALSE)</f>
        <v>0</v>
      </c>
      <c r="T125" s="259">
        <f>IF(N125&gt;0,N125*I125/Z125,0)*VLOOKUP(B125,'2-Kosten per locatie'!$A$14:$C$28,3,FALSE)</f>
        <v>0</v>
      </c>
      <c r="U125" s="259">
        <f>IF(O125&gt;0,O125*I125/Y125,0)*VLOOKUP(B125,'2-Kosten per locatie'!$A$14:$C$28,3,FALSE)</f>
        <v>0</v>
      </c>
      <c r="V125" s="259">
        <f>IF(P125&gt;0,P125*I125/Z125,0)*VLOOKUP(B125,'2-Kosten per locatie'!$A$14:$C$28,3,FALSE)</f>
        <v>0</v>
      </c>
      <c r="W125" s="348">
        <f>IF(K125="nio",0,IF(K125&gt;0,VLOOKUP(G125,'3-Productie normen'!A:N,VLOOKUP(K125,'3-Productie normen'!$B$27:$C$38,2,FALSE),FALSE)))</f>
        <v>0</v>
      </c>
      <c r="X125" s="348">
        <f t="shared" si="8"/>
        <v>0</v>
      </c>
      <c r="Y125" s="348">
        <f t="shared" si="9"/>
        <v>0</v>
      </c>
      <c r="Z125" s="348">
        <f t="shared" si="10"/>
        <v>0</v>
      </c>
      <c r="AA125" s="349" t="e">
        <f>VLOOKUP(G125,'3-Productie normen'!A:Q,15,FALSE)</f>
        <v>#N/A</v>
      </c>
      <c r="AB125" s="350" t="e">
        <f>VLOOKUP(G125,'3-Productie normen'!A:Q,16,FALSE)</f>
        <v>#N/A</v>
      </c>
      <c r="AC125" s="349"/>
      <c r="AE125" s="351">
        <f t="shared" si="6"/>
        <v>0</v>
      </c>
    </row>
    <row r="126" spans="1:31" ht="14.1" customHeight="1">
      <c r="A126" s="76">
        <v>126</v>
      </c>
      <c r="B126" s="496" t="s">
        <v>292</v>
      </c>
      <c r="C126" s="312" t="s">
        <v>293</v>
      </c>
      <c r="D126" s="345" t="s">
        <v>307</v>
      </c>
      <c r="E126" s="346">
        <v>3</v>
      </c>
      <c r="F126" s="72" t="s">
        <v>375</v>
      </c>
      <c r="G126" s="72" t="s">
        <v>461</v>
      </c>
      <c r="H126" s="72" t="s">
        <v>374</v>
      </c>
      <c r="I126" s="502">
        <v>18.11</v>
      </c>
      <c r="J126" s="347">
        <f t="shared" si="7"/>
        <v>0</v>
      </c>
      <c r="K126" s="260" t="s">
        <v>460</v>
      </c>
      <c r="L126" s="260"/>
      <c r="M126" s="260"/>
      <c r="N126" s="260"/>
      <c r="O126" s="260"/>
      <c r="P126" s="260"/>
      <c r="Q126" s="259">
        <f>IF(K126="nio",0,IF(K126&gt;0,K126*I126/W126,0))*VLOOKUP(B126,'2-Kosten per locatie'!$A$14:$C$28,3,FALSE)</f>
        <v>0</v>
      </c>
      <c r="R126" s="259">
        <f>IF(L126&gt;0,L126*I126/X126,0)*VLOOKUP(B126,'2-Kosten per locatie'!$A$14:$C$28,3,FALSE)</f>
        <v>0</v>
      </c>
      <c r="S126" s="259">
        <f>IF(M126&gt;0,M126*I126/Y126,0)*VLOOKUP(B126,'2-Kosten per locatie'!$A$14:$C$28,3,FALSE)</f>
        <v>0</v>
      </c>
      <c r="T126" s="259">
        <f>IF(N126&gt;0,N126*I126/Z126,0)*VLOOKUP(B126,'2-Kosten per locatie'!$A$14:$C$28,3,FALSE)</f>
        <v>0</v>
      </c>
      <c r="U126" s="259">
        <f>IF(O126&gt;0,O126*I126/Y126,0)*VLOOKUP(B126,'2-Kosten per locatie'!$A$14:$C$28,3,FALSE)</f>
        <v>0</v>
      </c>
      <c r="V126" s="259">
        <f>IF(P126&gt;0,P126*I126/Z126,0)*VLOOKUP(B126,'2-Kosten per locatie'!$A$14:$C$28,3,FALSE)</f>
        <v>0</v>
      </c>
      <c r="W126" s="348">
        <f>IF(K126="nio",0,IF(K126&gt;0,VLOOKUP(G126,'3-Productie normen'!A:N,VLOOKUP(K126,'3-Productie normen'!$B$27:$C$38,2,FALSE),FALSE)))</f>
        <v>0</v>
      </c>
      <c r="X126" s="348">
        <f t="shared" si="8"/>
        <v>0</v>
      </c>
      <c r="Y126" s="348">
        <f t="shared" si="9"/>
        <v>0</v>
      </c>
      <c r="Z126" s="348">
        <f t="shared" si="10"/>
        <v>0</v>
      </c>
      <c r="AA126" s="349" t="e">
        <f>VLOOKUP(G126,'3-Productie normen'!A:Q,15,FALSE)</f>
        <v>#N/A</v>
      </c>
      <c r="AB126" s="350" t="e">
        <f>VLOOKUP(G126,'3-Productie normen'!A:Q,16,FALSE)</f>
        <v>#N/A</v>
      </c>
      <c r="AC126" s="349"/>
      <c r="AE126" s="351">
        <f t="shared" si="6"/>
        <v>0</v>
      </c>
    </row>
    <row r="127" spans="1:31" ht="14.1" customHeight="1">
      <c r="A127" s="76">
        <v>127</v>
      </c>
      <c r="B127" s="496" t="s">
        <v>292</v>
      </c>
      <c r="C127" s="312" t="s">
        <v>293</v>
      </c>
      <c r="D127" s="345" t="s">
        <v>307</v>
      </c>
      <c r="E127" s="346">
        <v>4</v>
      </c>
      <c r="F127" s="72" t="s">
        <v>344</v>
      </c>
      <c r="G127" s="72" t="s">
        <v>461</v>
      </c>
      <c r="H127" s="72" t="s">
        <v>374</v>
      </c>
      <c r="I127" s="502">
        <v>10.050000000000001</v>
      </c>
      <c r="J127" s="347">
        <f t="shared" si="7"/>
        <v>0</v>
      </c>
      <c r="K127" s="260" t="s">
        <v>460</v>
      </c>
      <c r="L127" s="260"/>
      <c r="M127" s="260"/>
      <c r="N127" s="260"/>
      <c r="O127" s="260"/>
      <c r="P127" s="260"/>
      <c r="Q127" s="259">
        <f>IF(K127="nio",0,IF(K127&gt;0,K127*I127/W127,0))*VLOOKUP(B127,'2-Kosten per locatie'!$A$14:$C$28,3,FALSE)</f>
        <v>0</v>
      </c>
      <c r="R127" s="259">
        <f>IF(L127&gt;0,L127*I127/X127,0)*VLOOKUP(B127,'2-Kosten per locatie'!$A$14:$C$28,3,FALSE)</f>
        <v>0</v>
      </c>
      <c r="S127" s="259">
        <f>IF(M127&gt;0,M127*I127/Y127,0)*VLOOKUP(B127,'2-Kosten per locatie'!$A$14:$C$28,3,FALSE)</f>
        <v>0</v>
      </c>
      <c r="T127" s="259">
        <f>IF(N127&gt;0,N127*I127/Z127,0)*VLOOKUP(B127,'2-Kosten per locatie'!$A$14:$C$28,3,FALSE)</f>
        <v>0</v>
      </c>
      <c r="U127" s="259">
        <f>IF(O127&gt;0,O127*I127/Y127,0)*VLOOKUP(B127,'2-Kosten per locatie'!$A$14:$C$28,3,FALSE)</f>
        <v>0</v>
      </c>
      <c r="V127" s="259">
        <f>IF(P127&gt;0,P127*I127/Z127,0)*VLOOKUP(B127,'2-Kosten per locatie'!$A$14:$C$28,3,FALSE)</f>
        <v>0</v>
      </c>
      <c r="W127" s="348">
        <f>IF(K127="nio",0,IF(K127&gt;0,VLOOKUP(G127,'3-Productie normen'!A:N,VLOOKUP(K127,'3-Productie normen'!$B$27:$C$38,2,FALSE),FALSE)))</f>
        <v>0</v>
      </c>
      <c r="X127" s="348">
        <f t="shared" si="8"/>
        <v>0</v>
      </c>
      <c r="Y127" s="348">
        <f t="shared" si="9"/>
        <v>0</v>
      </c>
      <c r="Z127" s="348">
        <f t="shared" si="10"/>
        <v>0</v>
      </c>
      <c r="AA127" s="349" t="e">
        <f>VLOOKUP(G127,'3-Productie normen'!A:Q,15,FALSE)</f>
        <v>#N/A</v>
      </c>
      <c r="AB127" s="350" t="e">
        <f>VLOOKUP(G127,'3-Productie normen'!A:Q,16,FALSE)</f>
        <v>#N/A</v>
      </c>
      <c r="AC127" s="349"/>
      <c r="AE127" s="351">
        <f t="shared" si="6"/>
        <v>0</v>
      </c>
    </row>
    <row r="128" spans="1:31" ht="14.1" customHeight="1">
      <c r="A128" s="76">
        <v>128</v>
      </c>
      <c r="B128" s="496" t="s">
        <v>292</v>
      </c>
      <c r="C128" s="312" t="s">
        <v>293</v>
      </c>
      <c r="D128" s="345" t="s">
        <v>307</v>
      </c>
      <c r="E128" s="346">
        <v>5</v>
      </c>
      <c r="F128" s="72" t="s">
        <v>312</v>
      </c>
      <c r="G128" s="72" t="s">
        <v>461</v>
      </c>
      <c r="H128" s="72" t="s">
        <v>311</v>
      </c>
      <c r="I128" s="502">
        <v>7.52</v>
      </c>
      <c r="J128" s="347">
        <f t="shared" si="7"/>
        <v>0</v>
      </c>
      <c r="K128" s="260" t="s">
        <v>460</v>
      </c>
      <c r="L128" s="260"/>
      <c r="M128" s="260"/>
      <c r="N128" s="260"/>
      <c r="O128" s="260"/>
      <c r="P128" s="260"/>
      <c r="Q128" s="259">
        <f>IF(K128="nio",0,IF(K128&gt;0,K128*I128/W128,0))*VLOOKUP(B128,'2-Kosten per locatie'!$A$14:$C$28,3,FALSE)</f>
        <v>0</v>
      </c>
      <c r="R128" s="259">
        <f>IF(L128&gt;0,L128*I128/X128,0)*VLOOKUP(B128,'2-Kosten per locatie'!$A$14:$C$28,3,FALSE)</f>
        <v>0</v>
      </c>
      <c r="S128" s="259">
        <f>IF(M128&gt;0,M128*I128/Y128,0)*VLOOKUP(B128,'2-Kosten per locatie'!$A$14:$C$28,3,FALSE)</f>
        <v>0</v>
      </c>
      <c r="T128" s="259">
        <f>IF(N128&gt;0,N128*I128/Z128,0)*VLOOKUP(B128,'2-Kosten per locatie'!$A$14:$C$28,3,FALSE)</f>
        <v>0</v>
      </c>
      <c r="U128" s="259">
        <f>IF(O128&gt;0,O128*I128/Y128,0)*VLOOKUP(B128,'2-Kosten per locatie'!$A$14:$C$28,3,FALSE)</f>
        <v>0</v>
      </c>
      <c r="V128" s="259">
        <f>IF(P128&gt;0,P128*I128/Z128,0)*VLOOKUP(B128,'2-Kosten per locatie'!$A$14:$C$28,3,FALSE)</f>
        <v>0</v>
      </c>
      <c r="W128" s="348">
        <f>IF(K128="nio",0,IF(K128&gt;0,VLOOKUP(G128,'3-Productie normen'!A:N,VLOOKUP(K128,'3-Productie normen'!$B$27:$C$38,2,FALSE),FALSE)))</f>
        <v>0</v>
      </c>
      <c r="X128" s="348">
        <f t="shared" si="8"/>
        <v>0</v>
      </c>
      <c r="Y128" s="348">
        <f t="shared" si="9"/>
        <v>0</v>
      </c>
      <c r="Z128" s="348">
        <f t="shared" si="10"/>
        <v>0</v>
      </c>
      <c r="AA128" s="349" t="e">
        <f>VLOOKUP(G128,'3-Productie normen'!A:Q,15,FALSE)</f>
        <v>#N/A</v>
      </c>
      <c r="AB128" s="350" t="e">
        <f>VLOOKUP(G128,'3-Productie normen'!A:Q,16,FALSE)</f>
        <v>#N/A</v>
      </c>
      <c r="AC128" s="349"/>
      <c r="AE128" s="351">
        <f t="shared" si="6"/>
        <v>0</v>
      </c>
    </row>
    <row r="129" spans="1:31" ht="14.1" customHeight="1">
      <c r="A129" s="76">
        <v>129</v>
      </c>
      <c r="B129" s="496" t="s">
        <v>292</v>
      </c>
      <c r="C129" s="312" t="s">
        <v>293</v>
      </c>
      <c r="D129" s="345" t="s">
        <v>307</v>
      </c>
      <c r="E129" s="346">
        <v>6</v>
      </c>
      <c r="F129" s="72" t="s">
        <v>310</v>
      </c>
      <c r="G129" s="72" t="s">
        <v>461</v>
      </c>
      <c r="H129" s="72" t="s">
        <v>311</v>
      </c>
      <c r="I129" s="502">
        <v>4.9000000000000004</v>
      </c>
      <c r="J129" s="347">
        <f t="shared" si="7"/>
        <v>0</v>
      </c>
      <c r="K129" s="260" t="s">
        <v>460</v>
      </c>
      <c r="L129" s="260"/>
      <c r="M129" s="260"/>
      <c r="N129" s="260"/>
      <c r="O129" s="260"/>
      <c r="P129" s="260"/>
      <c r="Q129" s="259">
        <f>IF(K129="nio",0,IF(K129&gt;0,K129*I129/W129,0))*VLOOKUP(B129,'2-Kosten per locatie'!$A$14:$C$28,3,FALSE)</f>
        <v>0</v>
      </c>
      <c r="R129" s="259">
        <f>IF(L129&gt;0,L129*I129/X129,0)*VLOOKUP(B129,'2-Kosten per locatie'!$A$14:$C$28,3,FALSE)</f>
        <v>0</v>
      </c>
      <c r="S129" s="259">
        <f>IF(M129&gt;0,M129*I129/Y129,0)*VLOOKUP(B129,'2-Kosten per locatie'!$A$14:$C$28,3,FALSE)</f>
        <v>0</v>
      </c>
      <c r="T129" s="259">
        <f>IF(N129&gt;0,N129*I129/Z129,0)*VLOOKUP(B129,'2-Kosten per locatie'!$A$14:$C$28,3,FALSE)</f>
        <v>0</v>
      </c>
      <c r="U129" s="259">
        <f>IF(O129&gt;0,O129*I129/Y129,0)*VLOOKUP(B129,'2-Kosten per locatie'!$A$14:$C$28,3,FALSE)</f>
        <v>0</v>
      </c>
      <c r="V129" s="259">
        <f>IF(P129&gt;0,P129*I129/Z129,0)*VLOOKUP(B129,'2-Kosten per locatie'!$A$14:$C$28,3,FALSE)</f>
        <v>0</v>
      </c>
      <c r="W129" s="348">
        <f>IF(K129="nio",0,IF(K129&gt;0,VLOOKUP(G129,'3-Productie normen'!A:N,VLOOKUP(K129,'3-Productie normen'!$B$27:$C$38,2,FALSE),FALSE)))</f>
        <v>0</v>
      </c>
      <c r="X129" s="348">
        <f t="shared" si="8"/>
        <v>0</v>
      </c>
      <c r="Y129" s="348">
        <f t="shared" si="9"/>
        <v>0</v>
      </c>
      <c r="Z129" s="348">
        <f t="shared" si="10"/>
        <v>0</v>
      </c>
      <c r="AA129" s="349" t="e">
        <f>VLOOKUP(G129,'3-Productie normen'!A:Q,15,FALSE)</f>
        <v>#N/A</v>
      </c>
      <c r="AB129" s="350" t="e">
        <f>VLOOKUP(G129,'3-Productie normen'!A:Q,16,FALSE)</f>
        <v>#N/A</v>
      </c>
      <c r="AC129" s="349"/>
      <c r="AE129" s="351">
        <f t="shared" si="6"/>
        <v>0</v>
      </c>
    </row>
    <row r="130" spans="1:31" ht="14.1" customHeight="1">
      <c r="A130" s="76">
        <v>130</v>
      </c>
      <c r="B130" s="496" t="s">
        <v>292</v>
      </c>
      <c r="C130" s="312" t="s">
        <v>293</v>
      </c>
      <c r="D130" s="345" t="s">
        <v>307</v>
      </c>
      <c r="E130" s="346">
        <v>7</v>
      </c>
      <c r="F130" s="72" t="s">
        <v>310</v>
      </c>
      <c r="G130" s="72" t="s">
        <v>461</v>
      </c>
      <c r="H130" s="72" t="s">
        <v>311</v>
      </c>
      <c r="I130" s="502">
        <v>4.9000000000000004</v>
      </c>
      <c r="J130" s="347">
        <f t="shared" si="7"/>
        <v>0</v>
      </c>
      <c r="K130" s="260" t="s">
        <v>460</v>
      </c>
      <c r="L130" s="260"/>
      <c r="M130" s="260"/>
      <c r="N130" s="260"/>
      <c r="O130" s="260"/>
      <c r="P130" s="260"/>
      <c r="Q130" s="259">
        <f>IF(K130="nio",0,IF(K130&gt;0,K130*I130/W130,0))*VLOOKUP(B130,'2-Kosten per locatie'!$A$14:$C$28,3,FALSE)</f>
        <v>0</v>
      </c>
      <c r="R130" s="259">
        <f>IF(L130&gt;0,L130*I130/X130,0)*VLOOKUP(B130,'2-Kosten per locatie'!$A$14:$C$28,3,FALSE)</f>
        <v>0</v>
      </c>
      <c r="S130" s="259">
        <f>IF(M130&gt;0,M130*I130/Y130,0)*VLOOKUP(B130,'2-Kosten per locatie'!$A$14:$C$28,3,FALSE)</f>
        <v>0</v>
      </c>
      <c r="T130" s="259">
        <f>IF(N130&gt;0,N130*I130/Z130,0)*VLOOKUP(B130,'2-Kosten per locatie'!$A$14:$C$28,3,FALSE)</f>
        <v>0</v>
      </c>
      <c r="U130" s="259">
        <f>IF(O130&gt;0,O130*I130/Y130,0)*VLOOKUP(B130,'2-Kosten per locatie'!$A$14:$C$28,3,FALSE)</f>
        <v>0</v>
      </c>
      <c r="V130" s="259">
        <f>IF(P130&gt;0,P130*I130/Z130,0)*VLOOKUP(B130,'2-Kosten per locatie'!$A$14:$C$28,3,FALSE)</f>
        <v>0</v>
      </c>
      <c r="W130" s="348">
        <f>IF(K130="nio",0,IF(K130&gt;0,VLOOKUP(G130,'3-Productie normen'!A:N,VLOOKUP(K130,'3-Productie normen'!$B$27:$C$38,2,FALSE),FALSE)))</f>
        <v>0</v>
      </c>
      <c r="X130" s="348">
        <f t="shared" si="8"/>
        <v>0</v>
      </c>
      <c r="Y130" s="348">
        <f t="shared" si="9"/>
        <v>0</v>
      </c>
      <c r="Z130" s="348">
        <f t="shared" si="10"/>
        <v>0</v>
      </c>
      <c r="AA130" s="349" t="e">
        <f>VLOOKUP(G130,'3-Productie normen'!A:Q,15,FALSE)</f>
        <v>#N/A</v>
      </c>
      <c r="AB130" s="350" t="e">
        <f>VLOOKUP(G130,'3-Productie normen'!A:Q,16,FALSE)</f>
        <v>#N/A</v>
      </c>
      <c r="AC130" s="349"/>
      <c r="AE130" s="351">
        <f t="shared" si="6"/>
        <v>0</v>
      </c>
    </row>
    <row r="131" spans="1:31" ht="14.1" customHeight="1">
      <c r="A131" s="76">
        <v>131</v>
      </c>
      <c r="B131" s="496" t="s">
        <v>294</v>
      </c>
      <c r="C131" s="312" t="s">
        <v>295</v>
      </c>
      <c r="D131" s="345" t="s">
        <v>307</v>
      </c>
      <c r="E131" s="346">
        <v>1</v>
      </c>
      <c r="F131" s="72" t="s">
        <v>376</v>
      </c>
      <c r="G131" s="72" t="s">
        <v>461</v>
      </c>
      <c r="H131" s="72" t="s">
        <v>330</v>
      </c>
      <c r="I131" s="502">
        <v>148.91999999999999</v>
      </c>
      <c r="J131" s="347">
        <f t="shared" si="7"/>
        <v>0</v>
      </c>
      <c r="K131" s="260" t="s">
        <v>460</v>
      </c>
      <c r="L131" s="260"/>
      <c r="M131" s="260"/>
      <c r="N131" s="260"/>
      <c r="O131" s="260"/>
      <c r="P131" s="260"/>
      <c r="Q131" s="259">
        <f>IF(K131="nio",0,IF(K131&gt;0,K131*I131/W131,0))*VLOOKUP(B131,'2-Kosten per locatie'!$A$14:$C$28,3,FALSE)</f>
        <v>0</v>
      </c>
      <c r="R131" s="259">
        <f>IF(L131&gt;0,L131*I131/X131,0)*VLOOKUP(B131,'2-Kosten per locatie'!$A$14:$C$28,3,FALSE)</f>
        <v>0</v>
      </c>
      <c r="S131" s="259">
        <f>IF(M131&gt;0,M131*I131/Y131,0)*VLOOKUP(B131,'2-Kosten per locatie'!$A$14:$C$28,3,FALSE)</f>
        <v>0</v>
      </c>
      <c r="T131" s="259">
        <f>IF(N131&gt;0,N131*I131/Z131,0)*VLOOKUP(B131,'2-Kosten per locatie'!$A$14:$C$28,3,FALSE)</f>
        <v>0</v>
      </c>
      <c r="U131" s="259">
        <f>IF(O131&gt;0,O131*I131/Y131,0)*VLOOKUP(B131,'2-Kosten per locatie'!$A$14:$C$28,3,FALSE)</f>
        <v>0</v>
      </c>
      <c r="V131" s="259">
        <f>IF(P131&gt;0,P131*I131/Z131,0)*VLOOKUP(B131,'2-Kosten per locatie'!$A$14:$C$28,3,FALSE)</f>
        <v>0</v>
      </c>
      <c r="W131" s="348">
        <f>IF(K131="nio",0,IF(K131&gt;0,VLOOKUP(G131,'3-Productie normen'!A:N,VLOOKUP(K131,'3-Productie normen'!$B$27:$C$38,2,FALSE),FALSE)))</f>
        <v>0</v>
      </c>
      <c r="X131" s="348">
        <f t="shared" si="8"/>
        <v>0</v>
      </c>
      <c r="Y131" s="348">
        <f t="shared" si="9"/>
        <v>0</v>
      </c>
      <c r="Z131" s="348">
        <f t="shared" si="10"/>
        <v>0</v>
      </c>
      <c r="AA131" s="349" t="e">
        <f>VLOOKUP(G131,'3-Productie normen'!A:Q,15,FALSE)</f>
        <v>#N/A</v>
      </c>
      <c r="AB131" s="350" t="e">
        <f>VLOOKUP(G131,'3-Productie normen'!A:Q,16,FALSE)</f>
        <v>#N/A</v>
      </c>
      <c r="AC131" s="349"/>
      <c r="AE131" s="351">
        <f t="shared" si="6"/>
        <v>0</v>
      </c>
    </row>
    <row r="132" spans="1:31" ht="14.1" customHeight="1">
      <c r="A132" s="76">
        <v>132</v>
      </c>
      <c r="B132" s="496" t="s">
        <v>294</v>
      </c>
      <c r="C132" s="312" t="s">
        <v>295</v>
      </c>
      <c r="D132" s="345" t="s">
        <v>307</v>
      </c>
      <c r="E132" s="346">
        <v>2</v>
      </c>
      <c r="F132" s="72" t="s">
        <v>377</v>
      </c>
      <c r="G132" s="72" t="s">
        <v>461</v>
      </c>
      <c r="H132" s="72" t="s">
        <v>330</v>
      </c>
      <c r="I132" s="502">
        <v>58.75</v>
      </c>
      <c r="J132" s="347">
        <f t="shared" si="7"/>
        <v>0</v>
      </c>
      <c r="K132" s="260" t="s">
        <v>460</v>
      </c>
      <c r="L132" s="260"/>
      <c r="M132" s="260"/>
      <c r="N132" s="260"/>
      <c r="O132" s="260"/>
      <c r="P132" s="260"/>
      <c r="Q132" s="259">
        <f>IF(K132="nio",0,IF(K132&gt;0,K132*I132/W132,0))*VLOOKUP(B132,'2-Kosten per locatie'!$A$14:$C$28,3,FALSE)</f>
        <v>0</v>
      </c>
      <c r="R132" s="259">
        <f>IF(L132&gt;0,L132*I132/X132,0)*VLOOKUP(B132,'2-Kosten per locatie'!$A$14:$C$28,3,FALSE)</f>
        <v>0</v>
      </c>
      <c r="S132" s="259">
        <f>IF(M132&gt;0,M132*I132/Y132,0)*VLOOKUP(B132,'2-Kosten per locatie'!$A$14:$C$28,3,FALSE)</f>
        <v>0</v>
      </c>
      <c r="T132" s="259">
        <f>IF(N132&gt;0,N132*I132/Z132,0)*VLOOKUP(B132,'2-Kosten per locatie'!$A$14:$C$28,3,FALSE)</f>
        <v>0</v>
      </c>
      <c r="U132" s="259">
        <f>IF(O132&gt;0,O132*I132/Y132,0)*VLOOKUP(B132,'2-Kosten per locatie'!$A$14:$C$28,3,FALSE)</f>
        <v>0</v>
      </c>
      <c r="V132" s="259">
        <f>IF(P132&gt;0,P132*I132/Z132,0)*VLOOKUP(B132,'2-Kosten per locatie'!$A$14:$C$28,3,FALSE)</f>
        <v>0</v>
      </c>
      <c r="W132" s="348">
        <f>IF(K132="nio",0,IF(K132&gt;0,VLOOKUP(G132,'3-Productie normen'!A:N,VLOOKUP(K132,'3-Productie normen'!$B$27:$C$38,2,FALSE),FALSE)))</f>
        <v>0</v>
      </c>
      <c r="X132" s="348">
        <f t="shared" si="8"/>
        <v>0</v>
      </c>
      <c r="Y132" s="348">
        <f t="shared" si="9"/>
        <v>0</v>
      </c>
      <c r="Z132" s="348">
        <f t="shared" si="10"/>
        <v>0</v>
      </c>
      <c r="AA132" s="349" t="e">
        <f>VLOOKUP(G132,'3-Productie normen'!A:Q,15,FALSE)</f>
        <v>#N/A</v>
      </c>
      <c r="AB132" s="350" t="e">
        <f>VLOOKUP(G132,'3-Productie normen'!A:Q,16,FALSE)</f>
        <v>#N/A</v>
      </c>
      <c r="AC132" s="349"/>
      <c r="AE132" s="351">
        <f t="shared" si="6"/>
        <v>0</v>
      </c>
    </row>
    <row r="133" spans="1:31" ht="14.1" customHeight="1">
      <c r="A133" s="76">
        <v>133</v>
      </c>
      <c r="B133" s="496" t="s">
        <v>294</v>
      </c>
      <c r="C133" s="312" t="s">
        <v>295</v>
      </c>
      <c r="D133" s="345" t="s">
        <v>307</v>
      </c>
      <c r="E133" s="346">
        <v>3</v>
      </c>
      <c r="F133" s="72" t="s">
        <v>318</v>
      </c>
      <c r="G133" s="72" t="s">
        <v>461</v>
      </c>
      <c r="H133" s="72" t="s">
        <v>325</v>
      </c>
      <c r="I133" s="502">
        <v>4.84</v>
      </c>
      <c r="J133" s="347">
        <f t="shared" si="7"/>
        <v>0</v>
      </c>
      <c r="K133" s="260" t="s">
        <v>460</v>
      </c>
      <c r="L133" s="260"/>
      <c r="M133" s="260"/>
      <c r="N133" s="260"/>
      <c r="O133" s="260"/>
      <c r="P133" s="260"/>
      <c r="Q133" s="259">
        <f>IF(K133="nio",0,IF(K133&gt;0,K133*I133/W133,0))*VLOOKUP(B133,'2-Kosten per locatie'!$A$14:$C$28,3,FALSE)</f>
        <v>0</v>
      </c>
      <c r="R133" s="259">
        <f>IF(L133&gt;0,L133*I133/X133,0)*VLOOKUP(B133,'2-Kosten per locatie'!$A$14:$C$28,3,FALSE)</f>
        <v>0</v>
      </c>
      <c r="S133" s="259">
        <f>IF(M133&gt;0,M133*I133/Y133,0)*VLOOKUP(B133,'2-Kosten per locatie'!$A$14:$C$28,3,FALSE)</f>
        <v>0</v>
      </c>
      <c r="T133" s="259">
        <f>IF(N133&gt;0,N133*I133/Z133,0)*VLOOKUP(B133,'2-Kosten per locatie'!$A$14:$C$28,3,FALSE)</f>
        <v>0</v>
      </c>
      <c r="U133" s="259">
        <f>IF(O133&gt;0,O133*I133/Y133,0)*VLOOKUP(B133,'2-Kosten per locatie'!$A$14:$C$28,3,FALSE)</f>
        <v>0</v>
      </c>
      <c r="V133" s="259">
        <f>IF(P133&gt;0,P133*I133/Z133,0)*VLOOKUP(B133,'2-Kosten per locatie'!$A$14:$C$28,3,FALSE)</f>
        <v>0</v>
      </c>
      <c r="W133" s="348">
        <f>IF(K133="nio",0,IF(K133&gt;0,VLOOKUP(G133,'3-Productie normen'!A:N,VLOOKUP(K133,'3-Productie normen'!$B$27:$C$38,2,FALSE),FALSE)))</f>
        <v>0</v>
      </c>
      <c r="X133" s="348">
        <f t="shared" si="8"/>
        <v>0</v>
      </c>
      <c r="Y133" s="348">
        <f t="shared" si="9"/>
        <v>0</v>
      </c>
      <c r="Z133" s="348">
        <f t="shared" si="10"/>
        <v>0</v>
      </c>
      <c r="AA133" s="349" t="e">
        <f>VLOOKUP(G133,'3-Productie normen'!A:Q,15,FALSE)</f>
        <v>#N/A</v>
      </c>
      <c r="AB133" s="350" t="e">
        <f>VLOOKUP(G133,'3-Productie normen'!A:Q,16,FALSE)</f>
        <v>#N/A</v>
      </c>
      <c r="AC133" s="349"/>
      <c r="AE133" s="351">
        <f t="shared" si="6"/>
        <v>0</v>
      </c>
    </row>
    <row r="134" spans="1:31" ht="14.1" customHeight="1">
      <c r="A134" s="76">
        <v>134</v>
      </c>
      <c r="B134" s="496" t="s">
        <v>294</v>
      </c>
      <c r="C134" s="312" t="s">
        <v>295</v>
      </c>
      <c r="D134" s="345" t="s">
        <v>307</v>
      </c>
      <c r="E134" s="346">
        <v>4</v>
      </c>
      <c r="F134" s="72" t="s">
        <v>378</v>
      </c>
      <c r="G134" s="72" t="s">
        <v>461</v>
      </c>
      <c r="H134" s="72" t="s">
        <v>311</v>
      </c>
      <c r="I134" s="502">
        <v>26.700000000000003</v>
      </c>
      <c r="J134" s="347">
        <f t="shared" si="7"/>
        <v>0</v>
      </c>
      <c r="K134" s="260" t="s">
        <v>460</v>
      </c>
      <c r="L134" s="260"/>
      <c r="M134" s="260"/>
      <c r="N134" s="260"/>
      <c r="O134" s="260"/>
      <c r="P134" s="260"/>
      <c r="Q134" s="259">
        <f>IF(K134="nio",0,IF(K134&gt;0,K134*I134/W134,0))*VLOOKUP(B134,'2-Kosten per locatie'!$A$14:$C$28,3,FALSE)</f>
        <v>0</v>
      </c>
      <c r="R134" s="259">
        <f>IF(L134&gt;0,L134*I134/X134,0)*VLOOKUP(B134,'2-Kosten per locatie'!$A$14:$C$28,3,FALSE)</f>
        <v>0</v>
      </c>
      <c r="S134" s="259">
        <f>IF(M134&gt;0,M134*I134/Y134,0)*VLOOKUP(B134,'2-Kosten per locatie'!$A$14:$C$28,3,FALSE)</f>
        <v>0</v>
      </c>
      <c r="T134" s="259">
        <f>IF(N134&gt;0,N134*I134/Z134,0)*VLOOKUP(B134,'2-Kosten per locatie'!$A$14:$C$28,3,FALSE)</f>
        <v>0</v>
      </c>
      <c r="U134" s="259">
        <f>IF(O134&gt;0,O134*I134/Y134,0)*VLOOKUP(B134,'2-Kosten per locatie'!$A$14:$C$28,3,FALSE)</f>
        <v>0</v>
      </c>
      <c r="V134" s="259">
        <f>IF(P134&gt;0,P134*I134/Z134,0)*VLOOKUP(B134,'2-Kosten per locatie'!$A$14:$C$28,3,FALSE)</f>
        <v>0</v>
      </c>
      <c r="W134" s="348">
        <f>IF(K134="nio",0,IF(K134&gt;0,VLOOKUP(G134,'3-Productie normen'!A:N,VLOOKUP(K134,'3-Productie normen'!$B$27:$C$38,2,FALSE),FALSE)))</f>
        <v>0</v>
      </c>
      <c r="X134" s="348">
        <f t="shared" si="8"/>
        <v>0</v>
      </c>
      <c r="Y134" s="348">
        <f t="shared" si="9"/>
        <v>0</v>
      </c>
      <c r="Z134" s="348">
        <f t="shared" si="10"/>
        <v>0</v>
      </c>
      <c r="AA134" s="349" t="e">
        <f>VLOOKUP(G134,'3-Productie normen'!A:Q,15,FALSE)</f>
        <v>#N/A</v>
      </c>
      <c r="AB134" s="350" t="e">
        <f>VLOOKUP(G134,'3-Productie normen'!A:Q,16,FALSE)</f>
        <v>#N/A</v>
      </c>
      <c r="AC134" s="349"/>
      <c r="AE134" s="351">
        <f t="shared" si="6"/>
        <v>0</v>
      </c>
    </row>
    <row r="135" spans="1:31" ht="14.1" customHeight="1">
      <c r="A135" s="76">
        <v>135</v>
      </c>
      <c r="B135" s="496" t="s">
        <v>294</v>
      </c>
      <c r="C135" s="312" t="s">
        <v>295</v>
      </c>
      <c r="D135" s="345" t="s">
        <v>307</v>
      </c>
      <c r="E135" s="346">
        <v>5</v>
      </c>
      <c r="F135" s="72" t="s">
        <v>379</v>
      </c>
      <c r="G135" s="72" t="s">
        <v>461</v>
      </c>
      <c r="H135" s="72" t="s">
        <v>311</v>
      </c>
      <c r="I135" s="502">
        <v>5.58</v>
      </c>
      <c r="J135" s="347">
        <f t="shared" si="7"/>
        <v>0</v>
      </c>
      <c r="K135" s="260" t="s">
        <v>460</v>
      </c>
      <c r="L135" s="260"/>
      <c r="M135" s="260"/>
      <c r="N135" s="260"/>
      <c r="O135" s="260"/>
      <c r="P135" s="260"/>
      <c r="Q135" s="259">
        <f>IF(K135="nio",0,IF(K135&gt;0,K135*I135/W135,0))*VLOOKUP(B135,'2-Kosten per locatie'!$A$14:$C$28,3,FALSE)</f>
        <v>0</v>
      </c>
      <c r="R135" s="259">
        <f>IF(L135&gt;0,L135*I135/X135,0)*VLOOKUP(B135,'2-Kosten per locatie'!$A$14:$C$28,3,FALSE)</f>
        <v>0</v>
      </c>
      <c r="S135" s="259">
        <f>IF(M135&gt;0,M135*I135/Y135,0)*VLOOKUP(B135,'2-Kosten per locatie'!$A$14:$C$28,3,FALSE)</f>
        <v>0</v>
      </c>
      <c r="T135" s="259">
        <f>IF(N135&gt;0,N135*I135/Z135,0)*VLOOKUP(B135,'2-Kosten per locatie'!$A$14:$C$28,3,FALSE)</f>
        <v>0</v>
      </c>
      <c r="U135" s="259">
        <f>IF(O135&gt;0,O135*I135/Y135,0)*VLOOKUP(B135,'2-Kosten per locatie'!$A$14:$C$28,3,FALSE)</f>
        <v>0</v>
      </c>
      <c r="V135" s="259">
        <f>IF(P135&gt;0,P135*I135/Z135,0)*VLOOKUP(B135,'2-Kosten per locatie'!$A$14:$C$28,3,FALSE)</f>
        <v>0</v>
      </c>
      <c r="W135" s="348">
        <f>IF(K135="nio",0,IF(K135&gt;0,VLOOKUP(G135,'3-Productie normen'!A:N,VLOOKUP(K135,'3-Productie normen'!$B$27:$C$38,2,FALSE),FALSE)))</f>
        <v>0</v>
      </c>
      <c r="X135" s="348">
        <f t="shared" si="8"/>
        <v>0</v>
      </c>
      <c r="Y135" s="348">
        <f t="shared" si="9"/>
        <v>0</v>
      </c>
      <c r="Z135" s="348">
        <f t="shared" si="10"/>
        <v>0</v>
      </c>
      <c r="AA135" s="349" t="e">
        <f>VLOOKUP(G135,'3-Productie normen'!A:Q,15,FALSE)</f>
        <v>#N/A</v>
      </c>
      <c r="AB135" s="350" t="e">
        <f>VLOOKUP(G135,'3-Productie normen'!A:Q,16,FALSE)</f>
        <v>#N/A</v>
      </c>
      <c r="AC135" s="349"/>
      <c r="AE135" s="351">
        <f t="shared" si="6"/>
        <v>0</v>
      </c>
    </row>
    <row r="136" spans="1:31" ht="14.1" customHeight="1">
      <c r="A136" s="76">
        <v>136</v>
      </c>
      <c r="B136" s="496" t="s">
        <v>294</v>
      </c>
      <c r="C136" s="312" t="s">
        <v>295</v>
      </c>
      <c r="D136" s="345" t="s">
        <v>307</v>
      </c>
      <c r="E136" s="346">
        <v>6</v>
      </c>
      <c r="F136" s="72" t="s">
        <v>310</v>
      </c>
      <c r="G136" s="72" t="s">
        <v>461</v>
      </c>
      <c r="H136" s="72" t="s">
        <v>311</v>
      </c>
      <c r="I136" s="502">
        <v>5.41</v>
      </c>
      <c r="J136" s="347">
        <f t="shared" si="7"/>
        <v>0</v>
      </c>
      <c r="K136" s="260" t="s">
        <v>460</v>
      </c>
      <c r="L136" s="260"/>
      <c r="M136" s="260"/>
      <c r="N136" s="260"/>
      <c r="O136" s="260"/>
      <c r="P136" s="260"/>
      <c r="Q136" s="259">
        <f>IF(K136="nio",0,IF(K136&gt;0,K136*I136/W136,0))*VLOOKUP(B136,'2-Kosten per locatie'!$A$14:$C$28,3,FALSE)</f>
        <v>0</v>
      </c>
      <c r="R136" s="259">
        <f>IF(L136&gt;0,L136*I136/X136,0)*VLOOKUP(B136,'2-Kosten per locatie'!$A$14:$C$28,3,FALSE)</f>
        <v>0</v>
      </c>
      <c r="S136" s="259">
        <f>IF(M136&gt;0,M136*I136/Y136,0)*VLOOKUP(B136,'2-Kosten per locatie'!$A$14:$C$28,3,FALSE)</f>
        <v>0</v>
      </c>
      <c r="T136" s="259">
        <f>IF(N136&gt;0,N136*I136/Z136,0)*VLOOKUP(B136,'2-Kosten per locatie'!$A$14:$C$28,3,FALSE)</f>
        <v>0</v>
      </c>
      <c r="U136" s="259">
        <f>IF(O136&gt;0,O136*I136/Y136,0)*VLOOKUP(B136,'2-Kosten per locatie'!$A$14:$C$28,3,FALSE)</f>
        <v>0</v>
      </c>
      <c r="V136" s="259">
        <f>IF(P136&gt;0,P136*I136/Z136,0)*VLOOKUP(B136,'2-Kosten per locatie'!$A$14:$C$28,3,FALSE)</f>
        <v>0</v>
      </c>
      <c r="W136" s="348">
        <f>IF(K136="nio",0,IF(K136&gt;0,VLOOKUP(G136,'3-Productie normen'!A:N,VLOOKUP(K136,'3-Productie normen'!$B$27:$C$38,2,FALSE),FALSE)))</f>
        <v>0</v>
      </c>
      <c r="X136" s="348">
        <f t="shared" si="8"/>
        <v>0</v>
      </c>
      <c r="Y136" s="348">
        <f t="shared" si="9"/>
        <v>0</v>
      </c>
      <c r="Z136" s="348">
        <f t="shared" si="10"/>
        <v>0</v>
      </c>
      <c r="AA136" s="349" t="e">
        <f>VLOOKUP(G136,'3-Productie normen'!A:Q,15,FALSE)</f>
        <v>#N/A</v>
      </c>
      <c r="AB136" s="350" t="e">
        <f>VLOOKUP(G136,'3-Productie normen'!A:Q,16,FALSE)</f>
        <v>#N/A</v>
      </c>
      <c r="AC136" s="349"/>
      <c r="AE136" s="351">
        <f t="shared" si="6"/>
        <v>0</v>
      </c>
    </row>
    <row r="137" spans="1:31" ht="14.1" customHeight="1">
      <c r="A137" s="76">
        <v>137</v>
      </c>
      <c r="B137" s="496" t="s">
        <v>294</v>
      </c>
      <c r="C137" s="312" t="s">
        <v>295</v>
      </c>
      <c r="D137" s="345" t="s">
        <v>307</v>
      </c>
      <c r="E137" s="346">
        <v>7</v>
      </c>
      <c r="F137" s="72" t="s">
        <v>310</v>
      </c>
      <c r="G137" s="72" t="s">
        <v>81</v>
      </c>
      <c r="H137" s="72" t="s">
        <v>311</v>
      </c>
      <c r="I137" s="502">
        <v>4.8099999999999996</v>
      </c>
      <c r="J137" s="347">
        <v>230</v>
      </c>
      <c r="K137" s="260">
        <v>230</v>
      </c>
      <c r="L137" s="260"/>
      <c r="M137" s="260">
        <v>46</v>
      </c>
      <c r="N137" s="260"/>
      <c r="O137" s="260"/>
      <c r="P137" s="260"/>
      <c r="Q137" s="259" t="e">
        <f>IF(K137="nio",0,IF(K137&gt;0,K137*I137/W137,0))*VLOOKUP(B137,'2-Kosten per locatie'!$A$14:$C$28,3,FALSE)</f>
        <v>#DIV/0!</v>
      </c>
      <c r="R137" s="259">
        <f>IF(L137&gt;0,L137*I137/X137,0)*VLOOKUP(B137,'2-Kosten per locatie'!$A$14:$C$28,3,FALSE)</f>
        <v>0</v>
      </c>
      <c r="S137" s="259" t="e">
        <f>IF(M137&gt;0,M137*I137/Y137,0)*VLOOKUP(B137,'2-Kosten per locatie'!$A$14:$C$28,3,FALSE)</f>
        <v>#DIV/0!</v>
      </c>
      <c r="T137" s="259">
        <f>IF(N137&gt;0,N137*I137/Z137,0)*VLOOKUP(B137,'2-Kosten per locatie'!$A$14:$C$28,3,FALSE)</f>
        <v>0</v>
      </c>
      <c r="U137" s="259">
        <f>IF(O137&gt;0,O137*I137/Y137,0)*VLOOKUP(B137,'2-Kosten per locatie'!$A$14:$C$28,3,FALSE)</f>
        <v>0</v>
      </c>
      <c r="V137" s="259">
        <f>IF(P137&gt;0,P137*I137/Z137,0)*VLOOKUP(B137,'2-Kosten per locatie'!$A$14:$C$28,3,FALSE)</f>
        <v>0</v>
      </c>
      <c r="W137" s="348">
        <f>IF(K137="nio",0,IF(K137&gt;0,VLOOKUP(G137,'3-Productie normen'!A:N,VLOOKUP(K137,'3-Productie normen'!$B$27:$C$38,2,FALSE),FALSE)))</f>
        <v>0</v>
      </c>
      <c r="X137" s="348">
        <f t="shared" si="8"/>
        <v>0</v>
      </c>
      <c r="Y137" s="348">
        <f t="shared" si="9"/>
        <v>0</v>
      </c>
      <c r="Z137" s="348">
        <f t="shared" si="10"/>
        <v>0</v>
      </c>
      <c r="AA137" s="349">
        <f>VLOOKUP(G137,'3-Productie normen'!A:Q,15,FALSE)</f>
        <v>235.06999999999988</v>
      </c>
      <c r="AB137" s="350">
        <f>VLOOKUP(G137,'3-Productie normen'!A:Q,16,FALSE)</f>
        <v>0</v>
      </c>
      <c r="AC137" s="349"/>
      <c r="AE137" s="351">
        <f t="shared" si="6"/>
        <v>1106.3</v>
      </c>
    </row>
    <row r="138" spans="1:31" ht="14.1" customHeight="1">
      <c r="A138" s="76">
        <v>138</v>
      </c>
      <c r="B138" s="496" t="s">
        <v>294</v>
      </c>
      <c r="C138" s="312" t="s">
        <v>295</v>
      </c>
      <c r="D138" s="345" t="s">
        <v>307</v>
      </c>
      <c r="E138" s="346">
        <v>8</v>
      </c>
      <c r="F138" s="72" t="s">
        <v>336</v>
      </c>
      <c r="G138" s="72" t="s">
        <v>81</v>
      </c>
      <c r="H138" s="72" t="s">
        <v>311</v>
      </c>
      <c r="I138" s="502">
        <v>4</v>
      </c>
      <c r="J138" s="347">
        <v>230</v>
      </c>
      <c r="K138" s="260">
        <v>230</v>
      </c>
      <c r="L138" s="260"/>
      <c r="M138" s="260">
        <v>46</v>
      </c>
      <c r="N138" s="260"/>
      <c r="O138" s="260"/>
      <c r="P138" s="260"/>
      <c r="Q138" s="259" t="e">
        <f>IF(K138="nio",0,IF(K138&gt;0,K138*I138/W138,0))*VLOOKUP(B138,'2-Kosten per locatie'!$A$14:$C$28,3,FALSE)</f>
        <v>#DIV/0!</v>
      </c>
      <c r="R138" s="259">
        <f>IF(L138&gt;0,L138*I138/X138,0)*VLOOKUP(B138,'2-Kosten per locatie'!$A$14:$C$28,3,FALSE)</f>
        <v>0</v>
      </c>
      <c r="S138" s="259" t="e">
        <f>IF(M138&gt;0,M138*I138/Y138,0)*VLOOKUP(B138,'2-Kosten per locatie'!$A$14:$C$28,3,FALSE)</f>
        <v>#DIV/0!</v>
      </c>
      <c r="T138" s="259">
        <f>IF(N138&gt;0,N138*I138/Z138,0)*VLOOKUP(B138,'2-Kosten per locatie'!$A$14:$C$28,3,FALSE)</f>
        <v>0</v>
      </c>
      <c r="U138" s="259">
        <f>IF(O138&gt;0,O138*I138/Y138,0)*VLOOKUP(B138,'2-Kosten per locatie'!$A$14:$C$28,3,FALSE)</f>
        <v>0</v>
      </c>
      <c r="V138" s="259">
        <f>IF(P138&gt;0,P138*I138/Z138,0)*VLOOKUP(B138,'2-Kosten per locatie'!$A$14:$C$28,3,FALSE)</f>
        <v>0</v>
      </c>
      <c r="W138" s="348">
        <f>IF(K138="nio",0,IF(K138&gt;0,VLOOKUP(G138,'3-Productie normen'!A:N,VLOOKUP(K138,'3-Productie normen'!$B$27:$C$38,2,FALSE),FALSE)))</f>
        <v>0</v>
      </c>
      <c r="X138" s="348">
        <f t="shared" si="8"/>
        <v>0</v>
      </c>
      <c r="Y138" s="348">
        <f t="shared" si="9"/>
        <v>0</v>
      </c>
      <c r="Z138" s="348">
        <f t="shared" si="10"/>
        <v>0</v>
      </c>
      <c r="AA138" s="349">
        <f>VLOOKUP(G138,'3-Productie normen'!A:Q,15,FALSE)</f>
        <v>235.06999999999988</v>
      </c>
      <c r="AB138" s="350">
        <f>VLOOKUP(G138,'3-Productie normen'!A:Q,16,FALSE)</f>
        <v>0</v>
      </c>
      <c r="AC138" s="349"/>
      <c r="AE138" s="351">
        <f t="shared" ref="AE138:AE201" si="11">J138*I138</f>
        <v>920</v>
      </c>
    </row>
    <row r="139" spans="1:31" ht="14.1" customHeight="1">
      <c r="A139" s="76">
        <v>139</v>
      </c>
      <c r="B139" s="496" t="s">
        <v>294</v>
      </c>
      <c r="C139" s="312" t="s">
        <v>295</v>
      </c>
      <c r="D139" s="345" t="s">
        <v>307</v>
      </c>
      <c r="E139" s="346">
        <v>9</v>
      </c>
      <c r="F139" s="72" t="s">
        <v>375</v>
      </c>
      <c r="G139" s="72" t="s">
        <v>338</v>
      </c>
      <c r="H139" s="72" t="s">
        <v>311</v>
      </c>
      <c r="I139" s="502">
        <v>11.46</v>
      </c>
      <c r="J139" s="347">
        <v>230</v>
      </c>
      <c r="K139" s="260">
        <v>230</v>
      </c>
      <c r="L139" s="260"/>
      <c r="M139" s="260">
        <v>46</v>
      </c>
      <c r="N139" s="260"/>
      <c r="O139" s="260"/>
      <c r="P139" s="260"/>
      <c r="Q139" s="259" t="e">
        <f>IF(K139="nio",0,IF(K139&gt;0,K139*I139/W139,0))*VLOOKUP(B139,'2-Kosten per locatie'!$A$14:$C$28,3,FALSE)</f>
        <v>#DIV/0!</v>
      </c>
      <c r="R139" s="259">
        <f>IF(L139&gt;0,L139*I139/X139,0)*VLOOKUP(B139,'2-Kosten per locatie'!$A$14:$C$28,3,FALSE)</f>
        <v>0</v>
      </c>
      <c r="S139" s="259" t="e">
        <f>IF(M139&gt;0,M139*I139/Y139,0)*VLOOKUP(B139,'2-Kosten per locatie'!$A$14:$C$28,3,FALSE)</f>
        <v>#DIV/0!</v>
      </c>
      <c r="T139" s="259">
        <f>IF(N139&gt;0,N139*I139/Z139,0)*VLOOKUP(B139,'2-Kosten per locatie'!$A$14:$C$28,3,FALSE)</f>
        <v>0</v>
      </c>
      <c r="U139" s="259">
        <f>IF(O139&gt;0,O139*I139/Y139,0)*VLOOKUP(B139,'2-Kosten per locatie'!$A$14:$C$28,3,FALSE)</f>
        <v>0</v>
      </c>
      <c r="V139" s="259">
        <f>IF(P139&gt;0,P139*I139/Z139,0)*VLOOKUP(B139,'2-Kosten per locatie'!$A$14:$C$28,3,FALSE)</f>
        <v>0</v>
      </c>
      <c r="W139" s="348">
        <f>IF(K139="nio",0,IF(K139&gt;0,VLOOKUP(G139,'3-Productie normen'!A:N,VLOOKUP(K139,'3-Productie normen'!$B$27:$C$38,2,FALSE),FALSE)))</f>
        <v>0</v>
      </c>
      <c r="X139" s="348">
        <f t="shared" ref="X139:X202" si="12">IF(L139&gt;0,W139*$X$8,0)</f>
        <v>0</v>
      </c>
      <c r="Y139" s="348">
        <f t="shared" ref="Y139:Y202" si="13">IF((OR(M139&gt;0,O139&gt;0)),W139*$Y$8,0)</f>
        <v>0</v>
      </c>
      <c r="Z139" s="348">
        <f t="shared" ref="Z139:Z202" si="14">IF((OR(N139&gt;0,P139&gt;0)),W139*$Z$8,0)</f>
        <v>0</v>
      </c>
      <c r="AA139" s="349">
        <f>VLOOKUP(G139,'3-Productie normen'!A:Q,15,FALSE)</f>
        <v>11.46</v>
      </c>
      <c r="AB139" s="350">
        <f>VLOOKUP(G139,'3-Productie normen'!A:Q,16,FALSE)</f>
        <v>0</v>
      </c>
      <c r="AC139" s="349"/>
      <c r="AE139" s="351">
        <f t="shared" si="11"/>
        <v>2635.8</v>
      </c>
    </row>
    <row r="140" spans="1:31" ht="14.1" customHeight="1">
      <c r="A140" s="76">
        <v>140</v>
      </c>
      <c r="B140" s="496" t="s">
        <v>294</v>
      </c>
      <c r="C140" s="312" t="s">
        <v>295</v>
      </c>
      <c r="D140" s="345" t="s">
        <v>307</v>
      </c>
      <c r="E140" s="346">
        <v>10</v>
      </c>
      <c r="F140" s="72" t="s">
        <v>312</v>
      </c>
      <c r="G140" s="72" t="s">
        <v>83</v>
      </c>
      <c r="H140" s="72" t="s">
        <v>330</v>
      </c>
      <c r="I140" s="502">
        <v>7.79</v>
      </c>
      <c r="J140" s="347">
        <v>230</v>
      </c>
      <c r="K140" s="260">
        <v>230</v>
      </c>
      <c r="L140" s="260"/>
      <c r="M140" s="260">
        <v>46</v>
      </c>
      <c r="N140" s="260"/>
      <c r="O140" s="260"/>
      <c r="P140" s="260"/>
      <c r="Q140" s="259" t="e">
        <f>IF(K140="nio",0,IF(K140&gt;0,K140*I140/W140,0))*VLOOKUP(B140,'2-Kosten per locatie'!$A$14:$C$28,3,FALSE)</f>
        <v>#DIV/0!</v>
      </c>
      <c r="R140" s="259">
        <f>IF(L140&gt;0,L140*I140/X140,0)*VLOOKUP(B140,'2-Kosten per locatie'!$A$14:$C$28,3,FALSE)</f>
        <v>0</v>
      </c>
      <c r="S140" s="259" t="e">
        <f>IF(M140&gt;0,M140*I140/Y140,0)*VLOOKUP(B140,'2-Kosten per locatie'!$A$14:$C$28,3,FALSE)</f>
        <v>#DIV/0!</v>
      </c>
      <c r="T140" s="259">
        <f>IF(N140&gt;0,N140*I140/Z140,0)*VLOOKUP(B140,'2-Kosten per locatie'!$A$14:$C$28,3,FALSE)</f>
        <v>0</v>
      </c>
      <c r="U140" s="259">
        <f>IF(O140&gt;0,O140*I140/Y140,0)*VLOOKUP(B140,'2-Kosten per locatie'!$A$14:$C$28,3,FALSE)</f>
        <v>0</v>
      </c>
      <c r="V140" s="259">
        <f>IF(P140&gt;0,P140*I140/Z140,0)*VLOOKUP(B140,'2-Kosten per locatie'!$A$14:$C$28,3,FALSE)</f>
        <v>0</v>
      </c>
      <c r="W140" s="348">
        <f>IF(K140="nio",0,IF(K140&gt;0,VLOOKUP(G140,'3-Productie normen'!A:N,VLOOKUP(K140,'3-Productie normen'!$B$27:$C$38,2,FALSE),FALSE)))</f>
        <v>0</v>
      </c>
      <c r="X140" s="348">
        <f t="shared" si="12"/>
        <v>0</v>
      </c>
      <c r="Y140" s="348">
        <f t="shared" si="13"/>
        <v>0</v>
      </c>
      <c r="Z140" s="348">
        <f t="shared" si="14"/>
        <v>0</v>
      </c>
      <c r="AA140" s="349">
        <f>VLOOKUP(G140,'3-Productie normen'!A:Q,15,FALSE)</f>
        <v>773.68459999999982</v>
      </c>
      <c r="AB140" s="350">
        <f>VLOOKUP(G140,'3-Productie normen'!A:Q,16,FALSE)</f>
        <v>0</v>
      </c>
      <c r="AC140" s="349"/>
      <c r="AE140" s="351">
        <f t="shared" si="11"/>
        <v>1791.7</v>
      </c>
    </row>
    <row r="141" spans="1:31" ht="14.1" customHeight="1">
      <c r="A141" s="76">
        <v>141</v>
      </c>
      <c r="B141" s="496" t="s">
        <v>294</v>
      </c>
      <c r="C141" s="312" t="s">
        <v>295</v>
      </c>
      <c r="D141" s="345" t="s">
        <v>307</v>
      </c>
      <c r="E141" s="346">
        <v>11</v>
      </c>
      <c r="F141" s="72" t="s">
        <v>317</v>
      </c>
      <c r="G141" s="72" t="s">
        <v>355</v>
      </c>
      <c r="H141" s="72" t="s">
        <v>316</v>
      </c>
      <c r="I141" s="502">
        <v>250.63</v>
      </c>
      <c r="J141" s="347">
        <v>230</v>
      </c>
      <c r="K141" s="260">
        <v>230</v>
      </c>
      <c r="L141" s="260"/>
      <c r="M141" s="260">
        <v>46</v>
      </c>
      <c r="N141" s="260"/>
      <c r="O141" s="260"/>
      <c r="P141" s="260"/>
      <c r="Q141" s="259" t="e">
        <f>IF(K141="nio",0,IF(K141&gt;0,K141*I141/W141,0))*VLOOKUP(B141,'2-Kosten per locatie'!$A$14:$C$28,3,FALSE)</f>
        <v>#DIV/0!</v>
      </c>
      <c r="R141" s="259">
        <f>IF(L141&gt;0,L141*I141/X141,0)*VLOOKUP(B141,'2-Kosten per locatie'!$A$14:$C$28,3,FALSE)</f>
        <v>0</v>
      </c>
      <c r="S141" s="259" t="e">
        <f>IF(M141&gt;0,M141*I141/Y141,0)*VLOOKUP(B141,'2-Kosten per locatie'!$A$14:$C$28,3,FALSE)</f>
        <v>#DIV/0!</v>
      </c>
      <c r="T141" s="259">
        <f>IF(N141&gt;0,N141*I141/Z141,0)*VLOOKUP(B141,'2-Kosten per locatie'!$A$14:$C$28,3,FALSE)</f>
        <v>0</v>
      </c>
      <c r="U141" s="259">
        <f>IF(O141&gt;0,O141*I141/Y141,0)*VLOOKUP(B141,'2-Kosten per locatie'!$A$14:$C$28,3,FALSE)</f>
        <v>0</v>
      </c>
      <c r="V141" s="259">
        <f>IF(P141&gt;0,P141*I141/Z141,0)*VLOOKUP(B141,'2-Kosten per locatie'!$A$14:$C$28,3,FALSE)</f>
        <v>0</v>
      </c>
      <c r="W141" s="348">
        <f>IF(K141="nio",0,IF(K141&gt;0,VLOOKUP(G141,'3-Productie normen'!A:N,VLOOKUP(K141,'3-Productie normen'!$B$27:$C$38,2,FALSE),FALSE)))</f>
        <v>0</v>
      </c>
      <c r="X141" s="348">
        <f t="shared" si="12"/>
        <v>0</v>
      </c>
      <c r="Y141" s="348">
        <f t="shared" si="13"/>
        <v>0</v>
      </c>
      <c r="Z141" s="348">
        <f t="shared" si="14"/>
        <v>0</v>
      </c>
      <c r="AA141" s="349">
        <f>VLOOKUP(G141,'3-Productie normen'!A:Q,15,FALSE)</f>
        <v>6683.51</v>
      </c>
      <c r="AB141" s="350">
        <f>VLOOKUP(G141,'3-Productie normen'!A:Q,16,FALSE)</f>
        <v>0</v>
      </c>
      <c r="AC141" s="349"/>
      <c r="AE141" s="351">
        <f t="shared" si="11"/>
        <v>57644.9</v>
      </c>
    </row>
    <row r="142" spans="1:31" ht="14.1" customHeight="1">
      <c r="A142" s="76">
        <v>142</v>
      </c>
      <c r="B142" s="496" t="s">
        <v>294</v>
      </c>
      <c r="C142" s="312" t="s">
        <v>295</v>
      </c>
      <c r="D142" s="345" t="s">
        <v>307</v>
      </c>
      <c r="E142" s="346">
        <v>12</v>
      </c>
      <c r="F142" s="72" t="s">
        <v>315</v>
      </c>
      <c r="G142" s="72" t="s">
        <v>87</v>
      </c>
      <c r="H142" s="72" t="s">
        <v>316</v>
      </c>
      <c r="I142" s="502">
        <v>31.810000000000002</v>
      </c>
      <c r="J142" s="347">
        <v>46</v>
      </c>
      <c r="K142" s="260">
        <v>46</v>
      </c>
      <c r="L142" s="260"/>
      <c r="M142" s="260"/>
      <c r="N142" s="260"/>
      <c r="O142" s="260"/>
      <c r="P142" s="260"/>
      <c r="Q142" s="259" t="e">
        <f>IF(K142="nio",0,IF(K142&gt;0,K142*I142/W142,0))*VLOOKUP(B142,'2-Kosten per locatie'!$A$14:$C$28,3,FALSE)</f>
        <v>#DIV/0!</v>
      </c>
      <c r="R142" s="259">
        <f>IF(L142&gt;0,L142*I142/X142,0)*VLOOKUP(B142,'2-Kosten per locatie'!$A$14:$C$28,3,FALSE)</f>
        <v>0</v>
      </c>
      <c r="S142" s="259">
        <f>IF(M142&gt;0,M142*I142/Y142,0)*VLOOKUP(B142,'2-Kosten per locatie'!$A$14:$C$28,3,FALSE)</f>
        <v>0</v>
      </c>
      <c r="T142" s="259">
        <f>IF(N142&gt;0,N142*I142/Z142,0)*VLOOKUP(B142,'2-Kosten per locatie'!$A$14:$C$28,3,FALSE)</f>
        <v>0</v>
      </c>
      <c r="U142" s="259">
        <f>IF(O142&gt;0,O142*I142/Y142,0)*VLOOKUP(B142,'2-Kosten per locatie'!$A$14:$C$28,3,FALSE)</f>
        <v>0</v>
      </c>
      <c r="V142" s="259">
        <f>IF(P142&gt;0,P142*I142/Z142,0)*VLOOKUP(B142,'2-Kosten per locatie'!$A$14:$C$28,3,FALSE)</f>
        <v>0</v>
      </c>
      <c r="W142" s="348">
        <f>IF(K142="nio",0,IF(K142&gt;0,VLOOKUP(G142,'3-Productie normen'!A:N,VLOOKUP(K142,'3-Productie normen'!$B$27:$C$38,2,FALSE),FALSE)))</f>
        <v>0</v>
      </c>
      <c r="X142" s="348">
        <f t="shared" si="12"/>
        <v>0</v>
      </c>
      <c r="Y142" s="348">
        <f t="shared" si="13"/>
        <v>0</v>
      </c>
      <c r="Z142" s="348">
        <f t="shared" si="14"/>
        <v>0</v>
      </c>
      <c r="AA142" s="349">
        <f>VLOOKUP(G142,'3-Productie normen'!A:Q,15,FALSE)</f>
        <v>661.27599999999984</v>
      </c>
      <c r="AB142" s="350">
        <f>VLOOKUP(G142,'3-Productie normen'!A:Q,16,FALSE)</f>
        <v>0</v>
      </c>
      <c r="AC142" s="349"/>
      <c r="AE142" s="351">
        <f t="shared" si="11"/>
        <v>1463.2600000000002</v>
      </c>
    </row>
    <row r="143" spans="1:31" ht="14.1" customHeight="1">
      <c r="A143" s="76">
        <v>143</v>
      </c>
      <c r="B143" s="496" t="s">
        <v>294</v>
      </c>
      <c r="C143" s="312" t="s">
        <v>295</v>
      </c>
      <c r="D143" s="345" t="s">
        <v>307</v>
      </c>
      <c r="E143" s="346">
        <v>13</v>
      </c>
      <c r="F143" s="312" t="s">
        <v>380</v>
      </c>
      <c r="G143" s="312" t="s">
        <v>461</v>
      </c>
      <c r="H143" s="72" t="s">
        <v>311</v>
      </c>
      <c r="I143" s="502">
        <v>4.84</v>
      </c>
      <c r="J143" s="347">
        <f t="shared" ref="J143:J202" si="15">SUM(K143:P143)</f>
        <v>0</v>
      </c>
      <c r="K143" s="260" t="s">
        <v>460</v>
      </c>
      <c r="L143" s="260"/>
      <c r="M143" s="260"/>
      <c r="N143" s="260"/>
      <c r="O143" s="260"/>
      <c r="P143" s="260"/>
      <c r="Q143" s="259">
        <f>IF(K143="nio",0,IF(K143&gt;0,K143*I143/W143,0))*VLOOKUP(B143,'2-Kosten per locatie'!$A$14:$C$28,3,FALSE)</f>
        <v>0</v>
      </c>
      <c r="R143" s="259">
        <f>IF(L143&gt;0,L143*I143/X143,0)*VLOOKUP(B143,'2-Kosten per locatie'!$A$14:$C$28,3,FALSE)</f>
        <v>0</v>
      </c>
      <c r="S143" s="259">
        <f>IF(M143&gt;0,M143*I143/Y143,0)*VLOOKUP(B143,'2-Kosten per locatie'!$A$14:$C$28,3,FALSE)</f>
        <v>0</v>
      </c>
      <c r="T143" s="259">
        <f>IF(N143&gt;0,N143*I143/Z143,0)*VLOOKUP(B143,'2-Kosten per locatie'!$A$14:$C$28,3,FALSE)</f>
        <v>0</v>
      </c>
      <c r="U143" s="259">
        <f>IF(O143&gt;0,O143*I143/Y143,0)*VLOOKUP(B143,'2-Kosten per locatie'!$A$14:$C$28,3,FALSE)</f>
        <v>0</v>
      </c>
      <c r="V143" s="259">
        <f>IF(P143&gt;0,P143*I143/Z143,0)*VLOOKUP(B143,'2-Kosten per locatie'!$A$14:$C$28,3,FALSE)</f>
        <v>0</v>
      </c>
      <c r="W143" s="348">
        <f>IF(K143="nio",0,IF(K143&gt;0,VLOOKUP(G143,'3-Productie normen'!A:N,VLOOKUP(K143,'3-Productie normen'!$B$27:$C$38,2,FALSE),FALSE)))</f>
        <v>0</v>
      </c>
      <c r="X143" s="348">
        <f t="shared" si="12"/>
        <v>0</v>
      </c>
      <c r="Y143" s="348">
        <f t="shared" si="13"/>
        <v>0</v>
      </c>
      <c r="Z143" s="348">
        <f t="shared" si="14"/>
        <v>0</v>
      </c>
      <c r="AA143" s="349" t="e">
        <f>VLOOKUP(G143,'3-Productie normen'!A:Q,15,FALSE)</f>
        <v>#N/A</v>
      </c>
      <c r="AB143" s="350" t="e">
        <f>VLOOKUP(G143,'3-Productie normen'!A:Q,16,FALSE)</f>
        <v>#N/A</v>
      </c>
      <c r="AC143" s="349"/>
      <c r="AE143" s="351">
        <f t="shared" si="11"/>
        <v>0</v>
      </c>
    </row>
    <row r="144" spans="1:31" ht="14.1" customHeight="1">
      <c r="A144" s="76">
        <v>144</v>
      </c>
      <c r="B144" s="496" t="s">
        <v>294</v>
      </c>
      <c r="C144" s="312" t="s">
        <v>295</v>
      </c>
      <c r="D144" s="345" t="s">
        <v>307</v>
      </c>
      <c r="E144" s="346">
        <v>14</v>
      </c>
      <c r="F144" s="312" t="s">
        <v>381</v>
      </c>
      <c r="G144" s="312" t="s">
        <v>461</v>
      </c>
      <c r="H144" s="72" t="s">
        <v>311</v>
      </c>
      <c r="I144" s="502">
        <v>2.89</v>
      </c>
      <c r="J144" s="347">
        <f t="shared" si="15"/>
        <v>0</v>
      </c>
      <c r="K144" s="260" t="s">
        <v>460</v>
      </c>
      <c r="L144" s="260"/>
      <c r="M144" s="260"/>
      <c r="N144" s="260"/>
      <c r="O144" s="260"/>
      <c r="P144" s="260"/>
      <c r="Q144" s="259">
        <f>IF(K144="nio",0,IF(K144&gt;0,K144*I144/W144,0))*VLOOKUP(B144,'2-Kosten per locatie'!$A$14:$C$28,3,FALSE)</f>
        <v>0</v>
      </c>
      <c r="R144" s="259">
        <f>IF(L144&gt;0,L144*I144/X144,0)*VLOOKUP(B144,'2-Kosten per locatie'!$A$14:$C$28,3,FALSE)</f>
        <v>0</v>
      </c>
      <c r="S144" s="259">
        <f>IF(M144&gt;0,M144*I144/Y144,0)*VLOOKUP(B144,'2-Kosten per locatie'!$A$14:$C$28,3,FALSE)</f>
        <v>0</v>
      </c>
      <c r="T144" s="259">
        <f>IF(N144&gt;0,N144*I144/Z144,0)*VLOOKUP(B144,'2-Kosten per locatie'!$A$14:$C$28,3,FALSE)</f>
        <v>0</v>
      </c>
      <c r="U144" s="259">
        <f>IF(O144&gt;0,O144*I144/Y144,0)*VLOOKUP(B144,'2-Kosten per locatie'!$A$14:$C$28,3,FALSE)</f>
        <v>0</v>
      </c>
      <c r="V144" s="259">
        <f>IF(P144&gt;0,P144*I144/Z144,0)*VLOOKUP(B144,'2-Kosten per locatie'!$A$14:$C$28,3,FALSE)</f>
        <v>0</v>
      </c>
      <c r="W144" s="348">
        <f>IF(K144="nio",0,IF(K144&gt;0,VLOOKUP(G144,'3-Productie normen'!A:N,VLOOKUP(K144,'3-Productie normen'!$B$27:$C$38,2,FALSE),FALSE)))</f>
        <v>0</v>
      </c>
      <c r="X144" s="348">
        <f t="shared" si="12"/>
        <v>0</v>
      </c>
      <c r="Y144" s="348">
        <f t="shared" si="13"/>
        <v>0</v>
      </c>
      <c r="Z144" s="348">
        <f t="shared" si="14"/>
        <v>0</v>
      </c>
      <c r="AA144" s="349" t="e">
        <f>VLOOKUP(G144,'3-Productie normen'!A:Q,15,FALSE)</f>
        <v>#N/A</v>
      </c>
      <c r="AB144" s="350" t="e">
        <f>VLOOKUP(G144,'3-Productie normen'!A:Q,16,FALSE)</f>
        <v>#N/A</v>
      </c>
      <c r="AC144" s="349"/>
      <c r="AE144" s="351">
        <f t="shared" si="11"/>
        <v>0</v>
      </c>
    </row>
    <row r="145" spans="1:31" ht="14.1" customHeight="1">
      <c r="A145" s="76">
        <v>145</v>
      </c>
      <c r="B145" s="496" t="s">
        <v>294</v>
      </c>
      <c r="C145" s="312" t="s">
        <v>295</v>
      </c>
      <c r="D145" s="345" t="s">
        <v>307</v>
      </c>
      <c r="E145" s="346">
        <v>15</v>
      </c>
      <c r="F145" s="312" t="s">
        <v>313</v>
      </c>
      <c r="G145" s="312" t="s">
        <v>85</v>
      </c>
      <c r="H145" s="72" t="s">
        <v>311</v>
      </c>
      <c r="I145" s="502">
        <v>30.04</v>
      </c>
      <c r="J145" s="347">
        <v>230</v>
      </c>
      <c r="K145" s="260">
        <v>230</v>
      </c>
      <c r="L145" s="260"/>
      <c r="M145" s="260">
        <v>46</v>
      </c>
      <c r="N145" s="260"/>
      <c r="O145" s="260"/>
      <c r="P145" s="260"/>
      <c r="Q145" s="259" t="e">
        <f>IF(K145="nio",0,IF(K145&gt;0,K145*I145/W145,0))*VLOOKUP(B145,'2-Kosten per locatie'!$A$14:$C$28,3,FALSE)</f>
        <v>#DIV/0!</v>
      </c>
      <c r="R145" s="259">
        <f>IF(L145&gt;0,L145*I145/X145,0)*VLOOKUP(B145,'2-Kosten per locatie'!$A$14:$C$28,3,FALSE)</f>
        <v>0</v>
      </c>
      <c r="S145" s="259" t="e">
        <f>IF(M145&gt;0,M145*I145/Y145,0)*VLOOKUP(B145,'2-Kosten per locatie'!$A$14:$C$28,3,FALSE)</f>
        <v>#DIV/0!</v>
      </c>
      <c r="T145" s="259">
        <f>IF(N145&gt;0,N145*I145/Z145,0)*VLOOKUP(B145,'2-Kosten per locatie'!$A$14:$C$28,3,FALSE)</f>
        <v>0</v>
      </c>
      <c r="U145" s="259">
        <f>IF(O145&gt;0,O145*I145/Y145,0)*VLOOKUP(B145,'2-Kosten per locatie'!$A$14:$C$28,3,FALSE)</f>
        <v>0</v>
      </c>
      <c r="V145" s="259">
        <f>IF(P145&gt;0,P145*I145/Z145,0)*VLOOKUP(B145,'2-Kosten per locatie'!$A$14:$C$28,3,FALSE)</f>
        <v>0</v>
      </c>
      <c r="W145" s="348">
        <f>IF(K145="nio",0,IF(K145&gt;0,VLOOKUP(G145,'3-Productie normen'!A:N,VLOOKUP(K145,'3-Productie normen'!$B$27:$C$38,2,FALSE),FALSE)))</f>
        <v>0</v>
      </c>
      <c r="X145" s="348">
        <f t="shared" si="12"/>
        <v>0</v>
      </c>
      <c r="Y145" s="348">
        <f t="shared" si="13"/>
        <v>0</v>
      </c>
      <c r="Z145" s="348">
        <f t="shared" si="14"/>
        <v>0</v>
      </c>
      <c r="AA145" s="349">
        <f>VLOOKUP(G145,'3-Productie normen'!A:Q,15,FALSE)</f>
        <v>1367.5950000000007</v>
      </c>
      <c r="AB145" s="350">
        <f>VLOOKUP(G145,'3-Productie normen'!A:Q,16,FALSE)</f>
        <v>0</v>
      </c>
      <c r="AC145" s="349"/>
      <c r="AE145" s="351">
        <f t="shared" si="11"/>
        <v>6909.2</v>
      </c>
    </row>
    <row r="146" spans="1:31" ht="14.1" customHeight="1">
      <c r="A146" s="76">
        <v>146</v>
      </c>
      <c r="B146" s="496" t="s">
        <v>294</v>
      </c>
      <c r="C146" s="312" t="s">
        <v>295</v>
      </c>
      <c r="D146" s="345" t="s">
        <v>307</v>
      </c>
      <c r="E146" s="346">
        <v>16</v>
      </c>
      <c r="F146" s="72" t="s">
        <v>310</v>
      </c>
      <c r="G146" s="72" t="s">
        <v>81</v>
      </c>
      <c r="H146" s="72" t="s">
        <v>311</v>
      </c>
      <c r="I146" s="502">
        <v>1.56</v>
      </c>
      <c r="J146" s="347">
        <v>230</v>
      </c>
      <c r="K146" s="260">
        <v>230</v>
      </c>
      <c r="L146" s="260"/>
      <c r="M146" s="260">
        <v>46</v>
      </c>
      <c r="N146" s="260"/>
      <c r="O146" s="260"/>
      <c r="P146" s="260"/>
      <c r="Q146" s="259" t="e">
        <f>IF(K146="nio",0,IF(K146&gt;0,K146*I146/W146,0))*VLOOKUP(B146,'2-Kosten per locatie'!$A$14:$C$28,3,FALSE)</f>
        <v>#DIV/0!</v>
      </c>
      <c r="R146" s="259">
        <f>IF(L146&gt;0,L146*I146/X146,0)*VLOOKUP(B146,'2-Kosten per locatie'!$A$14:$C$28,3,FALSE)</f>
        <v>0</v>
      </c>
      <c r="S146" s="259" t="e">
        <f>IF(M146&gt;0,M146*I146/Y146,0)*VLOOKUP(B146,'2-Kosten per locatie'!$A$14:$C$28,3,FALSE)</f>
        <v>#DIV/0!</v>
      </c>
      <c r="T146" s="259">
        <f>IF(N146&gt;0,N146*I146/Z146,0)*VLOOKUP(B146,'2-Kosten per locatie'!$A$14:$C$28,3,FALSE)</f>
        <v>0</v>
      </c>
      <c r="U146" s="259">
        <f>IF(O146&gt;0,O146*I146/Y146,0)*VLOOKUP(B146,'2-Kosten per locatie'!$A$14:$C$28,3,FALSE)</f>
        <v>0</v>
      </c>
      <c r="V146" s="259">
        <f>IF(P146&gt;0,P146*I146/Z146,0)*VLOOKUP(B146,'2-Kosten per locatie'!$A$14:$C$28,3,FALSE)</f>
        <v>0</v>
      </c>
      <c r="W146" s="348">
        <f>IF(K146="nio",0,IF(K146&gt;0,VLOOKUP(G146,'3-Productie normen'!A:N,VLOOKUP(K146,'3-Productie normen'!$B$27:$C$38,2,FALSE),FALSE)))</f>
        <v>0</v>
      </c>
      <c r="X146" s="348">
        <f t="shared" si="12"/>
        <v>0</v>
      </c>
      <c r="Y146" s="348">
        <f t="shared" si="13"/>
        <v>0</v>
      </c>
      <c r="Z146" s="348">
        <f t="shared" si="14"/>
        <v>0</v>
      </c>
      <c r="AA146" s="349">
        <f>VLOOKUP(G146,'3-Productie normen'!A:Q,15,FALSE)</f>
        <v>235.06999999999988</v>
      </c>
      <c r="AB146" s="350">
        <f>VLOOKUP(G146,'3-Productie normen'!A:Q,16,FALSE)</f>
        <v>0</v>
      </c>
      <c r="AC146" s="349"/>
      <c r="AE146" s="351">
        <f t="shared" si="11"/>
        <v>358.8</v>
      </c>
    </row>
    <row r="147" spans="1:31" ht="14.1" customHeight="1">
      <c r="A147" s="76">
        <v>147</v>
      </c>
      <c r="B147" s="496" t="s">
        <v>294</v>
      </c>
      <c r="C147" s="312" t="s">
        <v>295</v>
      </c>
      <c r="D147" s="345" t="s">
        <v>307</v>
      </c>
      <c r="E147" s="346">
        <v>17</v>
      </c>
      <c r="F147" s="72" t="s">
        <v>322</v>
      </c>
      <c r="G147" s="72" t="s">
        <v>341</v>
      </c>
      <c r="H147" s="72" t="s">
        <v>311</v>
      </c>
      <c r="I147" s="502">
        <v>14.71</v>
      </c>
      <c r="J147" s="347">
        <v>230</v>
      </c>
      <c r="K147" s="260">
        <v>230</v>
      </c>
      <c r="L147" s="260"/>
      <c r="M147" s="260">
        <v>46</v>
      </c>
      <c r="N147" s="260"/>
      <c r="O147" s="260"/>
      <c r="P147" s="260"/>
      <c r="Q147" s="259" t="e">
        <f>IF(K147="nio",0,IF(K147&gt;0,K147*I147/W147,0))*VLOOKUP(B147,'2-Kosten per locatie'!$A$14:$C$28,3,FALSE)</f>
        <v>#DIV/0!</v>
      </c>
      <c r="R147" s="259">
        <f>IF(L147&gt;0,L147*I147/X147,0)*VLOOKUP(B147,'2-Kosten per locatie'!$A$14:$C$28,3,FALSE)</f>
        <v>0</v>
      </c>
      <c r="S147" s="259" t="e">
        <f>IF(M147&gt;0,M147*I147/Y147,0)*VLOOKUP(B147,'2-Kosten per locatie'!$A$14:$C$28,3,FALSE)</f>
        <v>#DIV/0!</v>
      </c>
      <c r="T147" s="259">
        <f>IF(N147&gt;0,N147*I147/Z147,0)*VLOOKUP(B147,'2-Kosten per locatie'!$A$14:$C$28,3,FALSE)</f>
        <v>0</v>
      </c>
      <c r="U147" s="259">
        <f>IF(O147&gt;0,O147*I147/Y147,0)*VLOOKUP(B147,'2-Kosten per locatie'!$A$14:$C$28,3,FALSE)</f>
        <v>0</v>
      </c>
      <c r="V147" s="259">
        <f>IF(P147&gt;0,P147*I147/Z147,0)*VLOOKUP(B147,'2-Kosten per locatie'!$A$14:$C$28,3,FALSE)</f>
        <v>0</v>
      </c>
      <c r="W147" s="348">
        <f>IF(K147="nio",0,IF(K147&gt;0,VLOOKUP(G147,'3-Productie normen'!A:N,VLOOKUP(K147,'3-Productie normen'!$B$27:$C$38,2,FALSE),FALSE)))</f>
        <v>0</v>
      </c>
      <c r="X147" s="348">
        <f t="shared" si="12"/>
        <v>0</v>
      </c>
      <c r="Y147" s="348">
        <f t="shared" si="13"/>
        <v>0</v>
      </c>
      <c r="Z147" s="348">
        <f t="shared" si="14"/>
        <v>0</v>
      </c>
      <c r="AA147" s="349">
        <f>VLOOKUP(G147,'3-Productie normen'!A:Q,15,FALSE)</f>
        <v>452.79000000000019</v>
      </c>
      <c r="AB147" s="350">
        <f>VLOOKUP(G147,'3-Productie normen'!A:Q,16,FALSE)</f>
        <v>0</v>
      </c>
      <c r="AC147" s="349"/>
      <c r="AE147" s="351">
        <f t="shared" si="11"/>
        <v>3383.3</v>
      </c>
    </row>
    <row r="148" spans="1:31" ht="14.1" customHeight="1">
      <c r="A148" s="76">
        <v>148</v>
      </c>
      <c r="B148" s="496" t="s">
        <v>294</v>
      </c>
      <c r="C148" s="312" t="s">
        <v>295</v>
      </c>
      <c r="D148" s="345" t="s">
        <v>307</v>
      </c>
      <c r="E148" s="346">
        <v>18</v>
      </c>
      <c r="F148" s="72" t="s">
        <v>313</v>
      </c>
      <c r="G148" s="72" t="s">
        <v>85</v>
      </c>
      <c r="H148" s="72" t="s">
        <v>311</v>
      </c>
      <c r="I148" s="502">
        <v>30.04</v>
      </c>
      <c r="J148" s="347">
        <v>230</v>
      </c>
      <c r="K148" s="260">
        <v>230</v>
      </c>
      <c r="L148" s="260"/>
      <c r="M148" s="260">
        <v>46</v>
      </c>
      <c r="N148" s="260"/>
      <c r="O148" s="260"/>
      <c r="P148" s="260"/>
      <c r="Q148" s="259" t="e">
        <f>IF(K148="nio",0,IF(K148&gt;0,K148*I148/W148,0))*VLOOKUP(B148,'2-Kosten per locatie'!$A$14:$C$28,3,FALSE)</f>
        <v>#DIV/0!</v>
      </c>
      <c r="R148" s="259">
        <f>IF(L148&gt;0,L148*I148/X148,0)*VLOOKUP(B148,'2-Kosten per locatie'!$A$14:$C$28,3,FALSE)</f>
        <v>0</v>
      </c>
      <c r="S148" s="259" t="e">
        <f>IF(M148&gt;0,M148*I148/Y148,0)*VLOOKUP(B148,'2-Kosten per locatie'!$A$14:$C$28,3,FALSE)</f>
        <v>#DIV/0!</v>
      </c>
      <c r="T148" s="259">
        <f>IF(N148&gt;0,N148*I148/Z148,0)*VLOOKUP(B148,'2-Kosten per locatie'!$A$14:$C$28,3,FALSE)</f>
        <v>0</v>
      </c>
      <c r="U148" s="259">
        <f>IF(O148&gt;0,O148*I148/Y148,0)*VLOOKUP(B148,'2-Kosten per locatie'!$A$14:$C$28,3,FALSE)</f>
        <v>0</v>
      </c>
      <c r="V148" s="259">
        <f>IF(P148&gt;0,P148*I148/Z148,0)*VLOOKUP(B148,'2-Kosten per locatie'!$A$14:$C$28,3,FALSE)</f>
        <v>0</v>
      </c>
      <c r="W148" s="348">
        <f>IF(K148="nio",0,IF(K148&gt;0,VLOOKUP(G148,'3-Productie normen'!A:N,VLOOKUP(K148,'3-Productie normen'!$B$27:$C$38,2,FALSE),FALSE)))</f>
        <v>0</v>
      </c>
      <c r="X148" s="348">
        <f t="shared" si="12"/>
        <v>0</v>
      </c>
      <c r="Y148" s="348">
        <f t="shared" si="13"/>
        <v>0</v>
      </c>
      <c r="Z148" s="348">
        <f t="shared" si="14"/>
        <v>0</v>
      </c>
      <c r="AA148" s="349">
        <f>VLOOKUP(G148,'3-Productie normen'!A:Q,15,FALSE)</f>
        <v>1367.5950000000007</v>
      </c>
      <c r="AB148" s="350">
        <f>VLOOKUP(G148,'3-Productie normen'!A:Q,16,FALSE)</f>
        <v>0</v>
      </c>
      <c r="AC148" s="349"/>
      <c r="AE148" s="351">
        <f t="shared" si="11"/>
        <v>6909.2</v>
      </c>
    </row>
    <row r="149" spans="1:31" ht="14.1" customHeight="1">
      <c r="A149" s="76">
        <v>149</v>
      </c>
      <c r="B149" s="496" t="s">
        <v>294</v>
      </c>
      <c r="C149" s="312" t="s">
        <v>295</v>
      </c>
      <c r="D149" s="345" t="s">
        <v>307</v>
      </c>
      <c r="E149" s="346">
        <v>19</v>
      </c>
      <c r="F149" s="72" t="s">
        <v>380</v>
      </c>
      <c r="G149" s="72" t="s">
        <v>87</v>
      </c>
      <c r="H149" s="72" t="s">
        <v>311</v>
      </c>
      <c r="I149" s="502">
        <v>1.47</v>
      </c>
      <c r="J149" s="347">
        <v>46</v>
      </c>
      <c r="K149" s="260">
        <v>46</v>
      </c>
      <c r="L149" s="260"/>
      <c r="M149" s="260"/>
      <c r="N149" s="260"/>
      <c r="O149" s="260"/>
      <c r="P149" s="260"/>
      <c r="Q149" s="259" t="e">
        <f>IF(K149="nio",0,IF(K149&gt;0,K149*I149/W149,0))*VLOOKUP(B149,'2-Kosten per locatie'!$A$14:$C$28,3,FALSE)</f>
        <v>#DIV/0!</v>
      </c>
      <c r="R149" s="259">
        <f>IF(L149&gt;0,L149*I149/X149,0)*VLOOKUP(B149,'2-Kosten per locatie'!$A$14:$C$28,3,FALSE)</f>
        <v>0</v>
      </c>
      <c r="S149" s="259">
        <f>IF(M149&gt;0,M149*I149/Y149,0)*VLOOKUP(B149,'2-Kosten per locatie'!$A$14:$C$28,3,FALSE)</f>
        <v>0</v>
      </c>
      <c r="T149" s="259">
        <f>IF(N149&gt;0,N149*I149/Z149,0)*VLOOKUP(B149,'2-Kosten per locatie'!$A$14:$C$28,3,FALSE)</f>
        <v>0</v>
      </c>
      <c r="U149" s="259">
        <f>IF(O149&gt;0,O149*I149/Y149,0)*VLOOKUP(B149,'2-Kosten per locatie'!$A$14:$C$28,3,FALSE)</f>
        <v>0</v>
      </c>
      <c r="V149" s="259">
        <f>IF(P149&gt;0,P149*I149/Z149,0)*VLOOKUP(B149,'2-Kosten per locatie'!$A$14:$C$28,3,FALSE)</f>
        <v>0</v>
      </c>
      <c r="W149" s="348">
        <f>IF(K149="nio",0,IF(K149&gt;0,VLOOKUP(G149,'3-Productie normen'!A:N,VLOOKUP(K149,'3-Productie normen'!$B$27:$C$38,2,FALSE),FALSE)))</f>
        <v>0</v>
      </c>
      <c r="X149" s="348">
        <f t="shared" si="12"/>
        <v>0</v>
      </c>
      <c r="Y149" s="348">
        <f t="shared" si="13"/>
        <v>0</v>
      </c>
      <c r="Z149" s="348">
        <f t="shared" si="14"/>
        <v>0</v>
      </c>
      <c r="AA149" s="349">
        <f>VLOOKUP(G149,'3-Productie normen'!A:Q,15,FALSE)</f>
        <v>661.27599999999984</v>
      </c>
      <c r="AB149" s="350">
        <f>VLOOKUP(G149,'3-Productie normen'!A:Q,16,FALSE)</f>
        <v>0</v>
      </c>
      <c r="AC149" s="349"/>
      <c r="AE149" s="351">
        <f t="shared" si="11"/>
        <v>67.62</v>
      </c>
    </row>
    <row r="150" spans="1:31" ht="14.1" customHeight="1">
      <c r="A150" s="76">
        <v>150</v>
      </c>
      <c r="B150" s="496" t="s">
        <v>294</v>
      </c>
      <c r="C150" s="312" t="s">
        <v>295</v>
      </c>
      <c r="D150" s="345" t="s">
        <v>307</v>
      </c>
      <c r="E150" s="346">
        <v>20</v>
      </c>
      <c r="F150" s="353" t="s">
        <v>318</v>
      </c>
      <c r="G150" s="353" t="s">
        <v>89</v>
      </c>
      <c r="H150" s="72" t="s">
        <v>325</v>
      </c>
      <c r="I150" s="502">
        <v>18.66</v>
      </c>
      <c r="J150" s="347">
        <v>230</v>
      </c>
      <c r="K150" s="260">
        <v>230</v>
      </c>
      <c r="L150" s="260"/>
      <c r="M150" s="260">
        <v>46</v>
      </c>
      <c r="N150" s="260"/>
      <c r="O150" s="260"/>
      <c r="P150" s="260"/>
      <c r="Q150" s="259" t="e">
        <f>IF(K150="nio",0,IF(K150&gt;0,K150*I150/W150,0))*VLOOKUP(B150,'2-Kosten per locatie'!$A$14:$C$28,3,FALSE)</f>
        <v>#DIV/0!</v>
      </c>
      <c r="R150" s="259">
        <f>IF(L150&gt;0,L150*I150/X150,0)*VLOOKUP(B150,'2-Kosten per locatie'!$A$14:$C$28,3,FALSE)</f>
        <v>0</v>
      </c>
      <c r="S150" s="259" t="e">
        <f>IF(M150&gt;0,M150*I150/Y150,0)*VLOOKUP(B150,'2-Kosten per locatie'!$A$14:$C$28,3,FALSE)</f>
        <v>#DIV/0!</v>
      </c>
      <c r="T150" s="259">
        <f>IF(N150&gt;0,N150*I150/Z150,0)*VLOOKUP(B150,'2-Kosten per locatie'!$A$14:$C$28,3,FALSE)</f>
        <v>0</v>
      </c>
      <c r="U150" s="259">
        <f>IF(O150&gt;0,O150*I150/Y150,0)*VLOOKUP(B150,'2-Kosten per locatie'!$A$14:$C$28,3,FALSE)</f>
        <v>0</v>
      </c>
      <c r="V150" s="259">
        <f>IF(P150&gt;0,P150*I150/Z150,0)*VLOOKUP(B150,'2-Kosten per locatie'!$A$14:$C$28,3,FALSE)</f>
        <v>0</v>
      </c>
      <c r="W150" s="348">
        <f>IF(K150="nio",0,IF(K150&gt;0,VLOOKUP(G150,'3-Productie normen'!A:N,VLOOKUP(K150,'3-Productie normen'!$B$27:$C$38,2,FALSE),FALSE)))</f>
        <v>0</v>
      </c>
      <c r="X150" s="348">
        <f t="shared" si="12"/>
        <v>0</v>
      </c>
      <c r="Y150" s="348">
        <f t="shared" si="13"/>
        <v>0</v>
      </c>
      <c r="Z150" s="348">
        <f t="shared" si="14"/>
        <v>0</v>
      </c>
      <c r="AA150" s="349">
        <f>VLOOKUP(G150,'3-Productie normen'!A:Q,15,FALSE)</f>
        <v>78.48</v>
      </c>
      <c r="AB150" s="350">
        <f>VLOOKUP(G150,'3-Productie normen'!A:Q,16,FALSE)</f>
        <v>0</v>
      </c>
      <c r="AC150" s="349"/>
      <c r="AE150" s="351">
        <f t="shared" si="11"/>
        <v>4291.8</v>
      </c>
    </row>
    <row r="151" spans="1:31" ht="14.1" customHeight="1">
      <c r="A151" s="76">
        <v>151</v>
      </c>
      <c r="B151" s="496" t="s">
        <v>294</v>
      </c>
      <c r="C151" s="312" t="s">
        <v>295</v>
      </c>
      <c r="D151" s="345" t="s">
        <v>307</v>
      </c>
      <c r="E151" s="346">
        <v>21</v>
      </c>
      <c r="F151" s="72" t="s">
        <v>381</v>
      </c>
      <c r="G151" s="72" t="s">
        <v>461</v>
      </c>
      <c r="H151" s="352" t="s">
        <v>311</v>
      </c>
      <c r="I151" s="502">
        <v>1.93</v>
      </c>
      <c r="J151" s="347">
        <f t="shared" si="15"/>
        <v>0</v>
      </c>
      <c r="K151" s="260" t="s">
        <v>460</v>
      </c>
      <c r="L151" s="260"/>
      <c r="M151" s="260"/>
      <c r="N151" s="260"/>
      <c r="O151" s="260"/>
      <c r="P151" s="260"/>
      <c r="Q151" s="259">
        <f>IF(K151="nio",0,IF(K151&gt;0,K151*I151/W151,0))*VLOOKUP(B151,'2-Kosten per locatie'!$A$14:$C$28,3,FALSE)</f>
        <v>0</v>
      </c>
      <c r="R151" s="259">
        <f>IF(L151&gt;0,L151*I151/X151,0)*VLOOKUP(B151,'2-Kosten per locatie'!$A$14:$C$28,3,FALSE)</f>
        <v>0</v>
      </c>
      <c r="S151" s="259">
        <f>IF(M151&gt;0,M151*I151/Y151,0)*VLOOKUP(B151,'2-Kosten per locatie'!$A$14:$C$28,3,FALSE)</f>
        <v>0</v>
      </c>
      <c r="T151" s="259">
        <f>IF(N151&gt;0,N151*I151/Z151,0)*VLOOKUP(B151,'2-Kosten per locatie'!$A$14:$C$28,3,FALSE)</f>
        <v>0</v>
      </c>
      <c r="U151" s="259">
        <f>IF(O151&gt;0,O151*I151/Y151,0)*VLOOKUP(B151,'2-Kosten per locatie'!$A$14:$C$28,3,FALSE)</f>
        <v>0</v>
      </c>
      <c r="V151" s="259">
        <f>IF(P151&gt;0,P151*I151/Z151,0)*VLOOKUP(B151,'2-Kosten per locatie'!$A$14:$C$28,3,FALSE)</f>
        <v>0</v>
      </c>
      <c r="W151" s="348">
        <f>IF(K151="nio",0,IF(K151&gt;0,VLOOKUP(G151,'3-Productie normen'!A:N,VLOOKUP(K151,'3-Productie normen'!$B$27:$C$38,2,FALSE),FALSE)))</f>
        <v>0</v>
      </c>
      <c r="X151" s="348">
        <f t="shared" si="12"/>
        <v>0</v>
      </c>
      <c r="Y151" s="348">
        <f t="shared" si="13"/>
        <v>0</v>
      </c>
      <c r="Z151" s="348">
        <f t="shared" si="14"/>
        <v>0</v>
      </c>
      <c r="AA151" s="349" t="e">
        <f>VLOOKUP(G151,'3-Productie normen'!A:Q,15,FALSE)</f>
        <v>#N/A</v>
      </c>
      <c r="AB151" s="350" t="e">
        <f>VLOOKUP(G151,'3-Productie normen'!A:Q,16,FALSE)</f>
        <v>#N/A</v>
      </c>
      <c r="AC151" s="349"/>
      <c r="AE151" s="351">
        <f t="shared" si="11"/>
        <v>0</v>
      </c>
    </row>
    <row r="152" spans="1:31" ht="14.1" customHeight="1">
      <c r="A152" s="76">
        <v>152</v>
      </c>
      <c r="B152" s="496" t="s">
        <v>294</v>
      </c>
      <c r="C152" s="312" t="s">
        <v>295</v>
      </c>
      <c r="D152" s="87" t="s">
        <v>307</v>
      </c>
      <c r="E152" s="254">
        <v>22</v>
      </c>
      <c r="F152" s="86" t="s">
        <v>322</v>
      </c>
      <c r="G152" s="86" t="s">
        <v>341</v>
      </c>
      <c r="H152" s="72" t="s">
        <v>311</v>
      </c>
      <c r="I152" s="502">
        <v>14.71</v>
      </c>
      <c r="J152" s="347">
        <v>230</v>
      </c>
      <c r="K152" s="260">
        <v>230</v>
      </c>
      <c r="L152" s="260"/>
      <c r="M152" s="260">
        <v>46</v>
      </c>
      <c r="N152" s="260"/>
      <c r="O152" s="260"/>
      <c r="P152" s="260"/>
      <c r="Q152" s="259" t="e">
        <f>IF(K152="nio",0,IF(K152&gt;0,K152*I152/W152,0))*VLOOKUP(B152,'2-Kosten per locatie'!$A$14:$C$28,3,FALSE)</f>
        <v>#DIV/0!</v>
      </c>
      <c r="R152" s="259">
        <f>IF(L152&gt;0,L152*I152/X152,0)*VLOOKUP(B152,'2-Kosten per locatie'!$A$14:$C$28,3,FALSE)</f>
        <v>0</v>
      </c>
      <c r="S152" s="259" t="e">
        <f>IF(M152&gt;0,M152*I152/Y152,0)*VLOOKUP(B152,'2-Kosten per locatie'!$A$14:$C$28,3,FALSE)</f>
        <v>#DIV/0!</v>
      </c>
      <c r="T152" s="259">
        <f>IF(N152&gt;0,N152*I152/Z152,0)*VLOOKUP(B152,'2-Kosten per locatie'!$A$14:$C$28,3,FALSE)</f>
        <v>0</v>
      </c>
      <c r="U152" s="259">
        <f>IF(O152&gt;0,O152*I152/Y152,0)*VLOOKUP(B152,'2-Kosten per locatie'!$A$14:$C$28,3,FALSE)</f>
        <v>0</v>
      </c>
      <c r="V152" s="259">
        <f>IF(P152&gt;0,P152*I152/Z152,0)*VLOOKUP(B152,'2-Kosten per locatie'!$A$14:$C$28,3,FALSE)</f>
        <v>0</v>
      </c>
      <c r="W152" s="348">
        <f>IF(K152="nio",0,IF(K152&gt;0,VLOOKUP(G152,'3-Productie normen'!A:N,VLOOKUP(K152,'3-Productie normen'!$B$27:$C$38,2,FALSE),FALSE)))</f>
        <v>0</v>
      </c>
      <c r="X152" s="348">
        <f t="shared" si="12"/>
        <v>0</v>
      </c>
      <c r="Y152" s="348">
        <f t="shared" si="13"/>
        <v>0</v>
      </c>
      <c r="Z152" s="348">
        <f t="shared" si="14"/>
        <v>0</v>
      </c>
      <c r="AA152" s="349">
        <f>VLOOKUP(G152,'3-Productie normen'!A:Q,15,FALSE)</f>
        <v>452.79000000000019</v>
      </c>
      <c r="AB152" s="350">
        <f>VLOOKUP(G152,'3-Productie normen'!A:Q,16,FALSE)</f>
        <v>0</v>
      </c>
      <c r="AC152" s="349"/>
      <c r="AE152" s="351">
        <f t="shared" si="11"/>
        <v>3383.3</v>
      </c>
    </row>
    <row r="153" spans="1:31" ht="14.1" customHeight="1">
      <c r="A153" s="76">
        <v>153</v>
      </c>
      <c r="B153" s="496" t="s">
        <v>294</v>
      </c>
      <c r="C153" s="312" t="s">
        <v>295</v>
      </c>
      <c r="D153" s="345" t="s">
        <v>307</v>
      </c>
      <c r="E153" s="346">
        <v>23</v>
      </c>
      <c r="F153" s="72" t="s">
        <v>310</v>
      </c>
      <c r="G153" s="72" t="s">
        <v>81</v>
      </c>
      <c r="H153" s="72" t="s">
        <v>311</v>
      </c>
      <c r="I153" s="502">
        <v>1.56</v>
      </c>
      <c r="J153" s="347">
        <v>230</v>
      </c>
      <c r="K153" s="260">
        <v>230</v>
      </c>
      <c r="L153" s="260"/>
      <c r="M153" s="260">
        <v>46</v>
      </c>
      <c r="N153" s="260"/>
      <c r="O153" s="260"/>
      <c r="P153" s="260"/>
      <c r="Q153" s="259" t="e">
        <f>IF(K153="nio",0,IF(K153&gt;0,K153*I153/W153,0))*VLOOKUP(B153,'2-Kosten per locatie'!$A$14:$C$28,3,FALSE)</f>
        <v>#DIV/0!</v>
      </c>
      <c r="R153" s="259">
        <f>IF(L153&gt;0,L153*I153/X153,0)*VLOOKUP(B153,'2-Kosten per locatie'!$A$14:$C$28,3,FALSE)</f>
        <v>0</v>
      </c>
      <c r="S153" s="259" t="e">
        <f>IF(M153&gt;0,M153*I153/Y153,0)*VLOOKUP(B153,'2-Kosten per locatie'!$A$14:$C$28,3,FALSE)</f>
        <v>#DIV/0!</v>
      </c>
      <c r="T153" s="259">
        <f>IF(N153&gt;0,N153*I153/Z153,0)*VLOOKUP(B153,'2-Kosten per locatie'!$A$14:$C$28,3,FALSE)</f>
        <v>0</v>
      </c>
      <c r="U153" s="259">
        <f>IF(O153&gt;0,O153*I153/Y153,0)*VLOOKUP(B153,'2-Kosten per locatie'!$A$14:$C$28,3,FALSE)</f>
        <v>0</v>
      </c>
      <c r="V153" s="259">
        <f>IF(P153&gt;0,P153*I153/Z153,0)*VLOOKUP(B153,'2-Kosten per locatie'!$A$14:$C$28,3,FALSE)</f>
        <v>0</v>
      </c>
      <c r="W153" s="348">
        <f>IF(K153="nio",0,IF(K153&gt;0,VLOOKUP(G153,'3-Productie normen'!A:N,VLOOKUP(K153,'3-Productie normen'!$B$27:$C$38,2,FALSE),FALSE)))</f>
        <v>0</v>
      </c>
      <c r="X153" s="348">
        <f t="shared" si="12"/>
        <v>0</v>
      </c>
      <c r="Y153" s="348">
        <f t="shared" si="13"/>
        <v>0</v>
      </c>
      <c r="Z153" s="348">
        <f t="shared" si="14"/>
        <v>0</v>
      </c>
      <c r="AA153" s="349">
        <f>VLOOKUP(G153,'3-Productie normen'!A:Q,15,FALSE)</f>
        <v>235.06999999999988</v>
      </c>
      <c r="AB153" s="350">
        <f>VLOOKUP(G153,'3-Productie normen'!A:Q,16,FALSE)</f>
        <v>0</v>
      </c>
      <c r="AC153" s="349"/>
      <c r="AE153" s="351">
        <f t="shared" si="11"/>
        <v>358.8</v>
      </c>
    </row>
    <row r="154" spans="1:31" ht="14.1" customHeight="1">
      <c r="A154" s="76">
        <v>154</v>
      </c>
      <c r="B154" s="496" t="s">
        <v>294</v>
      </c>
      <c r="C154" s="312" t="s">
        <v>295</v>
      </c>
      <c r="D154" s="345" t="s">
        <v>307</v>
      </c>
      <c r="E154" s="346">
        <v>24</v>
      </c>
      <c r="F154" s="72" t="s">
        <v>382</v>
      </c>
      <c r="G154" s="72" t="s">
        <v>87</v>
      </c>
      <c r="H154" s="72" t="s">
        <v>330</v>
      </c>
      <c r="I154" s="502">
        <v>11.49</v>
      </c>
      <c r="J154" s="347">
        <v>46</v>
      </c>
      <c r="K154" s="260">
        <v>46</v>
      </c>
      <c r="L154" s="260"/>
      <c r="M154" s="260"/>
      <c r="N154" s="260"/>
      <c r="O154" s="260"/>
      <c r="P154" s="260"/>
      <c r="Q154" s="259" t="e">
        <f>IF(K154="nio",0,IF(K154&gt;0,K154*I154/W154,0))*VLOOKUP(B154,'2-Kosten per locatie'!$A$14:$C$28,3,FALSE)</f>
        <v>#DIV/0!</v>
      </c>
      <c r="R154" s="259">
        <f>IF(L154&gt;0,L154*I154/X154,0)*VLOOKUP(B154,'2-Kosten per locatie'!$A$14:$C$28,3,FALSE)</f>
        <v>0</v>
      </c>
      <c r="S154" s="259">
        <f>IF(M154&gt;0,M154*I154/Y154,0)*VLOOKUP(B154,'2-Kosten per locatie'!$A$14:$C$28,3,FALSE)</f>
        <v>0</v>
      </c>
      <c r="T154" s="259">
        <f>IF(N154&gt;0,N154*I154/Z154,0)*VLOOKUP(B154,'2-Kosten per locatie'!$A$14:$C$28,3,FALSE)</f>
        <v>0</v>
      </c>
      <c r="U154" s="259">
        <f>IF(O154&gt;0,O154*I154/Y154,0)*VLOOKUP(B154,'2-Kosten per locatie'!$A$14:$C$28,3,FALSE)</f>
        <v>0</v>
      </c>
      <c r="V154" s="259">
        <f>IF(P154&gt;0,P154*I154/Z154,0)*VLOOKUP(B154,'2-Kosten per locatie'!$A$14:$C$28,3,FALSE)</f>
        <v>0</v>
      </c>
      <c r="W154" s="348">
        <f>IF(K154="nio",0,IF(K154&gt;0,VLOOKUP(G154,'3-Productie normen'!A:N,VLOOKUP(K154,'3-Productie normen'!$B$27:$C$38,2,FALSE),FALSE)))</f>
        <v>0</v>
      </c>
      <c r="X154" s="348">
        <f t="shared" si="12"/>
        <v>0</v>
      </c>
      <c r="Y154" s="348">
        <f t="shared" si="13"/>
        <v>0</v>
      </c>
      <c r="Z154" s="348">
        <f t="shared" si="14"/>
        <v>0</v>
      </c>
      <c r="AA154" s="349">
        <f>VLOOKUP(G154,'3-Productie normen'!A:Q,15,FALSE)</f>
        <v>661.27599999999984</v>
      </c>
      <c r="AB154" s="350">
        <f>VLOOKUP(G154,'3-Productie normen'!A:Q,16,FALSE)</f>
        <v>0</v>
      </c>
      <c r="AC154" s="349"/>
      <c r="AE154" s="351">
        <f t="shared" si="11"/>
        <v>528.54</v>
      </c>
    </row>
    <row r="155" spans="1:31" ht="14.1" customHeight="1">
      <c r="A155" s="76">
        <v>155</v>
      </c>
      <c r="B155" s="496" t="s">
        <v>294</v>
      </c>
      <c r="C155" s="312" t="s">
        <v>295</v>
      </c>
      <c r="D155" s="345" t="s">
        <v>307</v>
      </c>
      <c r="E155" s="346">
        <v>25</v>
      </c>
      <c r="F155" s="72" t="s">
        <v>383</v>
      </c>
      <c r="G155" s="72" t="s">
        <v>87</v>
      </c>
      <c r="H155" s="72" t="s">
        <v>330</v>
      </c>
      <c r="I155" s="502">
        <v>13.36</v>
      </c>
      <c r="J155" s="347">
        <v>46</v>
      </c>
      <c r="K155" s="260">
        <v>46</v>
      </c>
      <c r="L155" s="260"/>
      <c r="M155" s="260"/>
      <c r="N155" s="260"/>
      <c r="O155" s="260"/>
      <c r="P155" s="260"/>
      <c r="Q155" s="259" t="e">
        <f>IF(K155="nio",0,IF(K155&gt;0,K155*I155/W155,0))*VLOOKUP(B155,'2-Kosten per locatie'!$A$14:$C$28,3,FALSE)</f>
        <v>#DIV/0!</v>
      </c>
      <c r="R155" s="259">
        <f>IF(L155&gt;0,L155*I155/X155,0)*VLOOKUP(B155,'2-Kosten per locatie'!$A$14:$C$28,3,FALSE)</f>
        <v>0</v>
      </c>
      <c r="S155" s="259">
        <f>IF(M155&gt;0,M155*I155/Y155,0)*VLOOKUP(B155,'2-Kosten per locatie'!$A$14:$C$28,3,FALSE)</f>
        <v>0</v>
      </c>
      <c r="T155" s="259">
        <f>IF(N155&gt;0,N155*I155/Z155,0)*VLOOKUP(B155,'2-Kosten per locatie'!$A$14:$C$28,3,FALSE)</f>
        <v>0</v>
      </c>
      <c r="U155" s="259">
        <f>IF(O155&gt;0,O155*I155/Y155,0)*VLOOKUP(B155,'2-Kosten per locatie'!$A$14:$C$28,3,FALSE)</f>
        <v>0</v>
      </c>
      <c r="V155" s="259">
        <f>IF(P155&gt;0,P155*I155/Z155,0)*VLOOKUP(B155,'2-Kosten per locatie'!$A$14:$C$28,3,FALSE)</f>
        <v>0</v>
      </c>
      <c r="W155" s="348">
        <f>IF(K155="nio",0,IF(K155&gt;0,VLOOKUP(G155,'3-Productie normen'!A:N,VLOOKUP(K155,'3-Productie normen'!$B$27:$C$38,2,FALSE),FALSE)))</f>
        <v>0</v>
      </c>
      <c r="X155" s="348">
        <f t="shared" si="12"/>
        <v>0</v>
      </c>
      <c r="Y155" s="348">
        <f t="shared" si="13"/>
        <v>0</v>
      </c>
      <c r="Z155" s="348">
        <f t="shared" si="14"/>
        <v>0</v>
      </c>
      <c r="AA155" s="349">
        <f>VLOOKUP(G155,'3-Productie normen'!A:Q,15,FALSE)</f>
        <v>661.27599999999984</v>
      </c>
      <c r="AB155" s="350">
        <f>VLOOKUP(G155,'3-Productie normen'!A:Q,16,FALSE)</f>
        <v>0</v>
      </c>
      <c r="AC155" s="349"/>
      <c r="AE155" s="351">
        <f t="shared" si="11"/>
        <v>614.55999999999995</v>
      </c>
    </row>
    <row r="156" spans="1:31" ht="14.1" customHeight="1">
      <c r="A156" s="76">
        <v>156</v>
      </c>
      <c r="B156" s="496" t="s">
        <v>294</v>
      </c>
      <c r="C156" s="312" t="s">
        <v>295</v>
      </c>
      <c r="D156" s="345" t="s">
        <v>307</v>
      </c>
      <c r="E156" s="346">
        <v>26</v>
      </c>
      <c r="F156" s="72" t="s">
        <v>384</v>
      </c>
      <c r="G156" s="72" t="s">
        <v>87</v>
      </c>
      <c r="H156" s="72" t="s">
        <v>330</v>
      </c>
      <c r="I156" s="502">
        <v>2.35</v>
      </c>
      <c r="J156" s="347">
        <v>46</v>
      </c>
      <c r="K156" s="260">
        <v>46</v>
      </c>
      <c r="L156" s="260"/>
      <c r="M156" s="260"/>
      <c r="N156" s="260"/>
      <c r="O156" s="260"/>
      <c r="P156" s="260"/>
      <c r="Q156" s="259" t="e">
        <f>IF(K156="nio",0,IF(K156&gt;0,K156*I156/W156,0))*VLOOKUP(B156,'2-Kosten per locatie'!$A$14:$C$28,3,FALSE)</f>
        <v>#DIV/0!</v>
      </c>
      <c r="R156" s="259">
        <f>IF(L156&gt;0,L156*I156/X156,0)*VLOOKUP(B156,'2-Kosten per locatie'!$A$14:$C$28,3,FALSE)</f>
        <v>0</v>
      </c>
      <c r="S156" s="259">
        <f>IF(M156&gt;0,M156*I156/Y156,0)*VLOOKUP(B156,'2-Kosten per locatie'!$A$14:$C$28,3,FALSE)</f>
        <v>0</v>
      </c>
      <c r="T156" s="259">
        <f>IF(N156&gt;0,N156*I156/Z156,0)*VLOOKUP(B156,'2-Kosten per locatie'!$A$14:$C$28,3,FALSE)</f>
        <v>0</v>
      </c>
      <c r="U156" s="259">
        <f>IF(O156&gt;0,O156*I156/Y156,0)*VLOOKUP(B156,'2-Kosten per locatie'!$A$14:$C$28,3,FALSE)</f>
        <v>0</v>
      </c>
      <c r="V156" s="259">
        <f>IF(P156&gt;0,P156*I156/Z156,0)*VLOOKUP(B156,'2-Kosten per locatie'!$A$14:$C$28,3,FALSE)</f>
        <v>0</v>
      </c>
      <c r="W156" s="348">
        <f>IF(K156="nio",0,IF(K156&gt;0,VLOOKUP(G156,'3-Productie normen'!A:N,VLOOKUP(K156,'3-Productie normen'!$B$27:$C$38,2,FALSE),FALSE)))</f>
        <v>0</v>
      </c>
      <c r="X156" s="348">
        <f t="shared" si="12"/>
        <v>0</v>
      </c>
      <c r="Y156" s="348">
        <f t="shared" si="13"/>
        <v>0</v>
      </c>
      <c r="Z156" s="348">
        <f t="shared" si="14"/>
        <v>0</v>
      </c>
      <c r="AA156" s="349">
        <f>VLOOKUP(G156,'3-Productie normen'!A:Q,15,FALSE)</f>
        <v>661.27599999999984</v>
      </c>
      <c r="AB156" s="350">
        <f>VLOOKUP(G156,'3-Productie normen'!A:Q,16,FALSE)</f>
        <v>0</v>
      </c>
      <c r="AC156" s="349"/>
      <c r="AE156" s="351">
        <f t="shared" si="11"/>
        <v>108.10000000000001</v>
      </c>
    </row>
    <row r="157" spans="1:31" ht="14.1" customHeight="1">
      <c r="A157" s="76">
        <v>157</v>
      </c>
      <c r="B157" s="496" t="s">
        <v>296</v>
      </c>
      <c r="C157" s="312" t="s">
        <v>297</v>
      </c>
      <c r="D157" s="345" t="s">
        <v>307</v>
      </c>
      <c r="E157" s="346">
        <v>1</v>
      </c>
      <c r="F157" s="72" t="s">
        <v>318</v>
      </c>
      <c r="G157" s="72" t="s">
        <v>83</v>
      </c>
      <c r="H157" s="72" t="s">
        <v>319</v>
      </c>
      <c r="I157" s="502">
        <v>2.93</v>
      </c>
      <c r="J157" s="347">
        <f t="shared" si="15"/>
        <v>90</v>
      </c>
      <c r="K157" s="260">
        <v>90</v>
      </c>
      <c r="L157" s="260"/>
      <c r="M157" s="260"/>
      <c r="N157" s="260"/>
      <c r="O157" s="260"/>
      <c r="P157" s="260"/>
      <c r="Q157" s="259" t="e">
        <f>IF(K157="nio",0,IF(K157&gt;0,K157*I157/W157,0))*VLOOKUP(B157,'2-Kosten per locatie'!$A$14:$C$28,3,FALSE)</f>
        <v>#DIV/0!</v>
      </c>
      <c r="R157" s="259">
        <f>IF(L157&gt;0,L157*I157/X157,0)*VLOOKUP(B157,'2-Kosten per locatie'!$A$14:$C$28,3,FALSE)</f>
        <v>0</v>
      </c>
      <c r="S157" s="259">
        <f>IF(M157&gt;0,M157*I157/Y157,0)*VLOOKUP(B157,'2-Kosten per locatie'!$A$14:$C$28,3,FALSE)</f>
        <v>0</v>
      </c>
      <c r="T157" s="259">
        <f>IF(N157&gt;0,N157*I157/Z157,0)*VLOOKUP(B157,'2-Kosten per locatie'!$A$14:$C$28,3,FALSE)</f>
        <v>0</v>
      </c>
      <c r="U157" s="259">
        <f>IF(O157&gt;0,O157*I157/Y157,0)*VLOOKUP(B157,'2-Kosten per locatie'!$A$14:$C$28,3,FALSE)</f>
        <v>0</v>
      </c>
      <c r="V157" s="259">
        <f>IF(P157&gt;0,P157*I157/Z157,0)*VLOOKUP(B157,'2-Kosten per locatie'!$A$14:$C$28,3,FALSE)</f>
        <v>0</v>
      </c>
      <c r="W157" s="348">
        <f>IF(K157="nio",0,IF(K157&gt;0,VLOOKUP(G157,'3-Productie normen'!A:N,VLOOKUP(K157,'3-Productie normen'!$B$27:$C$38,2,FALSE),FALSE)))</f>
        <v>0</v>
      </c>
      <c r="X157" s="348">
        <f t="shared" si="12"/>
        <v>0</v>
      </c>
      <c r="Y157" s="348">
        <f t="shared" si="13"/>
        <v>0</v>
      </c>
      <c r="Z157" s="348">
        <f t="shared" si="14"/>
        <v>0</v>
      </c>
      <c r="AA157" s="349">
        <f>VLOOKUP(G157,'3-Productie normen'!A:Q,15,FALSE)</f>
        <v>773.68459999999982</v>
      </c>
      <c r="AB157" s="350">
        <f>VLOOKUP(G157,'3-Productie normen'!A:Q,16,FALSE)</f>
        <v>0</v>
      </c>
      <c r="AC157" s="349"/>
      <c r="AE157" s="351">
        <f t="shared" si="11"/>
        <v>263.7</v>
      </c>
    </row>
    <row r="158" spans="1:31" ht="14.1" customHeight="1">
      <c r="A158" s="76">
        <v>158</v>
      </c>
      <c r="B158" s="496" t="s">
        <v>296</v>
      </c>
      <c r="C158" s="312" t="s">
        <v>297</v>
      </c>
      <c r="D158" s="345" t="s">
        <v>307</v>
      </c>
      <c r="E158" s="346">
        <v>2</v>
      </c>
      <c r="F158" s="312" t="s">
        <v>310</v>
      </c>
      <c r="G158" s="312" t="s">
        <v>81</v>
      </c>
      <c r="H158" s="72" t="s">
        <v>311</v>
      </c>
      <c r="I158" s="502">
        <v>1.18</v>
      </c>
      <c r="J158" s="347">
        <f t="shared" si="15"/>
        <v>90</v>
      </c>
      <c r="K158" s="260">
        <v>90</v>
      </c>
      <c r="L158" s="260"/>
      <c r="M158" s="260"/>
      <c r="N158" s="260"/>
      <c r="O158" s="260"/>
      <c r="P158" s="260"/>
      <c r="Q158" s="259" t="e">
        <f>IF(K158="nio",0,IF(K158&gt;0,K158*I158/W158,0))*VLOOKUP(B158,'2-Kosten per locatie'!$A$14:$C$28,3,FALSE)</f>
        <v>#DIV/0!</v>
      </c>
      <c r="R158" s="259">
        <f>IF(L158&gt;0,L158*I158/X158,0)*VLOOKUP(B158,'2-Kosten per locatie'!$A$14:$C$28,3,FALSE)</f>
        <v>0</v>
      </c>
      <c r="S158" s="259">
        <f>IF(M158&gt;0,M158*I158/Y158,0)*VLOOKUP(B158,'2-Kosten per locatie'!$A$14:$C$28,3,FALSE)</f>
        <v>0</v>
      </c>
      <c r="T158" s="259">
        <f>IF(N158&gt;0,N158*I158/Z158,0)*VLOOKUP(B158,'2-Kosten per locatie'!$A$14:$C$28,3,FALSE)</f>
        <v>0</v>
      </c>
      <c r="U158" s="259">
        <f>IF(O158&gt;0,O158*I158/Y158,0)*VLOOKUP(B158,'2-Kosten per locatie'!$A$14:$C$28,3,FALSE)</f>
        <v>0</v>
      </c>
      <c r="V158" s="259">
        <f>IF(P158&gt;0,P158*I158/Z158,0)*VLOOKUP(B158,'2-Kosten per locatie'!$A$14:$C$28,3,FALSE)</f>
        <v>0</v>
      </c>
      <c r="W158" s="348">
        <f>IF(K158="nio",0,IF(K158&gt;0,VLOOKUP(G158,'3-Productie normen'!A:N,VLOOKUP(K158,'3-Productie normen'!$B$27:$C$38,2,FALSE),FALSE)))</f>
        <v>0</v>
      </c>
      <c r="X158" s="348">
        <f t="shared" si="12"/>
        <v>0</v>
      </c>
      <c r="Y158" s="348">
        <f t="shared" si="13"/>
        <v>0</v>
      </c>
      <c r="Z158" s="348">
        <f t="shared" si="14"/>
        <v>0</v>
      </c>
      <c r="AA158" s="349">
        <f>VLOOKUP(G158,'3-Productie normen'!A:Q,15,FALSE)</f>
        <v>235.06999999999988</v>
      </c>
      <c r="AB158" s="350">
        <f>VLOOKUP(G158,'3-Productie normen'!A:Q,16,FALSE)</f>
        <v>0</v>
      </c>
      <c r="AC158" s="349"/>
      <c r="AE158" s="351">
        <f t="shared" si="11"/>
        <v>106.19999999999999</v>
      </c>
    </row>
    <row r="159" spans="1:31" ht="14.1" customHeight="1">
      <c r="A159" s="76">
        <v>159</v>
      </c>
      <c r="B159" s="496" t="s">
        <v>296</v>
      </c>
      <c r="C159" s="312" t="s">
        <v>297</v>
      </c>
      <c r="D159" s="345" t="s">
        <v>307</v>
      </c>
      <c r="E159" s="346">
        <v>3</v>
      </c>
      <c r="F159" s="312" t="s">
        <v>310</v>
      </c>
      <c r="G159" s="312" t="s">
        <v>81</v>
      </c>
      <c r="H159" s="72" t="s">
        <v>311</v>
      </c>
      <c r="I159" s="502">
        <v>1.18</v>
      </c>
      <c r="J159" s="347">
        <f t="shared" si="15"/>
        <v>90</v>
      </c>
      <c r="K159" s="260">
        <v>90</v>
      </c>
      <c r="L159" s="260"/>
      <c r="M159" s="260"/>
      <c r="N159" s="260"/>
      <c r="O159" s="260"/>
      <c r="P159" s="260"/>
      <c r="Q159" s="259" t="e">
        <f>IF(K159="nio",0,IF(K159&gt;0,K159*I159/W159,0))*VLOOKUP(B159,'2-Kosten per locatie'!$A$14:$C$28,3,FALSE)</f>
        <v>#DIV/0!</v>
      </c>
      <c r="R159" s="259">
        <f>IF(L159&gt;0,L159*I159/X159,0)*VLOOKUP(B159,'2-Kosten per locatie'!$A$14:$C$28,3,FALSE)</f>
        <v>0</v>
      </c>
      <c r="S159" s="259">
        <f>IF(M159&gt;0,M159*I159/Y159,0)*VLOOKUP(B159,'2-Kosten per locatie'!$A$14:$C$28,3,FALSE)</f>
        <v>0</v>
      </c>
      <c r="T159" s="259">
        <f>IF(N159&gt;0,N159*I159/Z159,0)*VLOOKUP(B159,'2-Kosten per locatie'!$A$14:$C$28,3,FALSE)</f>
        <v>0</v>
      </c>
      <c r="U159" s="259">
        <f>IF(O159&gt;0,O159*I159/Y159,0)*VLOOKUP(B159,'2-Kosten per locatie'!$A$14:$C$28,3,FALSE)</f>
        <v>0</v>
      </c>
      <c r="V159" s="259">
        <f>IF(P159&gt;0,P159*I159/Z159,0)*VLOOKUP(B159,'2-Kosten per locatie'!$A$14:$C$28,3,FALSE)</f>
        <v>0</v>
      </c>
      <c r="W159" s="348">
        <f>IF(K159="nio",0,IF(K159&gt;0,VLOOKUP(G159,'3-Productie normen'!A:N,VLOOKUP(K159,'3-Productie normen'!$B$27:$C$38,2,FALSE),FALSE)))</f>
        <v>0</v>
      </c>
      <c r="X159" s="348">
        <f t="shared" si="12"/>
        <v>0</v>
      </c>
      <c r="Y159" s="348">
        <f t="shared" si="13"/>
        <v>0</v>
      </c>
      <c r="Z159" s="348">
        <f t="shared" si="14"/>
        <v>0</v>
      </c>
      <c r="AA159" s="349">
        <f>VLOOKUP(G159,'3-Productie normen'!A:Q,15,FALSE)</f>
        <v>235.06999999999988</v>
      </c>
      <c r="AB159" s="350">
        <f>VLOOKUP(G159,'3-Productie normen'!A:Q,16,FALSE)</f>
        <v>0</v>
      </c>
      <c r="AC159" s="349"/>
      <c r="AE159" s="351">
        <f t="shared" si="11"/>
        <v>106.19999999999999</v>
      </c>
    </row>
    <row r="160" spans="1:31" ht="14.1" customHeight="1">
      <c r="A160" s="76">
        <v>160</v>
      </c>
      <c r="B160" s="496" t="s">
        <v>296</v>
      </c>
      <c r="C160" s="312" t="s">
        <v>297</v>
      </c>
      <c r="D160" s="345" t="s">
        <v>307</v>
      </c>
      <c r="E160" s="346">
        <v>4</v>
      </c>
      <c r="F160" s="312" t="s">
        <v>312</v>
      </c>
      <c r="G160" s="312" t="s">
        <v>83</v>
      </c>
      <c r="H160" s="72" t="s">
        <v>311</v>
      </c>
      <c r="I160" s="502">
        <v>18.87</v>
      </c>
      <c r="J160" s="347">
        <f t="shared" si="15"/>
        <v>90</v>
      </c>
      <c r="K160" s="260">
        <v>90</v>
      </c>
      <c r="L160" s="260"/>
      <c r="M160" s="260"/>
      <c r="N160" s="260"/>
      <c r="O160" s="260"/>
      <c r="P160" s="260"/>
      <c r="Q160" s="259" t="e">
        <f>IF(K160="nio",0,IF(K160&gt;0,K160*I160/W160,0))*VLOOKUP(B160,'2-Kosten per locatie'!$A$14:$C$28,3,FALSE)</f>
        <v>#DIV/0!</v>
      </c>
      <c r="R160" s="259">
        <f>IF(L160&gt;0,L160*I160/X160,0)*VLOOKUP(B160,'2-Kosten per locatie'!$A$14:$C$28,3,FALSE)</f>
        <v>0</v>
      </c>
      <c r="S160" s="259">
        <f>IF(M160&gt;0,M160*I160/Y160,0)*VLOOKUP(B160,'2-Kosten per locatie'!$A$14:$C$28,3,FALSE)</f>
        <v>0</v>
      </c>
      <c r="T160" s="259">
        <f>IF(N160&gt;0,N160*I160/Z160,0)*VLOOKUP(B160,'2-Kosten per locatie'!$A$14:$C$28,3,FALSE)</f>
        <v>0</v>
      </c>
      <c r="U160" s="259">
        <f>IF(O160&gt;0,O160*I160/Y160,0)*VLOOKUP(B160,'2-Kosten per locatie'!$A$14:$C$28,3,FALSE)</f>
        <v>0</v>
      </c>
      <c r="V160" s="259">
        <f>IF(P160&gt;0,P160*I160/Z160,0)*VLOOKUP(B160,'2-Kosten per locatie'!$A$14:$C$28,3,FALSE)</f>
        <v>0</v>
      </c>
      <c r="W160" s="348">
        <f>IF(K160="nio",0,IF(K160&gt;0,VLOOKUP(G160,'3-Productie normen'!A:N,VLOOKUP(K160,'3-Productie normen'!$B$27:$C$38,2,FALSE),FALSE)))</f>
        <v>0</v>
      </c>
      <c r="X160" s="348">
        <f t="shared" si="12"/>
        <v>0</v>
      </c>
      <c r="Y160" s="348">
        <f t="shared" si="13"/>
        <v>0</v>
      </c>
      <c r="Z160" s="348">
        <f t="shared" si="14"/>
        <v>0</v>
      </c>
      <c r="AA160" s="349">
        <f>VLOOKUP(G160,'3-Productie normen'!A:Q,15,FALSE)</f>
        <v>773.68459999999982</v>
      </c>
      <c r="AB160" s="350">
        <f>VLOOKUP(G160,'3-Productie normen'!A:Q,16,FALSE)</f>
        <v>0</v>
      </c>
      <c r="AC160" s="349"/>
      <c r="AE160" s="351">
        <f t="shared" si="11"/>
        <v>1698.3000000000002</v>
      </c>
    </row>
    <row r="161" spans="1:31" ht="14.1" customHeight="1">
      <c r="A161" s="76">
        <v>161</v>
      </c>
      <c r="B161" s="496" t="s">
        <v>296</v>
      </c>
      <c r="C161" s="312" t="s">
        <v>297</v>
      </c>
      <c r="D161" s="345" t="s">
        <v>307</v>
      </c>
      <c r="E161" s="346">
        <v>5</v>
      </c>
      <c r="F161" s="72" t="s">
        <v>385</v>
      </c>
      <c r="G161" s="72" t="s">
        <v>85</v>
      </c>
      <c r="H161" s="72" t="s">
        <v>311</v>
      </c>
      <c r="I161" s="502">
        <v>22.23</v>
      </c>
      <c r="J161" s="347">
        <f t="shared" si="15"/>
        <v>90</v>
      </c>
      <c r="K161" s="260">
        <v>90</v>
      </c>
      <c r="L161" s="260"/>
      <c r="M161" s="260"/>
      <c r="N161" s="260"/>
      <c r="O161" s="260"/>
      <c r="P161" s="260"/>
      <c r="Q161" s="259" t="e">
        <f>IF(K161="nio",0,IF(K161&gt;0,K161*I161/W161,0))*VLOOKUP(B161,'2-Kosten per locatie'!$A$14:$C$28,3,FALSE)</f>
        <v>#DIV/0!</v>
      </c>
      <c r="R161" s="259">
        <f>IF(L161&gt;0,L161*I161/X161,0)*VLOOKUP(B161,'2-Kosten per locatie'!$A$14:$C$28,3,FALSE)</f>
        <v>0</v>
      </c>
      <c r="S161" s="259">
        <f>IF(M161&gt;0,M161*I161/Y161,0)*VLOOKUP(B161,'2-Kosten per locatie'!$A$14:$C$28,3,FALSE)</f>
        <v>0</v>
      </c>
      <c r="T161" s="259">
        <f>IF(N161&gt;0,N161*I161/Z161,0)*VLOOKUP(B161,'2-Kosten per locatie'!$A$14:$C$28,3,FALSE)</f>
        <v>0</v>
      </c>
      <c r="U161" s="259">
        <f>IF(O161&gt;0,O161*I161/Y161,0)*VLOOKUP(B161,'2-Kosten per locatie'!$A$14:$C$28,3,FALSE)</f>
        <v>0</v>
      </c>
      <c r="V161" s="259">
        <f>IF(P161&gt;0,P161*I161/Z161,0)*VLOOKUP(B161,'2-Kosten per locatie'!$A$14:$C$28,3,FALSE)</f>
        <v>0</v>
      </c>
      <c r="W161" s="348">
        <f>IF(K161="nio",0,IF(K161&gt;0,VLOOKUP(G161,'3-Productie normen'!A:N,VLOOKUP(K161,'3-Productie normen'!$B$27:$C$38,2,FALSE),FALSE)))</f>
        <v>0</v>
      </c>
      <c r="X161" s="348">
        <f t="shared" si="12"/>
        <v>0</v>
      </c>
      <c r="Y161" s="348">
        <f t="shared" si="13"/>
        <v>0</v>
      </c>
      <c r="Z161" s="348">
        <f t="shared" si="14"/>
        <v>0</v>
      </c>
      <c r="AA161" s="349">
        <f>VLOOKUP(G161,'3-Productie normen'!A:Q,15,FALSE)</f>
        <v>1367.5950000000007</v>
      </c>
      <c r="AB161" s="350">
        <f>VLOOKUP(G161,'3-Productie normen'!A:Q,16,FALSE)</f>
        <v>0</v>
      </c>
      <c r="AC161" s="349"/>
      <c r="AE161" s="351">
        <f t="shared" si="11"/>
        <v>2000.7</v>
      </c>
    </row>
    <row r="162" spans="1:31" ht="14.1" customHeight="1">
      <c r="A162" s="76">
        <v>162</v>
      </c>
      <c r="B162" s="496" t="s">
        <v>296</v>
      </c>
      <c r="C162" s="312" t="s">
        <v>297</v>
      </c>
      <c r="D162" s="345" t="s">
        <v>307</v>
      </c>
      <c r="E162" s="346">
        <v>6</v>
      </c>
      <c r="F162" s="72" t="s">
        <v>386</v>
      </c>
      <c r="G162" s="72" t="s">
        <v>81</v>
      </c>
      <c r="H162" s="72" t="s">
        <v>311</v>
      </c>
      <c r="I162" s="502">
        <v>1.18</v>
      </c>
      <c r="J162" s="347">
        <f t="shared" si="15"/>
        <v>90</v>
      </c>
      <c r="K162" s="260">
        <v>90</v>
      </c>
      <c r="L162" s="260"/>
      <c r="M162" s="260"/>
      <c r="N162" s="260"/>
      <c r="O162" s="260"/>
      <c r="P162" s="260"/>
      <c r="Q162" s="259" t="e">
        <f>IF(K162="nio",0,IF(K162&gt;0,K162*I162/W162,0))*VLOOKUP(B162,'2-Kosten per locatie'!$A$14:$C$28,3,FALSE)</f>
        <v>#DIV/0!</v>
      </c>
      <c r="R162" s="259">
        <f>IF(L162&gt;0,L162*I162/X162,0)*VLOOKUP(B162,'2-Kosten per locatie'!$A$14:$C$28,3,FALSE)</f>
        <v>0</v>
      </c>
      <c r="S162" s="259">
        <f>IF(M162&gt;0,M162*I162/Y162,0)*VLOOKUP(B162,'2-Kosten per locatie'!$A$14:$C$28,3,FALSE)</f>
        <v>0</v>
      </c>
      <c r="T162" s="259">
        <f>IF(N162&gt;0,N162*I162/Z162,0)*VLOOKUP(B162,'2-Kosten per locatie'!$A$14:$C$28,3,FALSE)</f>
        <v>0</v>
      </c>
      <c r="U162" s="259">
        <f>IF(O162&gt;0,O162*I162/Y162,0)*VLOOKUP(B162,'2-Kosten per locatie'!$A$14:$C$28,3,FALSE)</f>
        <v>0</v>
      </c>
      <c r="V162" s="259">
        <f>IF(P162&gt;0,P162*I162/Z162,0)*VLOOKUP(B162,'2-Kosten per locatie'!$A$14:$C$28,3,FALSE)</f>
        <v>0</v>
      </c>
      <c r="W162" s="348">
        <f>IF(K162="nio",0,IF(K162&gt;0,VLOOKUP(G162,'3-Productie normen'!A:N,VLOOKUP(K162,'3-Productie normen'!$B$27:$C$38,2,FALSE),FALSE)))</f>
        <v>0</v>
      </c>
      <c r="X162" s="348">
        <f t="shared" si="12"/>
        <v>0</v>
      </c>
      <c r="Y162" s="348">
        <f t="shared" si="13"/>
        <v>0</v>
      </c>
      <c r="Z162" s="348">
        <f t="shared" si="14"/>
        <v>0</v>
      </c>
      <c r="AA162" s="349">
        <f>VLOOKUP(G162,'3-Productie normen'!A:Q,15,FALSE)</f>
        <v>235.06999999999988</v>
      </c>
      <c r="AB162" s="350">
        <f>VLOOKUP(G162,'3-Productie normen'!A:Q,16,FALSE)</f>
        <v>0</v>
      </c>
      <c r="AC162" s="349"/>
      <c r="AE162" s="351">
        <f t="shared" si="11"/>
        <v>106.19999999999999</v>
      </c>
    </row>
    <row r="163" spans="1:31" ht="14.1" customHeight="1">
      <c r="A163" s="76">
        <v>163</v>
      </c>
      <c r="B163" s="496" t="s">
        <v>296</v>
      </c>
      <c r="C163" s="312" t="s">
        <v>297</v>
      </c>
      <c r="D163" s="345" t="s">
        <v>307</v>
      </c>
      <c r="E163" s="346">
        <v>7</v>
      </c>
      <c r="F163" s="72" t="s">
        <v>387</v>
      </c>
      <c r="G163" s="72" t="s">
        <v>341</v>
      </c>
      <c r="H163" s="72" t="s">
        <v>311</v>
      </c>
      <c r="I163" s="502">
        <v>14.41</v>
      </c>
      <c r="J163" s="347">
        <f t="shared" si="15"/>
        <v>90</v>
      </c>
      <c r="K163" s="260">
        <v>90</v>
      </c>
      <c r="L163" s="260"/>
      <c r="M163" s="260"/>
      <c r="N163" s="260"/>
      <c r="O163" s="260"/>
      <c r="P163" s="260"/>
      <c r="Q163" s="259" t="e">
        <f>IF(K163="nio",0,IF(K163&gt;0,K163*I163/W163,0))*VLOOKUP(B163,'2-Kosten per locatie'!$A$14:$C$28,3,FALSE)</f>
        <v>#DIV/0!</v>
      </c>
      <c r="R163" s="259">
        <f>IF(L163&gt;0,L163*I163/X163,0)*VLOOKUP(B163,'2-Kosten per locatie'!$A$14:$C$28,3,FALSE)</f>
        <v>0</v>
      </c>
      <c r="S163" s="259">
        <f>IF(M163&gt;0,M163*I163/Y163,0)*VLOOKUP(B163,'2-Kosten per locatie'!$A$14:$C$28,3,FALSE)</f>
        <v>0</v>
      </c>
      <c r="T163" s="259">
        <f>IF(N163&gt;0,N163*I163/Z163,0)*VLOOKUP(B163,'2-Kosten per locatie'!$A$14:$C$28,3,FALSE)</f>
        <v>0</v>
      </c>
      <c r="U163" s="259">
        <f>IF(O163&gt;0,O163*I163/Y163,0)*VLOOKUP(B163,'2-Kosten per locatie'!$A$14:$C$28,3,FALSE)</f>
        <v>0</v>
      </c>
      <c r="V163" s="259">
        <f>IF(P163&gt;0,P163*I163/Z163,0)*VLOOKUP(B163,'2-Kosten per locatie'!$A$14:$C$28,3,FALSE)</f>
        <v>0</v>
      </c>
      <c r="W163" s="348">
        <f>IF(K163="nio",0,IF(K163&gt;0,VLOOKUP(G163,'3-Productie normen'!A:N,VLOOKUP(K163,'3-Productie normen'!$B$27:$C$38,2,FALSE),FALSE)))</f>
        <v>0</v>
      </c>
      <c r="X163" s="348">
        <f t="shared" si="12"/>
        <v>0</v>
      </c>
      <c r="Y163" s="348">
        <f t="shared" si="13"/>
        <v>0</v>
      </c>
      <c r="Z163" s="348">
        <f t="shared" si="14"/>
        <v>0</v>
      </c>
      <c r="AA163" s="349">
        <f>VLOOKUP(G163,'3-Productie normen'!A:Q,15,FALSE)</f>
        <v>452.79000000000019</v>
      </c>
      <c r="AB163" s="350">
        <f>VLOOKUP(G163,'3-Productie normen'!A:Q,16,FALSE)</f>
        <v>0</v>
      </c>
      <c r="AC163" s="349"/>
      <c r="AE163" s="351">
        <f t="shared" si="11"/>
        <v>1296.9000000000001</v>
      </c>
    </row>
    <row r="164" spans="1:31" ht="14.1" customHeight="1">
      <c r="A164" s="76">
        <v>164</v>
      </c>
      <c r="B164" s="496" t="s">
        <v>296</v>
      </c>
      <c r="C164" s="312" t="s">
        <v>297</v>
      </c>
      <c r="D164" s="345" t="s">
        <v>307</v>
      </c>
      <c r="E164" s="346">
        <v>8</v>
      </c>
      <c r="F164" s="72" t="s">
        <v>388</v>
      </c>
      <c r="G164" s="72" t="s">
        <v>85</v>
      </c>
      <c r="H164" s="72" t="s">
        <v>311</v>
      </c>
      <c r="I164" s="502">
        <v>22.23</v>
      </c>
      <c r="J164" s="347">
        <f t="shared" si="15"/>
        <v>90</v>
      </c>
      <c r="K164" s="260">
        <v>90</v>
      </c>
      <c r="L164" s="260"/>
      <c r="M164" s="260"/>
      <c r="N164" s="260"/>
      <c r="O164" s="260"/>
      <c r="P164" s="260"/>
      <c r="Q164" s="259" t="e">
        <f>IF(K164="nio",0,IF(K164&gt;0,K164*I164/W164,0))*VLOOKUP(B164,'2-Kosten per locatie'!$A$14:$C$28,3,FALSE)</f>
        <v>#DIV/0!</v>
      </c>
      <c r="R164" s="259">
        <f>IF(L164&gt;0,L164*I164/X164,0)*VLOOKUP(B164,'2-Kosten per locatie'!$A$14:$C$28,3,FALSE)</f>
        <v>0</v>
      </c>
      <c r="S164" s="259">
        <f>IF(M164&gt;0,M164*I164/Y164,0)*VLOOKUP(B164,'2-Kosten per locatie'!$A$14:$C$28,3,FALSE)</f>
        <v>0</v>
      </c>
      <c r="T164" s="259">
        <f>IF(N164&gt;0,N164*I164/Z164,0)*VLOOKUP(B164,'2-Kosten per locatie'!$A$14:$C$28,3,FALSE)</f>
        <v>0</v>
      </c>
      <c r="U164" s="259">
        <f>IF(O164&gt;0,O164*I164/Y164,0)*VLOOKUP(B164,'2-Kosten per locatie'!$A$14:$C$28,3,FALSE)</f>
        <v>0</v>
      </c>
      <c r="V164" s="259">
        <f>IF(P164&gt;0,P164*I164/Z164,0)*VLOOKUP(B164,'2-Kosten per locatie'!$A$14:$C$28,3,FALSE)</f>
        <v>0</v>
      </c>
      <c r="W164" s="348">
        <f>IF(K164="nio",0,IF(K164&gt;0,VLOOKUP(G164,'3-Productie normen'!A:N,VLOOKUP(K164,'3-Productie normen'!$B$27:$C$38,2,FALSE),FALSE)))</f>
        <v>0</v>
      </c>
      <c r="X164" s="348">
        <f t="shared" si="12"/>
        <v>0</v>
      </c>
      <c r="Y164" s="348">
        <f t="shared" si="13"/>
        <v>0</v>
      </c>
      <c r="Z164" s="348">
        <f t="shared" si="14"/>
        <v>0</v>
      </c>
      <c r="AA164" s="349">
        <f>VLOOKUP(G164,'3-Productie normen'!A:Q,15,FALSE)</f>
        <v>1367.5950000000007</v>
      </c>
      <c r="AB164" s="350">
        <f>VLOOKUP(G164,'3-Productie normen'!A:Q,16,FALSE)</f>
        <v>0</v>
      </c>
      <c r="AC164" s="349"/>
      <c r="AE164" s="351">
        <f t="shared" si="11"/>
        <v>2000.7</v>
      </c>
    </row>
    <row r="165" spans="1:31" ht="14.1" customHeight="1">
      <c r="A165" s="76">
        <v>165</v>
      </c>
      <c r="B165" s="496" t="s">
        <v>296</v>
      </c>
      <c r="C165" s="312" t="s">
        <v>297</v>
      </c>
      <c r="D165" s="345" t="s">
        <v>307</v>
      </c>
      <c r="E165" s="346">
        <v>9</v>
      </c>
      <c r="F165" s="353" t="s">
        <v>389</v>
      </c>
      <c r="G165" s="353" t="s">
        <v>81</v>
      </c>
      <c r="H165" s="72" t="s">
        <v>311</v>
      </c>
      <c r="I165" s="502">
        <v>1.18</v>
      </c>
      <c r="J165" s="347">
        <f t="shared" si="15"/>
        <v>90</v>
      </c>
      <c r="K165" s="260">
        <v>90</v>
      </c>
      <c r="L165" s="260"/>
      <c r="M165" s="260"/>
      <c r="N165" s="260"/>
      <c r="O165" s="260"/>
      <c r="P165" s="260"/>
      <c r="Q165" s="259" t="e">
        <f>IF(K165="nio",0,IF(K165&gt;0,K165*I165/W165,0))*VLOOKUP(B165,'2-Kosten per locatie'!$A$14:$C$28,3,FALSE)</f>
        <v>#DIV/0!</v>
      </c>
      <c r="R165" s="259">
        <f>IF(L165&gt;0,L165*I165/X165,0)*VLOOKUP(B165,'2-Kosten per locatie'!$A$14:$C$28,3,FALSE)</f>
        <v>0</v>
      </c>
      <c r="S165" s="259">
        <f>IF(M165&gt;0,M165*I165/Y165,0)*VLOOKUP(B165,'2-Kosten per locatie'!$A$14:$C$28,3,FALSE)</f>
        <v>0</v>
      </c>
      <c r="T165" s="259">
        <f>IF(N165&gt;0,N165*I165/Z165,0)*VLOOKUP(B165,'2-Kosten per locatie'!$A$14:$C$28,3,FALSE)</f>
        <v>0</v>
      </c>
      <c r="U165" s="259">
        <f>IF(O165&gt;0,O165*I165/Y165,0)*VLOOKUP(B165,'2-Kosten per locatie'!$A$14:$C$28,3,FALSE)</f>
        <v>0</v>
      </c>
      <c r="V165" s="259">
        <f>IF(P165&gt;0,P165*I165/Z165,0)*VLOOKUP(B165,'2-Kosten per locatie'!$A$14:$C$28,3,FALSE)</f>
        <v>0</v>
      </c>
      <c r="W165" s="348">
        <f>IF(K165="nio",0,IF(K165&gt;0,VLOOKUP(G165,'3-Productie normen'!A:N,VLOOKUP(K165,'3-Productie normen'!$B$27:$C$38,2,FALSE),FALSE)))</f>
        <v>0</v>
      </c>
      <c r="X165" s="348">
        <f t="shared" si="12"/>
        <v>0</v>
      </c>
      <c r="Y165" s="348">
        <f t="shared" si="13"/>
        <v>0</v>
      </c>
      <c r="Z165" s="348">
        <f t="shared" si="14"/>
        <v>0</v>
      </c>
      <c r="AA165" s="349">
        <f>VLOOKUP(G165,'3-Productie normen'!A:Q,15,FALSE)</f>
        <v>235.06999999999988</v>
      </c>
      <c r="AB165" s="350">
        <f>VLOOKUP(G165,'3-Productie normen'!A:Q,16,FALSE)</f>
        <v>0</v>
      </c>
      <c r="AC165" s="349"/>
      <c r="AE165" s="351">
        <f t="shared" si="11"/>
        <v>106.19999999999999</v>
      </c>
    </row>
    <row r="166" spans="1:31" ht="14.1" customHeight="1">
      <c r="A166" s="76">
        <v>166</v>
      </c>
      <c r="B166" s="496" t="s">
        <v>296</v>
      </c>
      <c r="C166" s="312" t="s">
        <v>297</v>
      </c>
      <c r="D166" s="345" t="s">
        <v>307</v>
      </c>
      <c r="E166" s="346">
        <v>10</v>
      </c>
      <c r="F166" s="72" t="s">
        <v>390</v>
      </c>
      <c r="G166" s="72" t="s">
        <v>341</v>
      </c>
      <c r="H166" s="352" t="s">
        <v>311</v>
      </c>
      <c r="I166" s="502">
        <v>14.41</v>
      </c>
      <c r="J166" s="347">
        <f t="shared" si="15"/>
        <v>90</v>
      </c>
      <c r="K166" s="260">
        <v>90</v>
      </c>
      <c r="L166" s="260"/>
      <c r="M166" s="260"/>
      <c r="N166" s="260"/>
      <c r="O166" s="260"/>
      <c r="P166" s="260"/>
      <c r="Q166" s="259" t="e">
        <f>IF(K166="nio",0,IF(K166&gt;0,K166*I166/W166,0))*VLOOKUP(B166,'2-Kosten per locatie'!$A$14:$C$28,3,FALSE)</f>
        <v>#DIV/0!</v>
      </c>
      <c r="R166" s="259">
        <f>IF(L166&gt;0,L166*I166/X166,0)*VLOOKUP(B166,'2-Kosten per locatie'!$A$14:$C$28,3,FALSE)</f>
        <v>0</v>
      </c>
      <c r="S166" s="259">
        <f>IF(M166&gt;0,M166*I166/Y166,0)*VLOOKUP(B166,'2-Kosten per locatie'!$A$14:$C$28,3,FALSE)</f>
        <v>0</v>
      </c>
      <c r="T166" s="259">
        <f>IF(N166&gt;0,N166*I166/Z166,0)*VLOOKUP(B166,'2-Kosten per locatie'!$A$14:$C$28,3,FALSE)</f>
        <v>0</v>
      </c>
      <c r="U166" s="259">
        <f>IF(O166&gt;0,O166*I166/Y166,0)*VLOOKUP(B166,'2-Kosten per locatie'!$A$14:$C$28,3,FALSE)</f>
        <v>0</v>
      </c>
      <c r="V166" s="259">
        <f>IF(P166&gt;0,P166*I166/Z166,0)*VLOOKUP(B166,'2-Kosten per locatie'!$A$14:$C$28,3,FALSE)</f>
        <v>0</v>
      </c>
      <c r="W166" s="348">
        <f>IF(K166="nio",0,IF(K166&gt;0,VLOOKUP(G166,'3-Productie normen'!A:N,VLOOKUP(K166,'3-Productie normen'!$B$27:$C$38,2,FALSE),FALSE)))</f>
        <v>0</v>
      </c>
      <c r="X166" s="348">
        <f t="shared" si="12"/>
        <v>0</v>
      </c>
      <c r="Y166" s="348">
        <f t="shared" si="13"/>
        <v>0</v>
      </c>
      <c r="Z166" s="348">
        <f t="shared" si="14"/>
        <v>0</v>
      </c>
      <c r="AA166" s="349">
        <f>VLOOKUP(G166,'3-Productie normen'!A:Q,15,FALSE)</f>
        <v>452.79000000000019</v>
      </c>
      <c r="AB166" s="350">
        <f>VLOOKUP(G166,'3-Productie normen'!A:Q,16,FALSE)</f>
        <v>0</v>
      </c>
      <c r="AC166" s="349"/>
      <c r="AE166" s="351">
        <f t="shared" si="11"/>
        <v>1296.9000000000001</v>
      </c>
    </row>
    <row r="167" spans="1:31" ht="14.1" customHeight="1">
      <c r="A167" s="76">
        <v>167</v>
      </c>
      <c r="B167" s="496" t="s">
        <v>296</v>
      </c>
      <c r="C167" s="312" t="s">
        <v>297</v>
      </c>
      <c r="D167" s="87" t="s">
        <v>307</v>
      </c>
      <c r="E167" s="254">
        <v>11</v>
      </c>
      <c r="F167" s="86" t="s">
        <v>391</v>
      </c>
      <c r="G167" s="86" t="s">
        <v>85</v>
      </c>
      <c r="H167" s="72" t="s">
        <v>311</v>
      </c>
      <c r="I167" s="502">
        <v>18.61</v>
      </c>
      <c r="J167" s="347">
        <f t="shared" si="15"/>
        <v>90</v>
      </c>
      <c r="K167" s="260">
        <v>90</v>
      </c>
      <c r="L167" s="260"/>
      <c r="M167" s="260"/>
      <c r="N167" s="260"/>
      <c r="O167" s="260"/>
      <c r="P167" s="260"/>
      <c r="Q167" s="259" t="e">
        <f>IF(K167="nio",0,IF(K167&gt;0,K167*I167/W167,0))*VLOOKUP(B167,'2-Kosten per locatie'!$A$14:$C$28,3,FALSE)</f>
        <v>#DIV/0!</v>
      </c>
      <c r="R167" s="259">
        <f>IF(L167&gt;0,L167*I167/X167,0)*VLOOKUP(B167,'2-Kosten per locatie'!$A$14:$C$28,3,FALSE)</f>
        <v>0</v>
      </c>
      <c r="S167" s="259">
        <f>IF(M167&gt;0,M167*I167/Y167,0)*VLOOKUP(B167,'2-Kosten per locatie'!$A$14:$C$28,3,FALSE)</f>
        <v>0</v>
      </c>
      <c r="T167" s="259">
        <f>IF(N167&gt;0,N167*I167/Z167,0)*VLOOKUP(B167,'2-Kosten per locatie'!$A$14:$C$28,3,FALSE)</f>
        <v>0</v>
      </c>
      <c r="U167" s="259">
        <f>IF(O167&gt;0,O167*I167/Y167,0)*VLOOKUP(B167,'2-Kosten per locatie'!$A$14:$C$28,3,FALSE)</f>
        <v>0</v>
      </c>
      <c r="V167" s="259">
        <f>IF(P167&gt;0,P167*I167/Z167,0)*VLOOKUP(B167,'2-Kosten per locatie'!$A$14:$C$28,3,FALSE)</f>
        <v>0</v>
      </c>
      <c r="W167" s="348">
        <f>IF(K167="nio",0,IF(K167&gt;0,VLOOKUP(G167,'3-Productie normen'!A:N,VLOOKUP(K167,'3-Productie normen'!$B$27:$C$38,2,FALSE),FALSE)))</f>
        <v>0</v>
      </c>
      <c r="X167" s="348">
        <f t="shared" si="12"/>
        <v>0</v>
      </c>
      <c r="Y167" s="348">
        <f t="shared" si="13"/>
        <v>0</v>
      </c>
      <c r="Z167" s="348">
        <f t="shared" si="14"/>
        <v>0</v>
      </c>
      <c r="AA167" s="349">
        <f>VLOOKUP(G167,'3-Productie normen'!A:Q,15,FALSE)</f>
        <v>1367.5950000000007</v>
      </c>
      <c r="AB167" s="350">
        <f>VLOOKUP(G167,'3-Productie normen'!A:Q,16,FALSE)</f>
        <v>0</v>
      </c>
      <c r="AC167" s="349"/>
      <c r="AE167" s="351">
        <f t="shared" si="11"/>
        <v>1674.8999999999999</v>
      </c>
    </row>
    <row r="168" spans="1:31" ht="14.1" customHeight="1">
      <c r="A168" s="76">
        <v>168</v>
      </c>
      <c r="B168" s="496" t="s">
        <v>296</v>
      </c>
      <c r="C168" s="312" t="s">
        <v>297</v>
      </c>
      <c r="D168" s="345" t="s">
        <v>307</v>
      </c>
      <c r="E168" s="346">
        <v>12</v>
      </c>
      <c r="F168" s="72" t="s">
        <v>392</v>
      </c>
      <c r="G168" s="72" t="s">
        <v>341</v>
      </c>
      <c r="H168" s="72" t="s">
        <v>311</v>
      </c>
      <c r="I168" s="502">
        <v>11.5</v>
      </c>
      <c r="J168" s="347">
        <f t="shared" si="15"/>
        <v>90</v>
      </c>
      <c r="K168" s="260">
        <v>90</v>
      </c>
      <c r="L168" s="260"/>
      <c r="M168" s="260"/>
      <c r="N168" s="260"/>
      <c r="O168" s="260"/>
      <c r="P168" s="260"/>
      <c r="Q168" s="259" t="e">
        <f>IF(K168="nio",0,IF(K168&gt;0,K168*I168/W168,0))*VLOOKUP(B168,'2-Kosten per locatie'!$A$14:$C$28,3,FALSE)</f>
        <v>#DIV/0!</v>
      </c>
      <c r="R168" s="259">
        <f>IF(L168&gt;0,L168*I168/X168,0)*VLOOKUP(B168,'2-Kosten per locatie'!$A$14:$C$28,3,FALSE)</f>
        <v>0</v>
      </c>
      <c r="S168" s="259">
        <f>IF(M168&gt;0,M168*I168/Y168,0)*VLOOKUP(B168,'2-Kosten per locatie'!$A$14:$C$28,3,FALSE)</f>
        <v>0</v>
      </c>
      <c r="T168" s="259">
        <f>IF(N168&gt;0,N168*I168/Z168,0)*VLOOKUP(B168,'2-Kosten per locatie'!$A$14:$C$28,3,FALSE)</f>
        <v>0</v>
      </c>
      <c r="U168" s="259">
        <f>IF(O168&gt;0,O168*I168/Y168,0)*VLOOKUP(B168,'2-Kosten per locatie'!$A$14:$C$28,3,FALSE)</f>
        <v>0</v>
      </c>
      <c r="V168" s="259">
        <f>IF(P168&gt;0,P168*I168/Z168,0)*VLOOKUP(B168,'2-Kosten per locatie'!$A$14:$C$28,3,FALSE)</f>
        <v>0</v>
      </c>
      <c r="W168" s="348">
        <f>IF(K168="nio",0,IF(K168&gt;0,VLOOKUP(G168,'3-Productie normen'!A:N,VLOOKUP(K168,'3-Productie normen'!$B$27:$C$38,2,FALSE),FALSE)))</f>
        <v>0</v>
      </c>
      <c r="X168" s="348">
        <f t="shared" si="12"/>
        <v>0</v>
      </c>
      <c r="Y168" s="348">
        <f t="shared" si="13"/>
        <v>0</v>
      </c>
      <c r="Z168" s="348">
        <f t="shared" si="14"/>
        <v>0</v>
      </c>
      <c r="AA168" s="349">
        <f>VLOOKUP(G168,'3-Productie normen'!A:Q,15,FALSE)</f>
        <v>452.79000000000019</v>
      </c>
      <c r="AB168" s="350">
        <f>VLOOKUP(G168,'3-Productie normen'!A:Q,16,FALSE)</f>
        <v>0</v>
      </c>
      <c r="AC168" s="349"/>
      <c r="AE168" s="351">
        <f t="shared" si="11"/>
        <v>1035</v>
      </c>
    </row>
    <row r="169" spans="1:31" ht="14.1" customHeight="1">
      <c r="A169" s="76">
        <v>169</v>
      </c>
      <c r="B169" s="496" t="s">
        <v>296</v>
      </c>
      <c r="C169" s="312" t="s">
        <v>297</v>
      </c>
      <c r="D169" s="345" t="s">
        <v>307</v>
      </c>
      <c r="E169" s="346">
        <v>13</v>
      </c>
      <c r="F169" s="72" t="s">
        <v>393</v>
      </c>
      <c r="G169" s="72" t="s">
        <v>81</v>
      </c>
      <c r="H169" s="72" t="s">
        <v>311</v>
      </c>
      <c r="I169" s="502">
        <v>1.18</v>
      </c>
      <c r="J169" s="347">
        <f t="shared" si="15"/>
        <v>90</v>
      </c>
      <c r="K169" s="260">
        <v>90</v>
      </c>
      <c r="L169" s="260"/>
      <c r="M169" s="260"/>
      <c r="N169" s="260"/>
      <c r="O169" s="260"/>
      <c r="P169" s="260"/>
      <c r="Q169" s="259" t="e">
        <f>IF(K169="nio",0,IF(K169&gt;0,K169*I169/W169,0))*VLOOKUP(B169,'2-Kosten per locatie'!$A$14:$C$28,3,FALSE)</f>
        <v>#DIV/0!</v>
      </c>
      <c r="R169" s="259">
        <f>IF(L169&gt;0,L169*I169/X169,0)*VLOOKUP(B169,'2-Kosten per locatie'!$A$14:$C$28,3,FALSE)</f>
        <v>0</v>
      </c>
      <c r="S169" s="259">
        <f>IF(M169&gt;0,M169*I169/Y169,0)*VLOOKUP(B169,'2-Kosten per locatie'!$A$14:$C$28,3,FALSE)</f>
        <v>0</v>
      </c>
      <c r="T169" s="259">
        <f>IF(N169&gt;0,N169*I169/Z169,0)*VLOOKUP(B169,'2-Kosten per locatie'!$A$14:$C$28,3,FALSE)</f>
        <v>0</v>
      </c>
      <c r="U169" s="259">
        <f>IF(O169&gt;0,O169*I169/Y169,0)*VLOOKUP(B169,'2-Kosten per locatie'!$A$14:$C$28,3,FALSE)</f>
        <v>0</v>
      </c>
      <c r="V169" s="259">
        <f>IF(P169&gt;0,P169*I169/Z169,0)*VLOOKUP(B169,'2-Kosten per locatie'!$A$14:$C$28,3,FALSE)</f>
        <v>0</v>
      </c>
      <c r="W169" s="348">
        <f>IF(K169="nio",0,IF(K169&gt;0,VLOOKUP(G169,'3-Productie normen'!A:N,VLOOKUP(K169,'3-Productie normen'!$B$27:$C$38,2,FALSE),FALSE)))</f>
        <v>0</v>
      </c>
      <c r="X169" s="348">
        <f t="shared" si="12"/>
        <v>0</v>
      </c>
      <c r="Y169" s="348">
        <f t="shared" si="13"/>
        <v>0</v>
      </c>
      <c r="Z169" s="348">
        <f t="shared" si="14"/>
        <v>0</v>
      </c>
      <c r="AA169" s="349">
        <f>VLOOKUP(G169,'3-Productie normen'!A:Q,15,FALSE)</f>
        <v>235.06999999999988</v>
      </c>
      <c r="AB169" s="350">
        <f>VLOOKUP(G169,'3-Productie normen'!A:Q,16,FALSE)</f>
        <v>0</v>
      </c>
      <c r="AC169" s="349"/>
      <c r="AE169" s="351">
        <f t="shared" si="11"/>
        <v>106.19999999999999</v>
      </c>
    </row>
    <row r="170" spans="1:31" ht="14.1" customHeight="1">
      <c r="A170" s="76">
        <v>170</v>
      </c>
      <c r="B170" s="496" t="s">
        <v>296</v>
      </c>
      <c r="C170" s="312" t="s">
        <v>297</v>
      </c>
      <c r="D170" s="345" t="s">
        <v>307</v>
      </c>
      <c r="E170" s="346">
        <v>14</v>
      </c>
      <c r="F170" s="72" t="s">
        <v>394</v>
      </c>
      <c r="G170" s="72" t="s">
        <v>85</v>
      </c>
      <c r="H170" s="72" t="s">
        <v>311</v>
      </c>
      <c r="I170" s="502">
        <v>18.61</v>
      </c>
      <c r="J170" s="347">
        <f t="shared" si="15"/>
        <v>90</v>
      </c>
      <c r="K170" s="260">
        <v>90</v>
      </c>
      <c r="L170" s="260"/>
      <c r="M170" s="260"/>
      <c r="N170" s="260"/>
      <c r="O170" s="260"/>
      <c r="P170" s="260"/>
      <c r="Q170" s="259" t="e">
        <f>IF(K170="nio",0,IF(K170&gt;0,K170*I170/W170,0))*VLOOKUP(B170,'2-Kosten per locatie'!$A$14:$C$28,3,FALSE)</f>
        <v>#DIV/0!</v>
      </c>
      <c r="R170" s="259">
        <f>IF(L170&gt;0,L170*I170/X170,0)*VLOOKUP(B170,'2-Kosten per locatie'!$A$14:$C$28,3,FALSE)</f>
        <v>0</v>
      </c>
      <c r="S170" s="259">
        <f>IF(M170&gt;0,M170*I170/Y170,0)*VLOOKUP(B170,'2-Kosten per locatie'!$A$14:$C$28,3,FALSE)</f>
        <v>0</v>
      </c>
      <c r="T170" s="259">
        <f>IF(N170&gt;0,N170*I170/Z170,0)*VLOOKUP(B170,'2-Kosten per locatie'!$A$14:$C$28,3,FALSE)</f>
        <v>0</v>
      </c>
      <c r="U170" s="259">
        <f>IF(O170&gt;0,O170*I170/Y170,0)*VLOOKUP(B170,'2-Kosten per locatie'!$A$14:$C$28,3,FALSE)</f>
        <v>0</v>
      </c>
      <c r="V170" s="259">
        <f>IF(P170&gt;0,P170*I170/Z170,0)*VLOOKUP(B170,'2-Kosten per locatie'!$A$14:$C$28,3,FALSE)</f>
        <v>0</v>
      </c>
      <c r="W170" s="348">
        <f>IF(K170="nio",0,IF(K170&gt;0,VLOOKUP(G170,'3-Productie normen'!A:N,VLOOKUP(K170,'3-Productie normen'!$B$27:$C$38,2,FALSE),FALSE)))</f>
        <v>0</v>
      </c>
      <c r="X170" s="348">
        <f t="shared" si="12"/>
        <v>0</v>
      </c>
      <c r="Y170" s="348">
        <f t="shared" si="13"/>
        <v>0</v>
      </c>
      <c r="Z170" s="348">
        <f t="shared" si="14"/>
        <v>0</v>
      </c>
      <c r="AA170" s="349">
        <f>VLOOKUP(G170,'3-Productie normen'!A:Q,15,FALSE)</f>
        <v>1367.5950000000007</v>
      </c>
      <c r="AB170" s="350">
        <f>VLOOKUP(G170,'3-Productie normen'!A:Q,16,FALSE)</f>
        <v>0</v>
      </c>
      <c r="AC170" s="349"/>
      <c r="AE170" s="351">
        <f t="shared" si="11"/>
        <v>1674.8999999999999</v>
      </c>
    </row>
    <row r="171" spans="1:31" ht="14.1" customHeight="1">
      <c r="A171" s="76">
        <v>171</v>
      </c>
      <c r="B171" s="496" t="s">
        <v>296</v>
      </c>
      <c r="C171" s="312" t="s">
        <v>297</v>
      </c>
      <c r="D171" s="345" t="s">
        <v>307</v>
      </c>
      <c r="E171" s="346">
        <v>15</v>
      </c>
      <c r="F171" s="72" t="s">
        <v>395</v>
      </c>
      <c r="G171" s="72" t="s">
        <v>341</v>
      </c>
      <c r="H171" s="72" t="s">
        <v>311</v>
      </c>
      <c r="I171" s="502">
        <v>11.5</v>
      </c>
      <c r="J171" s="347">
        <f t="shared" si="15"/>
        <v>90</v>
      </c>
      <c r="K171" s="260">
        <v>90</v>
      </c>
      <c r="L171" s="260"/>
      <c r="M171" s="260"/>
      <c r="N171" s="260"/>
      <c r="O171" s="260"/>
      <c r="P171" s="260"/>
      <c r="Q171" s="259" t="e">
        <f>IF(K171="nio",0,IF(K171&gt;0,K171*I171/W171,0))*VLOOKUP(B171,'2-Kosten per locatie'!$A$14:$C$28,3,FALSE)</f>
        <v>#DIV/0!</v>
      </c>
      <c r="R171" s="259">
        <f>IF(L171&gt;0,L171*I171/X171,0)*VLOOKUP(B171,'2-Kosten per locatie'!$A$14:$C$28,3,FALSE)</f>
        <v>0</v>
      </c>
      <c r="S171" s="259">
        <f>IF(M171&gt;0,M171*I171/Y171,0)*VLOOKUP(B171,'2-Kosten per locatie'!$A$14:$C$28,3,FALSE)</f>
        <v>0</v>
      </c>
      <c r="T171" s="259">
        <f>IF(N171&gt;0,N171*I171/Z171,0)*VLOOKUP(B171,'2-Kosten per locatie'!$A$14:$C$28,3,FALSE)</f>
        <v>0</v>
      </c>
      <c r="U171" s="259">
        <f>IF(O171&gt;0,O171*I171/Y171,0)*VLOOKUP(B171,'2-Kosten per locatie'!$A$14:$C$28,3,FALSE)</f>
        <v>0</v>
      </c>
      <c r="V171" s="259">
        <f>IF(P171&gt;0,P171*I171/Z171,0)*VLOOKUP(B171,'2-Kosten per locatie'!$A$14:$C$28,3,FALSE)</f>
        <v>0</v>
      </c>
      <c r="W171" s="348">
        <f>IF(K171="nio",0,IF(K171&gt;0,VLOOKUP(G171,'3-Productie normen'!A:N,VLOOKUP(K171,'3-Productie normen'!$B$27:$C$38,2,FALSE),FALSE)))</f>
        <v>0</v>
      </c>
      <c r="X171" s="348">
        <f t="shared" si="12"/>
        <v>0</v>
      </c>
      <c r="Y171" s="348">
        <f t="shared" si="13"/>
        <v>0</v>
      </c>
      <c r="Z171" s="348">
        <f t="shared" si="14"/>
        <v>0</v>
      </c>
      <c r="AA171" s="349">
        <f>VLOOKUP(G171,'3-Productie normen'!A:Q,15,FALSE)</f>
        <v>452.79000000000019</v>
      </c>
      <c r="AB171" s="350">
        <f>VLOOKUP(G171,'3-Productie normen'!A:Q,16,FALSE)</f>
        <v>0</v>
      </c>
      <c r="AC171" s="349"/>
      <c r="AE171" s="351">
        <f t="shared" si="11"/>
        <v>1035</v>
      </c>
    </row>
    <row r="172" spans="1:31" ht="14.1" customHeight="1">
      <c r="A172" s="76">
        <v>172</v>
      </c>
      <c r="B172" s="496" t="s">
        <v>296</v>
      </c>
      <c r="C172" s="312" t="s">
        <v>297</v>
      </c>
      <c r="D172" s="345" t="s">
        <v>307</v>
      </c>
      <c r="E172" s="346">
        <v>16</v>
      </c>
      <c r="F172" s="72" t="s">
        <v>396</v>
      </c>
      <c r="G172" s="72" t="s">
        <v>81</v>
      </c>
      <c r="H172" s="72" t="s">
        <v>311</v>
      </c>
      <c r="I172" s="502">
        <v>1.18</v>
      </c>
      <c r="J172" s="347">
        <f t="shared" si="15"/>
        <v>90</v>
      </c>
      <c r="K172" s="260">
        <v>90</v>
      </c>
      <c r="L172" s="260"/>
      <c r="M172" s="260"/>
      <c r="N172" s="260"/>
      <c r="O172" s="260"/>
      <c r="P172" s="260"/>
      <c r="Q172" s="259" t="e">
        <f>IF(K172="nio",0,IF(K172&gt;0,K172*I172/W172,0))*VLOOKUP(B172,'2-Kosten per locatie'!$A$14:$C$28,3,FALSE)</f>
        <v>#DIV/0!</v>
      </c>
      <c r="R172" s="259">
        <f>IF(L172&gt;0,L172*I172/X172,0)*VLOOKUP(B172,'2-Kosten per locatie'!$A$14:$C$28,3,FALSE)</f>
        <v>0</v>
      </c>
      <c r="S172" s="259">
        <f>IF(M172&gt;0,M172*I172/Y172,0)*VLOOKUP(B172,'2-Kosten per locatie'!$A$14:$C$28,3,FALSE)</f>
        <v>0</v>
      </c>
      <c r="T172" s="259">
        <f>IF(N172&gt;0,N172*I172/Z172,0)*VLOOKUP(B172,'2-Kosten per locatie'!$A$14:$C$28,3,FALSE)</f>
        <v>0</v>
      </c>
      <c r="U172" s="259">
        <f>IF(O172&gt;0,O172*I172/Y172,0)*VLOOKUP(B172,'2-Kosten per locatie'!$A$14:$C$28,3,FALSE)</f>
        <v>0</v>
      </c>
      <c r="V172" s="259">
        <f>IF(P172&gt;0,P172*I172/Z172,0)*VLOOKUP(B172,'2-Kosten per locatie'!$A$14:$C$28,3,FALSE)</f>
        <v>0</v>
      </c>
      <c r="W172" s="348">
        <f>IF(K172="nio",0,IF(K172&gt;0,VLOOKUP(G172,'3-Productie normen'!A:N,VLOOKUP(K172,'3-Productie normen'!$B$27:$C$38,2,FALSE),FALSE)))</f>
        <v>0</v>
      </c>
      <c r="X172" s="348">
        <f t="shared" si="12"/>
        <v>0</v>
      </c>
      <c r="Y172" s="348">
        <f t="shared" si="13"/>
        <v>0</v>
      </c>
      <c r="Z172" s="348">
        <f t="shared" si="14"/>
        <v>0</v>
      </c>
      <c r="AA172" s="349">
        <f>VLOOKUP(G172,'3-Productie normen'!A:Q,15,FALSE)</f>
        <v>235.06999999999988</v>
      </c>
      <c r="AB172" s="350">
        <f>VLOOKUP(G172,'3-Productie normen'!A:Q,16,FALSE)</f>
        <v>0</v>
      </c>
      <c r="AC172" s="349"/>
      <c r="AE172" s="351">
        <f t="shared" si="11"/>
        <v>106.19999999999999</v>
      </c>
    </row>
    <row r="173" spans="1:31" ht="14.1" customHeight="1">
      <c r="A173" s="76">
        <v>173</v>
      </c>
      <c r="B173" s="496" t="s">
        <v>296</v>
      </c>
      <c r="C173" s="312" t="s">
        <v>297</v>
      </c>
      <c r="D173" s="345" t="s">
        <v>307</v>
      </c>
      <c r="E173" s="346">
        <v>17</v>
      </c>
      <c r="F173" s="312" t="s">
        <v>397</v>
      </c>
      <c r="G173" s="312" t="s">
        <v>85</v>
      </c>
      <c r="H173" s="72" t="s">
        <v>311</v>
      </c>
      <c r="I173" s="502">
        <v>18.61</v>
      </c>
      <c r="J173" s="347">
        <f t="shared" si="15"/>
        <v>90</v>
      </c>
      <c r="K173" s="260">
        <v>90</v>
      </c>
      <c r="L173" s="260"/>
      <c r="M173" s="260"/>
      <c r="N173" s="260"/>
      <c r="O173" s="260"/>
      <c r="P173" s="260"/>
      <c r="Q173" s="259" t="e">
        <f>IF(K173="nio",0,IF(K173&gt;0,K173*I173/W173,0))*VLOOKUP(B173,'2-Kosten per locatie'!$A$14:$C$28,3,FALSE)</f>
        <v>#DIV/0!</v>
      </c>
      <c r="R173" s="259">
        <f>IF(L173&gt;0,L173*I173/X173,0)*VLOOKUP(B173,'2-Kosten per locatie'!$A$14:$C$28,3,FALSE)</f>
        <v>0</v>
      </c>
      <c r="S173" s="259">
        <f>IF(M173&gt;0,M173*I173/Y173,0)*VLOOKUP(B173,'2-Kosten per locatie'!$A$14:$C$28,3,FALSE)</f>
        <v>0</v>
      </c>
      <c r="T173" s="259">
        <f>IF(N173&gt;0,N173*I173/Z173,0)*VLOOKUP(B173,'2-Kosten per locatie'!$A$14:$C$28,3,FALSE)</f>
        <v>0</v>
      </c>
      <c r="U173" s="259">
        <f>IF(O173&gt;0,O173*I173/Y173,0)*VLOOKUP(B173,'2-Kosten per locatie'!$A$14:$C$28,3,FALSE)</f>
        <v>0</v>
      </c>
      <c r="V173" s="259">
        <f>IF(P173&gt;0,P173*I173/Z173,0)*VLOOKUP(B173,'2-Kosten per locatie'!$A$14:$C$28,3,FALSE)</f>
        <v>0</v>
      </c>
      <c r="W173" s="348">
        <f>IF(K173="nio",0,IF(K173&gt;0,VLOOKUP(G173,'3-Productie normen'!A:N,VLOOKUP(K173,'3-Productie normen'!$B$27:$C$38,2,FALSE),FALSE)))</f>
        <v>0</v>
      </c>
      <c r="X173" s="348">
        <f t="shared" si="12"/>
        <v>0</v>
      </c>
      <c r="Y173" s="348">
        <f t="shared" si="13"/>
        <v>0</v>
      </c>
      <c r="Z173" s="348">
        <f t="shared" si="14"/>
        <v>0</v>
      </c>
      <c r="AA173" s="349">
        <f>VLOOKUP(G173,'3-Productie normen'!A:Q,15,FALSE)</f>
        <v>1367.5950000000007</v>
      </c>
      <c r="AB173" s="350">
        <f>VLOOKUP(G173,'3-Productie normen'!A:Q,16,FALSE)</f>
        <v>0</v>
      </c>
      <c r="AC173" s="349"/>
      <c r="AE173" s="351">
        <f t="shared" si="11"/>
        <v>1674.8999999999999</v>
      </c>
    </row>
    <row r="174" spans="1:31" ht="14.1" customHeight="1">
      <c r="A174" s="76">
        <v>174</v>
      </c>
      <c r="B174" s="496" t="s">
        <v>296</v>
      </c>
      <c r="C174" s="312" t="s">
        <v>297</v>
      </c>
      <c r="D174" s="345" t="s">
        <v>307</v>
      </c>
      <c r="E174" s="346">
        <v>18</v>
      </c>
      <c r="F174" s="312" t="s">
        <v>398</v>
      </c>
      <c r="G174" s="312" t="s">
        <v>341</v>
      </c>
      <c r="H174" s="72" t="s">
        <v>311</v>
      </c>
      <c r="I174" s="502">
        <v>11.5</v>
      </c>
      <c r="J174" s="347">
        <f t="shared" si="15"/>
        <v>90</v>
      </c>
      <c r="K174" s="260">
        <v>90</v>
      </c>
      <c r="L174" s="260"/>
      <c r="M174" s="260"/>
      <c r="N174" s="260"/>
      <c r="O174" s="260"/>
      <c r="P174" s="260"/>
      <c r="Q174" s="259" t="e">
        <f>IF(K174="nio",0,IF(K174&gt;0,K174*I174/W174,0))*VLOOKUP(B174,'2-Kosten per locatie'!$A$14:$C$28,3,FALSE)</f>
        <v>#DIV/0!</v>
      </c>
      <c r="R174" s="259">
        <f>IF(L174&gt;0,L174*I174/X174,0)*VLOOKUP(B174,'2-Kosten per locatie'!$A$14:$C$28,3,FALSE)</f>
        <v>0</v>
      </c>
      <c r="S174" s="259">
        <f>IF(M174&gt;0,M174*I174/Y174,0)*VLOOKUP(B174,'2-Kosten per locatie'!$A$14:$C$28,3,FALSE)</f>
        <v>0</v>
      </c>
      <c r="T174" s="259">
        <f>IF(N174&gt;0,N174*I174/Z174,0)*VLOOKUP(B174,'2-Kosten per locatie'!$A$14:$C$28,3,FALSE)</f>
        <v>0</v>
      </c>
      <c r="U174" s="259">
        <f>IF(O174&gt;0,O174*I174/Y174,0)*VLOOKUP(B174,'2-Kosten per locatie'!$A$14:$C$28,3,FALSE)</f>
        <v>0</v>
      </c>
      <c r="V174" s="259">
        <f>IF(P174&gt;0,P174*I174/Z174,0)*VLOOKUP(B174,'2-Kosten per locatie'!$A$14:$C$28,3,FALSE)</f>
        <v>0</v>
      </c>
      <c r="W174" s="348">
        <f>IF(K174="nio",0,IF(K174&gt;0,VLOOKUP(G174,'3-Productie normen'!A:N,VLOOKUP(K174,'3-Productie normen'!$B$27:$C$38,2,FALSE),FALSE)))</f>
        <v>0</v>
      </c>
      <c r="X174" s="348">
        <f t="shared" si="12"/>
        <v>0</v>
      </c>
      <c r="Y174" s="348">
        <f t="shared" si="13"/>
        <v>0</v>
      </c>
      <c r="Z174" s="348">
        <f t="shared" si="14"/>
        <v>0</v>
      </c>
      <c r="AA174" s="349">
        <f>VLOOKUP(G174,'3-Productie normen'!A:Q,15,FALSE)</f>
        <v>452.79000000000019</v>
      </c>
      <c r="AB174" s="350">
        <f>VLOOKUP(G174,'3-Productie normen'!A:Q,16,FALSE)</f>
        <v>0</v>
      </c>
      <c r="AC174" s="349"/>
      <c r="AE174" s="351">
        <f t="shared" si="11"/>
        <v>1035</v>
      </c>
    </row>
    <row r="175" spans="1:31" ht="14.1" customHeight="1">
      <c r="A175" s="76">
        <v>175</v>
      </c>
      <c r="B175" s="496" t="s">
        <v>296</v>
      </c>
      <c r="C175" s="312" t="s">
        <v>297</v>
      </c>
      <c r="D175" s="345" t="s">
        <v>307</v>
      </c>
      <c r="E175" s="346">
        <v>19</v>
      </c>
      <c r="F175" s="312" t="s">
        <v>310</v>
      </c>
      <c r="G175" s="312" t="s">
        <v>81</v>
      </c>
      <c r="H175" s="72" t="s">
        <v>311</v>
      </c>
      <c r="I175" s="502">
        <v>1.18</v>
      </c>
      <c r="J175" s="347">
        <f t="shared" si="15"/>
        <v>90</v>
      </c>
      <c r="K175" s="260">
        <v>90</v>
      </c>
      <c r="L175" s="260"/>
      <c r="M175" s="260"/>
      <c r="N175" s="260"/>
      <c r="O175" s="260"/>
      <c r="P175" s="260"/>
      <c r="Q175" s="259" t="e">
        <f>IF(K175="nio",0,IF(K175&gt;0,K175*I175/W175,0))*VLOOKUP(B175,'2-Kosten per locatie'!$A$14:$C$28,3,FALSE)</f>
        <v>#DIV/0!</v>
      </c>
      <c r="R175" s="259">
        <f>IF(L175&gt;0,L175*I175/X175,0)*VLOOKUP(B175,'2-Kosten per locatie'!$A$14:$C$28,3,FALSE)</f>
        <v>0</v>
      </c>
      <c r="S175" s="259">
        <f>IF(M175&gt;0,M175*I175/Y175,0)*VLOOKUP(B175,'2-Kosten per locatie'!$A$14:$C$28,3,FALSE)</f>
        <v>0</v>
      </c>
      <c r="T175" s="259">
        <f>IF(N175&gt;0,N175*I175/Z175,0)*VLOOKUP(B175,'2-Kosten per locatie'!$A$14:$C$28,3,FALSE)</f>
        <v>0</v>
      </c>
      <c r="U175" s="259">
        <f>IF(O175&gt;0,O175*I175/Y175,0)*VLOOKUP(B175,'2-Kosten per locatie'!$A$14:$C$28,3,FALSE)</f>
        <v>0</v>
      </c>
      <c r="V175" s="259">
        <f>IF(P175&gt;0,P175*I175/Z175,0)*VLOOKUP(B175,'2-Kosten per locatie'!$A$14:$C$28,3,FALSE)</f>
        <v>0</v>
      </c>
      <c r="W175" s="348">
        <f>IF(K175="nio",0,IF(K175&gt;0,VLOOKUP(G175,'3-Productie normen'!A:N,VLOOKUP(K175,'3-Productie normen'!$B$27:$C$38,2,FALSE),FALSE)))</f>
        <v>0</v>
      </c>
      <c r="X175" s="348">
        <f t="shared" si="12"/>
        <v>0</v>
      </c>
      <c r="Y175" s="348">
        <f t="shared" si="13"/>
        <v>0</v>
      </c>
      <c r="Z175" s="348">
        <f t="shared" si="14"/>
        <v>0</v>
      </c>
      <c r="AA175" s="349">
        <f>VLOOKUP(G175,'3-Productie normen'!A:Q,15,FALSE)</f>
        <v>235.06999999999988</v>
      </c>
      <c r="AB175" s="350">
        <f>VLOOKUP(G175,'3-Productie normen'!A:Q,16,FALSE)</f>
        <v>0</v>
      </c>
      <c r="AC175" s="349"/>
      <c r="AE175" s="351">
        <f t="shared" si="11"/>
        <v>106.19999999999999</v>
      </c>
    </row>
    <row r="176" spans="1:31" ht="14.1" customHeight="1">
      <c r="A176" s="76">
        <v>176</v>
      </c>
      <c r="B176" s="496" t="s">
        <v>296</v>
      </c>
      <c r="C176" s="312" t="s">
        <v>297</v>
      </c>
      <c r="D176" s="345" t="s">
        <v>307</v>
      </c>
      <c r="E176" s="346">
        <v>20</v>
      </c>
      <c r="F176" s="72" t="s">
        <v>399</v>
      </c>
      <c r="G176" s="72" t="s">
        <v>461</v>
      </c>
      <c r="H176" s="72" t="s">
        <v>311</v>
      </c>
      <c r="I176" s="502">
        <v>52</v>
      </c>
      <c r="J176" s="347">
        <f t="shared" si="15"/>
        <v>0</v>
      </c>
      <c r="K176" s="260" t="s">
        <v>460</v>
      </c>
      <c r="L176" s="260"/>
      <c r="M176" s="260"/>
      <c r="N176" s="260"/>
      <c r="O176" s="260"/>
      <c r="P176" s="260"/>
      <c r="Q176" s="259">
        <f>IF(K176="nio",0,IF(K176&gt;0,K176*I176/W176,0))*VLOOKUP(B176,'2-Kosten per locatie'!$A$14:$C$28,3,FALSE)</f>
        <v>0</v>
      </c>
      <c r="R176" s="259">
        <f>IF(L176&gt;0,L176*I176/X176,0)*VLOOKUP(B176,'2-Kosten per locatie'!$A$14:$C$28,3,FALSE)</f>
        <v>0</v>
      </c>
      <c r="S176" s="259">
        <f>IF(M176&gt;0,M176*I176/Y176,0)*VLOOKUP(B176,'2-Kosten per locatie'!$A$14:$C$28,3,FALSE)</f>
        <v>0</v>
      </c>
      <c r="T176" s="259">
        <f>IF(N176&gt;0,N176*I176/Z176,0)*VLOOKUP(B176,'2-Kosten per locatie'!$A$14:$C$28,3,FALSE)</f>
        <v>0</v>
      </c>
      <c r="U176" s="259">
        <f>IF(O176&gt;0,O176*I176/Y176,0)*VLOOKUP(B176,'2-Kosten per locatie'!$A$14:$C$28,3,FALSE)</f>
        <v>0</v>
      </c>
      <c r="V176" s="259">
        <f>IF(P176&gt;0,P176*I176/Z176,0)*VLOOKUP(B176,'2-Kosten per locatie'!$A$14:$C$28,3,FALSE)</f>
        <v>0</v>
      </c>
      <c r="W176" s="348">
        <f>IF(K176="nio",0,IF(K176&gt;0,VLOOKUP(G176,'3-Productie normen'!A:N,VLOOKUP(K176,'3-Productie normen'!$B$27:$C$38,2,FALSE),FALSE)))</f>
        <v>0</v>
      </c>
      <c r="X176" s="348">
        <f t="shared" si="12"/>
        <v>0</v>
      </c>
      <c r="Y176" s="348">
        <f t="shared" si="13"/>
        <v>0</v>
      </c>
      <c r="Z176" s="348">
        <f t="shared" si="14"/>
        <v>0</v>
      </c>
      <c r="AA176" s="349" t="e">
        <f>VLOOKUP(G176,'3-Productie normen'!A:Q,15,FALSE)</f>
        <v>#N/A</v>
      </c>
      <c r="AB176" s="350" t="e">
        <f>VLOOKUP(G176,'3-Productie normen'!A:Q,16,FALSE)</f>
        <v>#N/A</v>
      </c>
      <c r="AC176" s="349"/>
      <c r="AE176" s="351">
        <f t="shared" si="11"/>
        <v>0</v>
      </c>
    </row>
    <row r="177" spans="1:31" ht="14.1" customHeight="1">
      <c r="A177" s="76">
        <v>177</v>
      </c>
      <c r="B177" s="496" t="s">
        <v>296</v>
      </c>
      <c r="C177" s="312" t="s">
        <v>297</v>
      </c>
      <c r="D177" s="345" t="s">
        <v>307</v>
      </c>
      <c r="E177" s="346">
        <v>21</v>
      </c>
      <c r="F177" s="72" t="s">
        <v>344</v>
      </c>
      <c r="G177" s="72" t="s">
        <v>461</v>
      </c>
      <c r="H177" s="72" t="s">
        <v>311</v>
      </c>
      <c r="I177" s="502">
        <v>4</v>
      </c>
      <c r="J177" s="347">
        <f t="shared" si="15"/>
        <v>0</v>
      </c>
      <c r="K177" s="260" t="s">
        <v>460</v>
      </c>
      <c r="L177" s="260"/>
      <c r="M177" s="260"/>
      <c r="N177" s="260"/>
      <c r="O177" s="260"/>
      <c r="P177" s="260"/>
      <c r="Q177" s="259">
        <f>IF(K177="nio",0,IF(K177&gt;0,K177*I177/W177,0))*VLOOKUP(B177,'2-Kosten per locatie'!$A$14:$C$28,3,FALSE)</f>
        <v>0</v>
      </c>
      <c r="R177" s="259">
        <f>IF(L177&gt;0,L177*I177/X177,0)*VLOOKUP(B177,'2-Kosten per locatie'!$A$14:$C$28,3,FALSE)</f>
        <v>0</v>
      </c>
      <c r="S177" s="259">
        <f>IF(M177&gt;0,M177*I177/Y177,0)*VLOOKUP(B177,'2-Kosten per locatie'!$A$14:$C$28,3,FALSE)</f>
        <v>0</v>
      </c>
      <c r="T177" s="259">
        <f>IF(N177&gt;0,N177*I177/Z177,0)*VLOOKUP(B177,'2-Kosten per locatie'!$A$14:$C$28,3,FALSE)</f>
        <v>0</v>
      </c>
      <c r="U177" s="259">
        <f>IF(O177&gt;0,O177*I177/Y177,0)*VLOOKUP(B177,'2-Kosten per locatie'!$A$14:$C$28,3,FALSE)</f>
        <v>0</v>
      </c>
      <c r="V177" s="259">
        <f>IF(P177&gt;0,P177*I177/Z177,0)*VLOOKUP(B177,'2-Kosten per locatie'!$A$14:$C$28,3,FALSE)</f>
        <v>0</v>
      </c>
      <c r="W177" s="348">
        <f>IF(K177="nio",0,IF(K177&gt;0,VLOOKUP(G177,'3-Productie normen'!A:N,VLOOKUP(K177,'3-Productie normen'!$B$27:$C$38,2,FALSE),FALSE)))</f>
        <v>0</v>
      </c>
      <c r="X177" s="348">
        <f t="shared" si="12"/>
        <v>0</v>
      </c>
      <c r="Y177" s="348">
        <f t="shared" si="13"/>
        <v>0</v>
      </c>
      <c r="Z177" s="348">
        <f t="shared" si="14"/>
        <v>0</v>
      </c>
      <c r="AA177" s="349" t="e">
        <f>VLOOKUP(G177,'3-Productie normen'!A:Q,15,FALSE)</f>
        <v>#N/A</v>
      </c>
      <c r="AB177" s="350" t="e">
        <f>VLOOKUP(G177,'3-Productie normen'!A:Q,16,FALSE)</f>
        <v>#N/A</v>
      </c>
      <c r="AC177" s="349"/>
      <c r="AE177" s="351">
        <f t="shared" si="11"/>
        <v>0</v>
      </c>
    </row>
    <row r="178" spans="1:31" ht="14.1" customHeight="1">
      <c r="A178" s="76">
        <v>178</v>
      </c>
      <c r="B178" s="496" t="s">
        <v>296</v>
      </c>
      <c r="C178" s="312" t="s">
        <v>297</v>
      </c>
      <c r="D178" s="345" t="s">
        <v>307</v>
      </c>
      <c r="E178" s="346">
        <v>22</v>
      </c>
      <c r="F178" s="72" t="s">
        <v>310</v>
      </c>
      <c r="G178" s="72" t="s">
        <v>461</v>
      </c>
      <c r="H178" s="72" t="s">
        <v>311</v>
      </c>
      <c r="I178" s="502">
        <v>5</v>
      </c>
      <c r="J178" s="347">
        <f t="shared" si="15"/>
        <v>0</v>
      </c>
      <c r="K178" s="260" t="s">
        <v>460</v>
      </c>
      <c r="L178" s="260"/>
      <c r="M178" s="260"/>
      <c r="N178" s="260"/>
      <c r="O178" s="260"/>
      <c r="P178" s="260"/>
      <c r="Q178" s="259">
        <f>IF(K178="nio",0,IF(K178&gt;0,K178*I178/W178,0))*VLOOKUP(B178,'2-Kosten per locatie'!$A$14:$C$28,3,FALSE)</f>
        <v>0</v>
      </c>
      <c r="R178" s="259">
        <f>IF(L178&gt;0,L178*I178/X178,0)*VLOOKUP(B178,'2-Kosten per locatie'!$A$14:$C$28,3,FALSE)</f>
        <v>0</v>
      </c>
      <c r="S178" s="259">
        <f>IF(M178&gt;0,M178*I178/Y178,0)*VLOOKUP(B178,'2-Kosten per locatie'!$A$14:$C$28,3,FALSE)</f>
        <v>0</v>
      </c>
      <c r="T178" s="259">
        <f>IF(N178&gt;0,N178*I178/Z178,0)*VLOOKUP(B178,'2-Kosten per locatie'!$A$14:$C$28,3,FALSE)</f>
        <v>0</v>
      </c>
      <c r="U178" s="259">
        <f>IF(O178&gt;0,O178*I178/Y178,0)*VLOOKUP(B178,'2-Kosten per locatie'!$A$14:$C$28,3,FALSE)</f>
        <v>0</v>
      </c>
      <c r="V178" s="259">
        <f>IF(P178&gt;0,P178*I178/Z178,0)*VLOOKUP(B178,'2-Kosten per locatie'!$A$14:$C$28,3,FALSE)</f>
        <v>0</v>
      </c>
      <c r="W178" s="348">
        <f>IF(K178="nio",0,IF(K178&gt;0,VLOOKUP(G178,'3-Productie normen'!A:N,VLOOKUP(K178,'3-Productie normen'!$B$27:$C$38,2,FALSE),FALSE)))</f>
        <v>0</v>
      </c>
      <c r="X178" s="348">
        <f t="shared" si="12"/>
        <v>0</v>
      </c>
      <c r="Y178" s="348">
        <f t="shared" si="13"/>
        <v>0</v>
      </c>
      <c r="Z178" s="348">
        <f t="shared" si="14"/>
        <v>0</v>
      </c>
      <c r="AA178" s="349" t="e">
        <f>VLOOKUP(G178,'3-Productie normen'!A:Q,15,FALSE)</f>
        <v>#N/A</v>
      </c>
      <c r="AB178" s="350" t="e">
        <f>VLOOKUP(G178,'3-Productie normen'!A:Q,16,FALSE)</f>
        <v>#N/A</v>
      </c>
      <c r="AC178" s="349"/>
      <c r="AE178" s="351">
        <f t="shared" si="11"/>
        <v>0</v>
      </c>
    </row>
    <row r="179" spans="1:31" ht="14.1" customHeight="1">
      <c r="A179" s="76">
        <v>179</v>
      </c>
      <c r="B179" s="496" t="s">
        <v>296</v>
      </c>
      <c r="C179" s="312" t="s">
        <v>297</v>
      </c>
      <c r="D179" s="345" t="s">
        <v>307</v>
      </c>
      <c r="E179" s="346">
        <v>23</v>
      </c>
      <c r="F179" s="72" t="s">
        <v>398</v>
      </c>
      <c r="G179" s="72" t="s">
        <v>461</v>
      </c>
      <c r="H179" s="72" t="s">
        <v>400</v>
      </c>
      <c r="I179" s="502">
        <v>1.7</v>
      </c>
      <c r="J179" s="347">
        <f t="shared" si="15"/>
        <v>0</v>
      </c>
      <c r="K179" s="260" t="s">
        <v>460</v>
      </c>
      <c r="L179" s="260"/>
      <c r="M179" s="260"/>
      <c r="N179" s="260"/>
      <c r="O179" s="260"/>
      <c r="P179" s="260"/>
      <c r="Q179" s="259">
        <f>IF(K179="nio",0,IF(K179&gt;0,K179*I179/W179,0))*VLOOKUP(B179,'2-Kosten per locatie'!$A$14:$C$28,3,FALSE)</f>
        <v>0</v>
      </c>
      <c r="R179" s="259">
        <f>IF(L179&gt;0,L179*I179/X179,0)*VLOOKUP(B179,'2-Kosten per locatie'!$A$14:$C$28,3,FALSE)</f>
        <v>0</v>
      </c>
      <c r="S179" s="259">
        <f>IF(M179&gt;0,M179*I179/Y179,0)*VLOOKUP(B179,'2-Kosten per locatie'!$A$14:$C$28,3,FALSE)</f>
        <v>0</v>
      </c>
      <c r="T179" s="259">
        <f>IF(N179&gt;0,N179*I179/Z179,0)*VLOOKUP(B179,'2-Kosten per locatie'!$A$14:$C$28,3,FALSE)</f>
        <v>0</v>
      </c>
      <c r="U179" s="259">
        <f>IF(O179&gt;0,O179*I179/Y179,0)*VLOOKUP(B179,'2-Kosten per locatie'!$A$14:$C$28,3,FALSE)</f>
        <v>0</v>
      </c>
      <c r="V179" s="259">
        <f>IF(P179&gt;0,P179*I179/Z179,0)*VLOOKUP(B179,'2-Kosten per locatie'!$A$14:$C$28,3,FALSE)</f>
        <v>0</v>
      </c>
      <c r="W179" s="348">
        <f>IF(K179="nio",0,IF(K179&gt;0,VLOOKUP(G179,'3-Productie normen'!A:N,VLOOKUP(K179,'3-Productie normen'!$B$27:$C$38,2,FALSE),FALSE)))</f>
        <v>0</v>
      </c>
      <c r="X179" s="348">
        <f t="shared" si="12"/>
        <v>0</v>
      </c>
      <c r="Y179" s="348">
        <f t="shared" si="13"/>
        <v>0</v>
      </c>
      <c r="Z179" s="348">
        <f t="shared" si="14"/>
        <v>0</v>
      </c>
      <c r="AA179" s="349" t="e">
        <f>VLOOKUP(G179,'3-Productie normen'!A:Q,15,FALSE)</f>
        <v>#N/A</v>
      </c>
      <c r="AB179" s="350" t="e">
        <f>VLOOKUP(G179,'3-Productie normen'!A:Q,16,FALSE)</f>
        <v>#N/A</v>
      </c>
      <c r="AC179" s="349"/>
      <c r="AE179" s="351">
        <f t="shared" si="11"/>
        <v>0</v>
      </c>
    </row>
    <row r="180" spans="1:31" ht="14.1" customHeight="1">
      <c r="A180" s="76">
        <v>180</v>
      </c>
      <c r="B180" s="496" t="s">
        <v>296</v>
      </c>
      <c r="C180" s="312" t="s">
        <v>297</v>
      </c>
      <c r="D180" s="345" t="s">
        <v>307</v>
      </c>
      <c r="E180" s="346">
        <v>24</v>
      </c>
      <c r="F180" s="353" t="s">
        <v>310</v>
      </c>
      <c r="G180" s="353" t="s">
        <v>461</v>
      </c>
      <c r="H180" s="72" t="s">
        <v>311</v>
      </c>
      <c r="I180" s="502">
        <v>5</v>
      </c>
      <c r="J180" s="347">
        <f t="shared" si="15"/>
        <v>0</v>
      </c>
      <c r="K180" s="260" t="s">
        <v>460</v>
      </c>
      <c r="L180" s="260"/>
      <c r="M180" s="260"/>
      <c r="N180" s="260"/>
      <c r="O180" s="260"/>
      <c r="P180" s="260"/>
      <c r="Q180" s="259">
        <f>IF(K180="nio",0,IF(K180&gt;0,K180*I180/W180,0))*VLOOKUP(B180,'2-Kosten per locatie'!$A$14:$C$28,3,FALSE)</f>
        <v>0</v>
      </c>
      <c r="R180" s="259">
        <f>IF(L180&gt;0,L180*I180/X180,0)*VLOOKUP(B180,'2-Kosten per locatie'!$A$14:$C$28,3,FALSE)</f>
        <v>0</v>
      </c>
      <c r="S180" s="259">
        <f>IF(M180&gt;0,M180*I180/Y180,0)*VLOOKUP(B180,'2-Kosten per locatie'!$A$14:$C$28,3,FALSE)</f>
        <v>0</v>
      </c>
      <c r="T180" s="259">
        <f>IF(N180&gt;0,N180*I180/Z180,0)*VLOOKUP(B180,'2-Kosten per locatie'!$A$14:$C$28,3,FALSE)</f>
        <v>0</v>
      </c>
      <c r="U180" s="259">
        <f>IF(O180&gt;0,O180*I180/Y180,0)*VLOOKUP(B180,'2-Kosten per locatie'!$A$14:$C$28,3,FALSE)</f>
        <v>0</v>
      </c>
      <c r="V180" s="259">
        <f>IF(P180&gt;0,P180*I180/Z180,0)*VLOOKUP(B180,'2-Kosten per locatie'!$A$14:$C$28,3,FALSE)</f>
        <v>0</v>
      </c>
      <c r="W180" s="348">
        <f>IF(K180="nio",0,IF(K180&gt;0,VLOOKUP(G180,'3-Productie normen'!A:N,VLOOKUP(K180,'3-Productie normen'!$B$27:$C$38,2,FALSE),FALSE)))</f>
        <v>0</v>
      </c>
      <c r="X180" s="348">
        <f t="shared" si="12"/>
        <v>0</v>
      </c>
      <c r="Y180" s="348">
        <f t="shared" si="13"/>
        <v>0</v>
      </c>
      <c r="Z180" s="348">
        <f t="shared" si="14"/>
        <v>0</v>
      </c>
      <c r="AA180" s="349" t="e">
        <f>VLOOKUP(G180,'3-Productie normen'!A:Q,15,FALSE)</f>
        <v>#N/A</v>
      </c>
      <c r="AB180" s="350" t="e">
        <f>VLOOKUP(G180,'3-Productie normen'!A:Q,16,FALSE)</f>
        <v>#N/A</v>
      </c>
      <c r="AC180" s="349"/>
      <c r="AE180" s="351">
        <f t="shared" si="11"/>
        <v>0</v>
      </c>
    </row>
    <row r="181" spans="1:31" ht="14.1" customHeight="1">
      <c r="A181" s="76">
        <v>181</v>
      </c>
      <c r="B181" s="496" t="s">
        <v>296</v>
      </c>
      <c r="C181" s="312" t="s">
        <v>297</v>
      </c>
      <c r="D181" s="345" t="s">
        <v>307</v>
      </c>
      <c r="E181" s="346">
        <v>25</v>
      </c>
      <c r="F181" s="72" t="s">
        <v>398</v>
      </c>
      <c r="G181" s="72" t="s">
        <v>461</v>
      </c>
      <c r="H181" s="352" t="s">
        <v>400</v>
      </c>
      <c r="I181" s="502">
        <v>1.7</v>
      </c>
      <c r="J181" s="347">
        <f t="shared" si="15"/>
        <v>0</v>
      </c>
      <c r="K181" s="260" t="s">
        <v>460</v>
      </c>
      <c r="L181" s="260"/>
      <c r="M181" s="260"/>
      <c r="N181" s="260"/>
      <c r="O181" s="260"/>
      <c r="P181" s="260"/>
      <c r="Q181" s="259">
        <f>IF(K181="nio",0,IF(K181&gt;0,K181*I181/W181,0))*VLOOKUP(B181,'2-Kosten per locatie'!$A$14:$C$28,3,FALSE)</f>
        <v>0</v>
      </c>
      <c r="R181" s="259">
        <f>IF(L181&gt;0,L181*I181/X181,0)*VLOOKUP(B181,'2-Kosten per locatie'!$A$14:$C$28,3,FALSE)</f>
        <v>0</v>
      </c>
      <c r="S181" s="259">
        <f>IF(M181&gt;0,M181*I181/Y181,0)*VLOOKUP(B181,'2-Kosten per locatie'!$A$14:$C$28,3,FALSE)</f>
        <v>0</v>
      </c>
      <c r="T181" s="259">
        <f>IF(N181&gt;0,N181*I181/Z181,0)*VLOOKUP(B181,'2-Kosten per locatie'!$A$14:$C$28,3,FALSE)</f>
        <v>0</v>
      </c>
      <c r="U181" s="259">
        <f>IF(O181&gt;0,O181*I181/Y181,0)*VLOOKUP(B181,'2-Kosten per locatie'!$A$14:$C$28,3,FALSE)</f>
        <v>0</v>
      </c>
      <c r="V181" s="259">
        <f>IF(P181&gt;0,P181*I181/Z181,0)*VLOOKUP(B181,'2-Kosten per locatie'!$A$14:$C$28,3,FALSE)</f>
        <v>0</v>
      </c>
      <c r="W181" s="348">
        <f>IF(K181="nio",0,IF(K181&gt;0,VLOOKUP(G181,'3-Productie normen'!A:N,VLOOKUP(K181,'3-Productie normen'!$B$27:$C$38,2,FALSE),FALSE)))</f>
        <v>0</v>
      </c>
      <c r="X181" s="348">
        <f t="shared" si="12"/>
        <v>0</v>
      </c>
      <c r="Y181" s="348">
        <f t="shared" si="13"/>
        <v>0</v>
      </c>
      <c r="Z181" s="348">
        <f t="shared" si="14"/>
        <v>0</v>
      </c>
      <c r="AA181" s="349" t="e">
        <f>VLOOKUP(G181,'3-Productie normen'!A:Q,15,FALSE)</f>
        <v>#N/A</v>
      </c>
      <c r="AB181" s="350" t="e">
        <f>VLOOKUP(G181,'3-Productie normen'!A:Q,16,FALSE)</f>
        <v>#N/A</v>
      </c>
      <c r="AC181" s="349"/>
      <c r="AE181" s="351">
        <f t="shared" si="11"/>
        <v>0</v>
      </c>
    </row>
    <row r="182" spans="1:31" ht="14.1" customHeight="1">
      <c r="A182" s="76">
        <v>182</v>
      </c>
      <c r="B182" s="496" t="s">
        <v>296</v>
      </c>
      <c r="C182" s="312" t="s">
        <v>297</v>
      </c>
      <c r="D182" s="345" t="s">
        <v>307</v>
      </c>
      <c r="E182" s="254">
        <v>26</v>
      </c>
      <c r="F182" s="86" t="s">
        <v>401</v>
      </c>
      <c r="G182" s="86" t="s">
        <v>461</v>
      </c>
      <c r="H182" s="72" t="s">
        <v>311</v>
      </c>
      <c r="I182" s="502">
        <v>19.89</v>
      </c>
      <c r="J182" s="347">
        <f t="shared" si="15"/>
        <v>0</v>
      </c>
      <c r="K182" s="260" t="s">
        <v>460</v>
      </c>
      <c r="L182" s="260"/>
      <c r="M182" s="260"/>
      <c r="N182" s="260"/>
      <c r="O182" s="260"/>
      <c r="P182" s="260"/>
      <c r="Q182" s="259">
        <f>IF(K182="nio",0,IF(K182&gt;0,K182*I182/W182,0))*VLOOKUP(B182,'2-Kosten per locatie'!$A$14:$C$28,3,FALSE)</f>
        <v>0</v>
      </c>
      <c r="R182" s="259">
        <f>IF(L182&gt;0,L182*I182/X182,0)*VLOOKUP(B182,'2-Kosten per locatie'!$A$14:$C$28,3,FALSE)</f>
        <v>0</v>
      </c>
      <c r="S182" s="259">
        <f>IF(M182&gt;0,M182*I182/Y182,0)*VLOOKUP(B182,'2-Kosten per locatie'!$A$14:$C$28,3,FALSE)</f>
        <v>0</v>
      </c>
      <c r="T182" s="259">
        <f>IF(N182&gt;0,N182*I182/Z182,0)*VLOOKUP(B182,'2-Kosten per locatie'!$A$14:$C$28,3,FALSE)</f>
        <v>0</v>
      </c>
      <c r="U182" s="259">
        <f>IF(O182&gt;0,O182*I182/Y182,0)*VLOOKUP(B182,'2-Kosten per locatie'!$A$14:$C$28,3,FALSE)</f>
        <v>0</v>
      </c>
      <c r="V182" s="259">
        <f>IF(P182&gt;0,P182*I182/Z182,0)*VLOOKUP(B182,'2-Kosten per locatie'!$A$14:$C$28,3,FALSE)</f>
        <v>0</v>
      </c>
      <c r="W182" s="348">
        <f>IF(K182="nio",0,IF(K182&gt;0,VLOOKUP(G182,'3-Productie normen'!A:N,VLOOKUP(K182,'3-Productie normen'!$B$27:$C$38,2,FALSE),FALSE)))</f>
        <v>0</v>
      </c>
      <c r="X182" s="348">
        <f t="shared" si="12"/>
        <v>0</v>
      </c>
      <c r="Y182" s="348">
        <f t="shared" si="13"/>
        <v>0</v>
      </c>
      <c r="Z182" s="348">
        <f t="shared" si="14"/>
        <v>0</v>
      </c>
      <c r="AA182" s="349" t="e">
        <f>VLOOKUP(G182,'3-Productie normen'!A:Q,15,FALSE)</f>
        <v>#N/A</v>
      </c>
      <c r="AB182" s="350" t="e">
        <f>VLOOKUP(G182,'3-Productie normen'!A:Q,16,FALSE)</f>
        <v>#N/A</v>
      </c>
      <c r="AC182" s="349"/>
      <c r="AE182" s="351">
        <f t="shared" si="11"/>
        <v>0</v>
      </c>
    </row>
    <row r="183" spans="1:31" ht="14.1" customHeight="1">
      <c r="A183" s="76">
        <v>183</v>
      </c>
      <c r="B183" s="496" t="s">
        <v>296</v>
      </c>
      <c r="C183" s="312" t="s">
        <v>297</v>
      </c>
      <c r="D183" s="345" t="s">
        <v>307</v>
      </c>
      <c r="E183" s="346">
        <v>27</v>
      </c>
      <c r="F183" s="72" t="s">
        <v>318</v>
      </c>
      <c r="G183" s="72" t="s">
        <v>461</v>
      </c>
      <c r="H183" s="72" t="s">
        <v>319</v>
      </c>
      <c r="I183" s="502">
        <v>8.57</v>
      </c>
      <c r="J183" s="347">
        <f t="shared" si="15"/>
        <v>0</v>
      </c>
      <c r="K183" s="260" t="s">
        <v>460</v>
      </c>
      <c r="L183" s="260"/>
      <c r="M183" s="260"/>
      <c r="N183" s="260"/>
      <c r="O183" s="260"/>
      <c r="P183" s="260"/>
      <c r="Q183" s="259">
        <f>IF(K183="nio",0,IF(K183&gt;0,K183*I183/W183,0))*VLOOKUP(B183,'2-Kosten per locatie'!$A$14:$C$28,3,FALSE)</f>
        <v>0</v>
      </c>
      <c r="R183" s="259">
        <f>IF(L183&gt;0,L183*I183/X183,0)*VLOOKUP(B183,'2-Kosten per locatie'!$A$14:$C$28,3,FALSE)</f>
        <v>0</v>
      </c>
      <c r="S183" s="259">
        <f>IF(M183&gt;0,M183*I183/Y183,0)*VLOOKUP(B183,'2-Kosten per locatie'!$A$14:$C$28,3,FALSE)</f>
        <v>0</v>
      </c>
      <c r="T183" s="259">
        <f>IF(N183&gt;0,N183*I183/Z183,0)*VLOOKUP(B183,'2-Kosten per locatie'!$A$14:$C$28,3,FALSE)</f>
        <v>0</v>
      </c>
      <c r="U183" s="259">
        <f>IF(O183&gt;0,O183*I183/Y183,0)*VLOOKUP(B183,'2-Kosten per locatie'!$A$14:$C$28,3,FALSE)</f>
        <v>0</v>
      </c>
      <c r="V183" s="259">
        <f>IF(P183&gt;0,P183*I183/Z183,0)*VLOOKUP(B183,'2-Kosten per locatie'!$A$14:$C$28,3,FALSE)</f>
        <v>0</v>
      </c>
      <c r="W183" s="348">
        <f>IF(K183="nio",0,IF(K183&gt;0,VLOOKUP(G183,'3-Productie normen'!A:N,VLOOKUP(K183,'3-Productie normen'!$B$27:$C$38,2,FALSE),FALSE)))</f>
        <v>0</v>
      </c>
      <c r="X183" s="348">
        <f t="shared" si="12"/>
        <v>0</v>
      </c>
      <c r="Y183" s="348">
        <f t="shared" si="13"/>
        <v>0</v>
      </c>
      <c r="Z183" s="348">
        <f t="shared" si="14"/>
        <v>0</v>
      </c>
      <c r="AA183" s="349" t="e">
        <f>VLOOKUP(G183,'3-Productie normen'!A:Q,15,FALSE)</f>
        <v>#N/A</v>
      </c>
      <c r="AB183" s="350" t="e">
        <f>VLOOKUP(G183,'3-Productie normen'!A:Q,16,FALSE)</f>
        <v>#N/A</v>
      </c>
      <c r="AC183" s="349"/>
      <c r="AE183" s="351">
        <f t="shared" si="11"/>
        <v>0</v>
      </c>
    </row>
    <row r="184" spans="1:31" ht="14.1" customHeight="1">
      <c r="A184" s="76">
        <v>184</v>
      </c>
      <c r="B184" s="496" t="s">
        <v>296</v>
      </c>
      <c r="C184" s="312" t="s">
        <v>297</v>
      </c>
      <c r="D184" s="345" t="s">
        <v>307</v>
      </c>
      <c r="E184" s="346">
        <v>28</v>
      </c>
      <c r="F184" s="312" t="s">
        <v>402</v>
      </c>
      <c r="G184" s="312" t="s">
        <v>461</v>
      </c>
      <c r="H184" s="72" t="s">
        <v>333</v>
      </c>
      <c r="I184" s="502">
        <v>3.1328</v>
      </c>
      <c r="J184" s="347">
        <f t="shared" si="15"/>
        <v>0</v>
      </c>
      <c r="K184" s="260" t="s">
        <v>460</v>
      </c>
      <c r="L184" s="260"/>
      <c r="M184" s="260"/>
      <c r="N184" s="260"/>
      <c r="O184" s="260"/>
      <c r="P184" s="260"/>
      <c r="Q184" s="259">
        <f>IF(K184="nio",0,IF(K184&gt;0,K184*I184/W184,0))*VLOOKUP(B184,'2-Kosten per locatie'!$A$14:$C$28,3,FALSE)</f>
        <v>0</v>
      </c>
      <c r="R184" s="259">
        <f>IF(L184&gt;0,L184*I184/X184,0)*VLOOKUP(B184,'2-Kosten per locatie'!$A$14:$C$28,3,FALSE)</f>
        <v>0</v>
      </c>
      <c r="S184" s="259">
        <f>IF(M184&gt;0,M184*I184/Y184,0)*VLOOKUP(B184,'2-Kosten per locatie'!$A$14:$C$28,3,FALSE)</f>
        <v>0</v>
      </c>
      <c r="T184" s="259">
        <f>IF(N184&gt;0,N184*I184/Z184,0)*VLOOKUP(B184,'2-Kosten per locatie'!$A$14:$C$28,3,FALSE)</f>
        <v>0</v>
      </c>
      <c r="U184" s="259">
        <f>IF(O184&gt;0,O184*I184/Y184,0)*VLOOKUP(B184,'2-Kosten per locatie'!$A$14:$C$28,3,FALSE)</f>
        <v>0</v>
      </c>
      <c r="V184" s="259">
        <f>IF(P184&gt;0,P184*I184/Z184,0)*VLOOKUP(B184,'2-Kosten per locatie'!$A$14:$C$28,3,FALSE)</f>
        <v>0</v>
      </c>
      <c r="W184" s="348">
        <f>IF(K184="nio",0,IF(K184&gt;0,VLOOKUP(G184,'3-Productie normen'!A:N,VLOOKUP(K184,'3-Productie normen'!$B$27:$C$38,2,FALSE),FALSE)))</f>
        <v>0</v>
      </c>
      <c r="X184" s="348">
        <f t="shared" si="12"/>
        <v>0</v>
      </c>
      <c r="Y184" s="348">
        <f t="shared" si="13"/>
        <v>0</v>
      </c>
      <c r="Z184" s="348">
        <f t="shared" si="14"/>
        <v>0</v>
      </c>
      <c r="AA184" s="349" t="e">
        <f>VLOOKUP(G184,'3-Productie normen'!A:Q,15,FALSE)</f>
        <v>#N/A</v>
      </c>
      <c r="AB184" s="350" t="e">
        <f>VLOOKUP(G184,'3-Productie normen'!A:Q,16,FALSE)</f>
        <v>#N/A</v>
      </c>
      <c r="AC184" s="349"/>
      <c r="AE184" s="351">
        <f t="shared" si="11"/>
        <v>0</v>
      </c>
    </row>
    <row r="185" spans="1:31" ht="14.1" customHeight="1">
      <c r="A185" s="76">
        <v>185</v>
      </c>
      <c r="B185" s="496" t="s">
        <v>296</v>
      </c>
      <c r="C185" s="312" t="s">
        <v>297</v>
      </c>
      <c r="D185" s="345" t="s">
        <v>359</v>
      </c>
      <c r="E185" s="346">
        <v>1002</v>
      </c>
      <c r="F185" s="312" t="s">
        <v>310</v>
      </c>
      <c r="G185" s="312" t="s">
        <v>461</v>
      </c>
      <c r="H185" s="72" t="s">
        <v>311</v>
      </c>
      <c r="I185" s="502">
        <v>3.1500000000000004</v>
      </c>
      <c r="J185" s="347">
        <f t="shared" si="15"/>
        <v>0</v>
      </c>
      <c r="K185" s="260" t="s">
        <v>460</v>
      </c>
      <c r="L185" s="260"/>
      <c r="M185" s="260"/>
      <c r="N185" s="260"/>
      <c r="O185" s="260"/>
      <c r="P185" s="260"/>
      <c r="Q185" s="259">
        <f>IF(K185="nio",0,IF(K185&gt;0,K185*I185/W185,0))*VLOOKUP(B185,'2-Kosten per locatie'!$A$14:$C$28,3,FALSE)</f>
        <v>0</v>
      </c>
      <c r="R185" s="259">
        <f>IF(L185&gt;0,L185*I185/X185,0)*VLOOKUP(B185,'2-Kosten per locatie'!$A$14:$C$28,3,FALSE)</f>
        <v>0</v>
      </c>
      <c r="S185" s="259">
        <f>IF(M185&gt;0,M185*I185/Y185,0)*VLOOKUP(B185,'2-Kosten per locatie'!$A$14:$C$28,3,FALSE)</f>
        <v>0</v>
      </c>
      <c r="T185" s="259">
        <f>IF(N185&gt;0,N185*I185/Z185,0)*VLOOKUP(B185,'2-Kosten per locatie'!$A$14:$C$28,3,FALSE)</f>
        <v>0</v>
      </c>
      <c r="U185" s="259">
        <f>IF(O185&gt;0,O185*I185/Y185,0)*VLOOKUP(B185,'2-Kosten per locatie'!$A$14:$C$28,3,FALSE)</f>
        <v>0</v>
      </c>
      <c r="V185" s="259">
        <f>IF(P185&gt;0,P185*I185/Z185,0)*VLOOKUP(B185,'2-Kosten per locatie'!$A$14:$C$28,3,FALSE)</f>
        <v>0</v>
      </c>
      <c r="W185" s="348">
        <f>IF(K185="nio",0,IF(K185&gt;0,VLOOKUP(G185,'3-Productie normen'!A:N,VLOOKUP(K185,'3-Productie normen'!$B$27:$C$38,2,FALSE),FALSE)))</f>
        <v>0</v>
      </c>
      <c r="X185" s="348">
        <f t="shared" si="12"/>
        <v>0</v>
      </c>
      <c r="Y185" s="348">
        <f t="shared" si="13"/>
        <v>0</v>
      </c>
      <c r="Z185" s="348">
        <f t="shared" si="14"/>
        <v>0</v>
      </c>
      <c r="AA185" s="349" t="e">
        <f>VLOOKUP(G185,'3-Productie normen'!A:Q,15,FALSE)</f>
        <v>#N/A</v>
      </c>
      <c r="AB185" s="350" t="e">
        <f>VLOOKUP(G185,'3-Productie normen'!A:Q,16,FALSE)</f>
        <v>#N/A</v>
      </c>
      <c r="AC185" s="349"/>
      <c r="AE185" s="351">
        <f t="shared" si="11"/>
        <v>0</v>
      </c>
    </row>
    <row r="186" spans="1:31" ht="14.1" customHeight="1">
      <c r="A186" s="76">
        <v>186</v>
      </c>
      <c r="B186" s="496" t="s">
        <v>296</v>
      </c>
      <c r="C186" s="312" t="s">
        <v>297</v>
      </c>
      <c r="D186" s="345" t="s">
        <v>359</v>
      </c>
      <c r="E186" s="346">
        <v>1003</v>
      </c>
      <c r="F186" s="312" t="s">
        <v>310</v>
      </c>
      <c r="G186" s="312" t="s">
        <v>461</v>
      </c>
      <c r="H186" s="72" t="s">
        <v>311</v>
      </c>
      <c r="I186" s="502">
        <v>3.1500000000000004</v>
      </c>
      <c r="J186" s="347">
        <f t="shared" si="15"/>
        <v>0</v>
      </c>
      <c r="K186" s="260" t="s">
        <v>460</v>
      </c>
      <c r="L186" s="260"/>
      <c r="M186" s="260"/>
      <c r="N186" s="260"/>
      <c r="O186" s="260"/>
      <c r="P186" s="260"/>
      <c r="Q186" s="259">
        <f>IF(K186="nio",0,IF(K186&gt;0,K186*I186/W186,0))*VLOOKUP(B186,'2-Kosten per locatie'!$A$14:$C$28,3,FALSE)</f>
        <v>0</v>
      </c>
      <c r="R186" s="259">
        <f>IF(L186&gt;0,L186*I186/X186,0)*VLOOKUP(B186,'2-Kosten per locatie'!$A$14:$C$28,3,FALSE)</f>
        <v>0</v>
      </c>
      <c r="S186" s="259">
        <f>IF(M186&gt;0,M186*I186/Y186,0)*VLOOKUP(B186,'2-Kosten per locatie'!$A$14:$C$28,3,FALSE)</f>
        <v>0</v>
      </c>
      <c r="T186" s="259">
        <f>IF(N186&gt;0,N186*I186/Z186,0)*VLOOKUP(B186,'2-Kosten per locatie'!$A$14:$C$28,3,FALSE)</f>
        <v>0</v>
      </c>
      <c r="U186" s="259">
        <f>IF(O186&gt;0,O186*I186/Y186,0)*VLOOKUP(B186,'2-Kosten per locatie'!$A$14:$C$28,3,FALSE)</f>
        <v>0</v>
      </c>
      <c r="V186" s="259">
        <f>IF(P186&gt;0,P186*I186/Z186,0)*VLOOKUP(B186,'2-Kosten per locatie'!$A$14:$C$28,3,FALSE)</f>
        <v>0</v>
      </c>
      <c r="W186" s="348">
        <f>IF(K186="nio",0,IF(K186&gt;0,VLOOKUP(G186,'3-Productie normen'!A:N,VLOOKUP(K186,'3-Productie normen'!$B$27:$C$38,2,FALSE),FALSE)))</f>
        <v>0</v>
      </c>
      <c r="X186" s="348">
        <f t="shared" si="12"/>
        <v>0</v>
      </c>
      <c r="Y186" s="348">
        <f t="shared" si="13"/>
        <v>0</v>
      </c>
      <c r="Z186" s="348">
        <f t="shared" si="14"/>
        <v>0</v>
      </c>
      <c r="AA186" s="349" t="e">
        <f>VLOOKUP(G186,'3-Productie normen'!A:Q,15,FALSE)</f>
        <v>#N/A</v>
      </c>
      <c r="AB186" s="350" t="e">
        <f>VLOOKUP(G186,'3-Productie normen'!A:Q,16,FALSE)</f>
        <v>#N/A</v>
      </c>
      <c r="AC186" s="349"/>
      <c r="AE186" s="351">
        <f t="shared" si="11"/>
        <v>0</v>
      </c>
    </row>
    <row r="187" spans="1:31" ht="14.1" customHeight="1">
      <c r="A187" s="76">
        <v>187</v>
      </c>
      <c r="B187" s="496" t="s">
        <v>296</v>
      </c>
      <c r="C187" s="312" t="s">
        <v>297</v>
      </c>
      <c r="D187" s="345" t="s">
        <v>359</v>
      </c>
      <c r="E187" s="346">
        <v>1005</v>
      </c>
      <c r="F187" s="72" t="s">
        <v>403</v>
      </c>
      <c r="G187" s="72" t="s">
        <v>461</v>
      </c>
      <c r="H187" s="72" t="s">
        <v>311</v>
      </c>
      <c r="I187" s="502">
        <v>6.52</v>
      </c>
      <c r="J187" s="347">
        <f t="shared" si="15"/>
        <v>0</v>
      </c>
      <c r="K187" s="260" t="s">
        <v>460</v>
      </c>
      <c r="L187" s="260"/>
      <c r="M187" s="260"/>
      <c r="N187" s="260"/>
      <c r="O187" s="260"/>
      <c r="P187" s="260"/>
      <c r="Q187" s="259">
        <f>IF(K187="nio",0,IF(K187&gt;0,K187*I187/W187,0))*VLOOKUP(B187,'2-Kosten per locatie'!$A$14:$C$28,3,FALSE)</f>
        <v>0</v>
      </c>
      <c r="R187" s="259">
        <f>IF(L187&gt;0,L187*I187/X187,0)*VLOOKUP(B187,'2-Kosten per locatie'!$A$14:$C$28,3,FALSE)</f>
        <v>0</v>
      </c>
      <c r="S187" s="259">
        <f>IF(M187&gt;0,M187*I187/Y187,0)*VLOOKUP(B187,'2-Kosten per locatie'!$A$14:$C$28,3,FALSE)</f>
        <v>0</v>
      </c>
      <c r="T187" s="259">
        <f>IF(N187&gt;0,N187*I187/Z187,0)*VLOOKUP(B187,'2-Kosten per locatie'!$A$14:$C$28,3,FALSE)</f>
        <v>0</v>
      </c>
      <c r="U187" s="259">
        <f>IF(O187&gt;0,O187*I187/Y187,0)*VLOOKUP(B187,'2-Kosten per locatie'!$A$14:$C$28,3,FALSE)</f>
        <v>0</v>
      </c>
      <c r="V187" s="259">
        <f>IF(P187&gt;0,P187*I187/Z187,0)*VLOOKUP(B187,'2-Kosten per locatie'!$A$14:$C$28,3,FALSE)</f>
        <v>0</v>
      </c>
      <c r="W187" s="348">
        <f>IF(K187="nio",0,IF(K187&gt;0,VLOOKUP(G187,'3-Productie normen'!A:N,VLOOKUP(K187,'3-Productie normen'!$B$27:$C$38,2,FALSE),FALSE)))</f>
        <v>0</v>
      </c>
      <c r="X187" s="348">
        <f t="shared" si="12"/>
        <v>0</v>
      </c>
      <c r="Y187" s="348">
        <f t="shared" si="13"/>
        <v>0</v>
      </c>
      <c r="Z187" s="348">
        <f t="shared" si="14"/>
        <v>0</v>
      </c>
      <c r="AA187" s="349" t="e">
        <f>VLOOKUP(G187,'3-Productie normen'!A:Q,15,FALSE)</f>
        <v>#N/A</v>
      </c>
      <c r="AB187" s="350" t="e">
        <f>VLOOKUP(G187,'3-Productie normen'!A:Q,16,FALSE)</f>
        <v>#N/A</v>
      </c>
      <c r="AC187" s="349"/>
      <c r="AE187" s="351">
        <f t="shared" si="11"/>
        <v>0</v>
      </c>
    </row>
    <row r="188" spans="1:31" ht="14.1" customHeight="1">
      <c r="A188" s="76">
        <v>188</v>
      </c>
      <c r="B188" s="496" t="s">
        <v>296</v>
      </c>
      <c r="C188" s="312" t="s">
        <v>297</v>
      </c>
      <c r="D188" s="345" t="s">
        <v>359</v>
      </c>
      <c r="E188" s="346">
        <v>1006</v>
      </c>
      <c r="F188" s="72" t="s">
        <v>329</v>
      </c>
      <c r="G188" s="72" t="s">
        <v>461</v>
      </c>
      <c r="H188" s="72" t="s">
        <v>330</v>
      </c>
      <c r="I188" s="502">
        <v>76.53</v>
      </c>
      <c r="J188" s="347">
        <f t="shared" si="15"/>
        <v>0</v>
      </c>
      <c r="K188" s="260" t="s">
        <v>460</v>
      </c>
      <c r="L188" s="260"/>
      <c r="M188" s="260"/>
      <c r="N188" s="260"/>
      <c r="O188" s="260"/>
      <c r="P188" s="260"/>
      <c r="Q188" s="259">
        <f>IF(K188="nio",0,IF(K188&gt;0,K188*I188/W188,0))*VLOOKUP(B188,'2-Kosten per locatie'!$A$14:$C$28,3,FALSE)</f>
        <v>0</v>
      </c>
      <c r="R188" s="259">
        <f>IF(L188&gt;0,L188*I188/X188,0)*VLOOKUP(B188,'2-Kosten per locatie'!$A$14:$C$28,3,FALSE)</f>
        <v>0</v>
      </c>
      <c r="S188" s="259">
        <f>IF(M188&gt;0,M188*I188/Y188,0)*VLOOKUP(B188,'2-Kosten per locatie'!$A$14:$C$28,3,FALSE)</f>
        <v>0</v>
      </c>
      <c r="T188" s="259">
        <f>IF(N188&gt;0,N188*I188/Z188,0)*VLOOKUP(B188,'2-Kosten per locatie'!$A$14:$C$28,3,FALSE)</f>
        <v>0</v>
      </c>
      <c r="U188" s="259">
        <f>IF(O188&gt;0,O188*I188/Y188,0)*VLOOKUP(B188,'2-Kosten per locatie'!$A$14:$C$28,3,FALSE)</f>
        <v>0</v>
      </c>
      <c r="V188" s="259">
        <f>IF(P188&gt;0,P188*I188/Z188,0)*VLOOKUP(B188,'2-Kosten per locatie'!$A$14:$C$28,3,FALSE)</f>
        <v>0</v>
      </c>
      <c r="W188" s="348">
        <f>IF(K188="nio",0,IF(K188&gt;0,VLOOKUP(G188,'3-Productie normen'!A:N,VLOOKUP(K188,'3-Productie normen'!$B$27:$C$38,2,FALSE),FALSE)))</f>
        <v>0</v>
      </c>
      <c r="X188" s="348">
        <f t="shared" si="12"/>
        <v>0</v>
      </c>
      <c r="Y188" s="348">
        <f t="shared" si="13"/>
        <v>0</v>
      </c>
      <c r="Z188" s="348">
        <f t="shared" si="14"/>
        <v>0</v>
      </c>
      <c r="AA188" s="349" t="e">
        <f>VLOOKUP(G188,'3-Productie normen'!A:Q,15,FALSE)</f>
        <v>#N/A</v>
      </c>
      <c r="AB188" s="350" t="e">
        <f>VLOOKUP(G188,'3-Productie normen'!A:Q,16,FALSE)</f>
        <v>#N/A</v>
      </c>
      <c r="AC188" s="349"/>
      <c r="AE188" s="351">
        <f t="shared" si="11"/>
        <v>0</v>
      </c>
    </row>
    <row r="189" spans="1:31" ht="14.1" customHeight="1">
      <c r="A189" s="76">
        <v>189</v>
      </c>
      <c r="B189" s="496" t="s">
        <v>296</v>
      </c>
      <c r="C189" s="312" t="s">
        <v>297</v>
      </c>
      <c r="D189" s="345" t="s">
        <v>359</v>
      </c>
      <c r="E189" s="346">
        <v>1007</v>
      </c>
      <c r="F189" s="72" t="s">
        <v>344</v>
      </c>
      <c r="G189" s="72" t="s">
        <v>461</v>
      </c>
      <c r="H189" s="72" t="s">
        <v>330</v>
      </c>
      <c r="I189" s="502">
        <v>27.98</v>
      </c>
      <c r="J189" s="347">
        <f t="shared" si="15"/>
        <v>0</v>
      </c>
      <c r="K189" s="260" t="s">
        <v>460</v>
      </c>
      <c r="L189" s="260"/>
      <c r="M189" s="260"/>
      <c r="N189" s="260"/>
      <c r="O189" s="260"/>
      <c r="P189" s="260"/>
      <c r="Q189" s="259">
        <f>IF(K189="nio",0,IF(K189&gt;0,K189*I189/W189,0))*VLOOKUP(B189,'2-Kosten per locatie'!$A$14:$C$28,3,FALSE)</f>
        <v>0</v>
      </c>
      <c r="R189" s="259">
        <f>IF(L189&gt;0,L189*I189/X189,0)*VLOOKUP(B189,'2-Kosten per locatie'!$A$14:$C$28,3,FALSE)</f>
        <v>0</v>
      </c>
      <c r="S189" s="259">
        <f>IF(M189&gt;0,M189*I189/Y189,0)*VLOOKUP(B189,'2-Kosten per locatie'!$A$14:$C$28,3,FALSE)</f>
        <v>0</v>
      </c>
      <c r="T189" s="259">
        <f>IF(N189&gt;0,N189*I189/Z189,0)*VLOOKUP(B189,'2-Kosten per locatie'!$A$14:$C$28,3,FALSE)</f>
        <v>0</v>
      </c>
      <c r="U189" s="259">
        <f>IF(O189&gt;0,O189*I189/Y189,0)*VLOOKUP(B189,'2-Kosten per locatie'!$A$14:$C$28,3,FALSE)</f>
        <v>0</v>
      </c>
      <c r="V189" s="259">
        <f>IF(P189&gt;0,P189*I189/Z189,0)*VLOOKUP(B189,'2-Kosten per locatie'!$A$14:$C$28,3,FALSE)</f>
        <v>0</v>
      </c>
      <c r="W189" s="348">
        <f>IF(K189="nio",0,IF(K189&gt;0,VLOOKUP(G189,'3-Productie normen'!A:N,VLOOKUP(K189,'3-Productie normen'!$B$27:$C$38,2,FALSE),FALSE)))</f>
        <v>0</v>
      </c>
      <c r="X189" s="348">
        <f t="shared" si="12"/>
        <v>0</v>
      </c>
      <c r="Y189" s="348">
        <f t="shared" si="13"/>
        <v>0</v>
      </c>
      <c r="Z189" s="348">
        <f t="shared" si="14"/>
        <v>0</v>
      </c>
      <c r="AA189" s="349" t="e">
        <f>VLOOKUP(G189,'3-Productie normen'!A:Q,15,FALSE)</f>
        <v>#N/A</v>
      </c>
      <c r="AB189" s="350" t="e">
        <f>VLOOKUP(G189,'3-Productie normen'!A:Q,16,FALSE)</f>
        <v>#N/A</v>
      </c>
      <c r="AC189" s="349"/>
      <c r="AE189" s="351">
        <f t="shared" si="11"/>
        <v>0</v>
      </c>
    </row>
    <row r="190" spans="1:31" ht="14.1" customHeight="1">
      <c r="A190" s="76">
        <v>190</v>
      </c>
      <c r="B190" s="496" t="s">
        <v>296</v>
      </c>
      <c r="C190" s="312" t="s">
        <v>297</v>
      </c>
      <c r="D190" s="345" t="s">
        <v>359</v>
      </c>
      <c r="E190" s="346">
        <v>1008</v>
      </c>
      <c r="F190" s="72" t="s">
        <v>344</v>
      </c>
      <c r="G190" s="72" t="s">
        <v>461</v>
      </c>
      <c r="H190" s="72" t="s">
        <v>330</v>
      </c>
      <c r="I190" s="502">
        <v>31.45</v>
      </c>
      <c r="J190" s="347">
        <f t="shared" si="15"/>
        <v>0</v>
      </c>
      <c r="K190" s="260" t="s">
        <v>460</v>
      </c>
      <c r="L190" s="260"/>
      <c r="M190" s="260"/>
      <c r="N190" s="260"/>
      <c r="O190" s="260"/>
      <c r="P190" s="260"/>
      <c r="Q190" s="259">
        <f>IF(K190="nio",0,IF(K190&gt;0,K190*I190/W190,0))*VLOOKUP(B190,'2-Kosten per locatie'!$A$14:$C$28,3,FALSE)</f>
        <v>0</v>
      </c>
      <c r="R190" s="259">
        <f>IF(L190&gt;0,L190*I190/X190,0)*VLOOKUP(B190,'2-Kosten per locatie'!$A$14:$C$28,3,FALSE)</f>
        <v>0</v>
      </c>
      <c r="S190" s="259">
        <f>IF(M190&gt;0,M190*I190/Y190,0)*VLOOKUP(B190,'2-Kosten per locatie'!$A$14:$C$28,3,FALSE)</f>
        <v>0</v>
      </c>
      <c r="T190" s="259">
        <f>IF(N190&gt;0,N190*I190/Z190,0)*VLOOKUP(B190,'2-Kosten per locatie'!$A$14:$C$28,3,FALSE)</f>
        <v>0</v>
      </c>
      <c r="U190" s="259">
        <f>IF(O190&gt;0,O190*I190/Y190,0)*VLOOKUP(B190,'2-Kosten per locatie'!$A$14:$C$28,3,FALSE)</f>
        <v>0</v>
      </c>
      <c r="V190" s="259">
        <f>IF(P190&gt;0,P190*I190/Z190,0)*VLOOKUP(B190,'2-Kosten per locatie'!$A$14:$C$28,3,FALSE)</f>
        <v>0</v>
      </c>
      <c r="W190" s="348">
        <f>IF(K190="nio",0,IF(K190&gt;0,VLOOKUP(G190,'3-Productie normen'!A:N,VLOOKUP(K190,'3-Productie normen'!$B$27:$C$38,2,FALSE),FALSE)))</f>
        <v>0</v>
      </c>
      <c r="X190" s="348">
        <f t="shared" si="12"/>
        <v>0</v>
      </c>
      <c r="Y190" s="348">
        <f t="shared" si="13"/>
        <v>0</v>
      </c>
      <c r="Z190" s="348">
        <f t="shared" si="14"/>
        <v>0</v>
      </c>
      <c r="AA190" s="349" t="e">
        <f>VLOOKUP(G190,'3-Productie normen'!A:Q,15,FALSE)</f>
        <v>#N/A</v>
      </c>
      <c r="AB190" s="350" t="e">
        <f>VLOOKUP(G190,'3-Productie normen'!A:Q,16,FALSE)</f>
        <v>#N/A</v>
      </c>
      <c r="AC190" s="349"/>
      <c r="AE190" s="351">
        <f t="shared" si="11"/>
        <v>0</v>
      </c>
    </row>
    <row r="191" spans="1:31" ht="14.1" customHeight="1">
      <c r="A191" s="76">
        <v>191</v>
      </c>
      <c r="B191" s="496" t="s">
        <v>296</v>
      </c>
      <c r="C191" s="312" t="s">
        <v>297</v>
      </c>
      <c r="D191" s="345" t="s">
        <v>359</v>
      </c>
      <c r="E191" s="346">
        <v>1009</v>
      </c>
      <c r="F191" s="353" t="s">
        <v>344</v>
      </c>
      <c r="G191" s="353" t="s">
        <v>461</v>
      </c>
      <c r="H191" s="72" t="s">
        <v>330</v>
      </c>
      <c r="I191" s="502">
        <v>31.45</v>
      </c>
      <c r="J191" s="347">
        <f t="shared" si="15"/>
        <v>0</v>
      </c>
      <c r="K191" s="260" t="s">
        <v>460</v>
      </c>
      <c r="L191" s="260"/>
      <c r="M191" s="260"/>
      <c r="N191" s="260"/>
      <c r="O191" s="260"/>
      <c r="P191" s="260"/>
      <c r="Q191" s="259">
        <f>IF(K191="nio",0,IF(K191&gt;0,K191*I191/W191,0))*VLOOKUP(B191,'2-Kosten per locatie'!$A$14:$C$28,3,FALSE)</f>
        <v>0</v>
      </c>
      <c r="R191" s="259">
        <f>IF(L191&gt;0,L191*I191/X191,0)*VLOOKUP(B191,'2-Kosten per locatie'!$A$14:$C$28,3,FALSE)</f>
        <v>0</v>
      </c>
      <c r="S191" s="259">
        <f>IF(M191&gt;0,M191*I191/Y191,0)*VLOOKUP(B191,'2-Kosten per locatie'!$A$14:$C$28,3,FALSE)</f>
        <v>0</v>
      </c>
      <c r="T191" s="259">
        <f>IF(N191&gt;0,N191*I191/Z191,0)*VLOOKUP(B191,'2-Kosten per locatie'!$A$14:$C$28,3,FALSE)</f>
        <v>0</v>
      </c>
      <c r="U191" s="259">
        <f>IF(O191&gt;0,O191*I191/Y191,0)*VLOOKUP(B191,'2-Kosten per locatie'!$A$14:$C$28,3,FALSE)</f>
        <v>0</v>
      </c>
      <c r="V191" s="259">
        <f>IF(P191&gt;0,P191*I191/Z191,0)*VLOOKUP(B191,'2-Kosten per locatie'!$A$14:$C$28,3,FALSE)</f>
        <v>0</v>
      </c>
      <c r="W191" s="348">
        <f>IF(K191="nio",0,IF(K191&gt;0,VLOOKUP(G191,'3-Productie normen'!A:N,VLOOKUP(K191,'3-Productie normen'!$B$27:$C$38,2,FALSE),FALSE)))</f>
        <v>0</v>
      </c>
      <c r="X191" s="348">
        <f t="shared" si="12"/>
        <v>0</v>
      </c>
      <c r="Y191" s="348">
        <f t="shared" si="13"/>
        <v>0</v>
      </c>
      <c r="Z191" s="348">
        <f t="shared" si="14"/>
        <v>0</v>
      </c>
      <c r="AA191" s="349" t="e">
        <f>VLOOKUP(G191,'3-Productie normen'!A:Q,15,FALSE)</f>
        <v>#N/A</v>
      </c>
      <c r="AB191" s="350" t="e">
        <f>VLOOKUP(G191,'3-Productie normen'!A:Q,16,FALSE)</f>
        <v>#N/A</v>
      </c>
      <c r="AC191" s="349"/>
      <c r="AE191" s="351">
        <f t="shared" si="11"/>
        <v>0</v>
      </c>
    </row>
    <row r="192" spans="1:31" ht="14.1" customHeight="1">
      <c r="A192" s="76">
        <v>192</v>
      </c>
      <c r="B192" s="496" t="s">
        <v>298</v>
      </c>
      <c r="C192" s="312" t="s">
        <v>299</v>
      </c>
      <c r="D192" s="345" t="s">
        <v>307</v>
      </c>
      <c r="E192" s="346">
        <v>1</v>
      </c>
      <c r="F192" s="72" t="s">
        <v>318</v>
      </c>
      <c r="G192" s="72" t="s">
        <v>89</v>
      </c>
      <c r="H192" s="352" t="s">
        <v>404</v>
      </c>
      <c r="I192" s="502">
        <v>3.78</v>
      </c>
      <c r="J192" s="347">
        <f t="shared" si="15"/>
        <v>230</v>
      </c>
      <c r="K192" s="260">
        <v>230</v>
      </c>
      <c r="L192" s="260"/>
      <c r="M192" s="260"/>
      <c r="N192" s="260"/>
      <c r="O192" s="260"/>
      <c r="P192" s="260"/>
      <c r="Q192" s="259" t="e">
        <f>IF(K192="nio",0,IF(K192&gt;0,K192*I192/W192,0))*VLOOKUP(B192,'2-Kosten per locatie'!$A$14:$C$28,3,FALSE)</f>
        <v>#DIV/0!</v>
      </c>
      <c r="R192" s="259">
        <f>IF(L192&gt;0,L192*I192/X192,0)*VLOOKUP(B192,'2-Kosten per locatie'!$A$14:$C$28,3,FALSE)</f>
        <v>0</v>
      </c>
      <c r="S192" s="259">
        <f>IF(M192&gt;0,M192*I192/Y192,0)*VLOOKUP(B192,'2-Kosten per locatie'!$A$14:$C$28,3,FALSE)</f>
        <v>0</v>
      </c>
      <c r="T192" s="259">
        <f>IF(N192&gt;0,N192*I192/Z192,0)*VLOOKUP(B192,'2-Kosten per locatie'!$A$14:$C$28,3,FALSE)</f>
        <v>0</v>
      </c>
      <c r="U192" s="259">
        <f>IF(O192&gt;0,O192*I192/Y192,0)*VLOOKUP(B192,'2-Kosten per locatie'!$A$14:$C$28,3,FALSE)</f>
        <v>0</v>
      </c>
      <c r="V192" s="259">
        <f>IF(P192&gt;0,P192*I192/Z192,0)*VLOOKUP(B192,'2-Kosten per locatie'!$A$14:$C$28,3,FALSE)</f>
        <v>0</v>
      </c>
      <c r="W192" s="348">
        <f>IF(K192="nio",0,IF(K192&gt;0,VLOOKUP(G192,'3-Productie normen'!A:N,VLOOKUP(K192,'3-Productie normen'!$B$27:$C$38,2,FALSE),FALSE)))</f>
        <v>0</v>
      </c>
      <c r="X192" s="348">
        <f t="shared" si="12"/>
        <v>0</v>
      </c>
      <c r="Y192" s="348">
        <f t="shared" si="13"/>
        <v>0</v>
      </c>
      <c r="Z192" s="348">
        <f t="shared" si="14"/>
        <v>0</v>
      </c>
      <c r="AA192" s="349">
        <f>VLOOKUP(G192,'3-Productie normen'!A:Q,15,FALSE)</f>
        <v>78.48</v>
      </c>
      <c r="AB192" s="350">
        <f>VLOOKUP(G192,'3-Productie normen'!A:Q,16,FALSE)</f>
        <v>0</v>
      </c>
      <c r="AC192" s="349"/>
      <c r="AE192" s="351">
        <f t="shared" si="11"/>
        <v>869.4</v>
      </c>
    </row>
    <row r="193" spans="1:31" ht="14.1" customHeight="1">
      <c r="A193" s="76">
        <v>193</v>
      </c>
      <c r="B193" s="496" t="s">
        <v>298</v>
      </c>
      <c r="C193" s="312" t="s">
        <v>299</v>
      </c>
      <c r="D193" s="345" t="s">
        <v>307</v>
      </c>
      <c r="E193" s="346">
        <v>2</v>
      </c>
      <c r="F193" s="312" t="s">
        <v>312</v>
      </c>
      <c r="G193" s="312" t="s">
        <v>83</v>
      </c>
      <c r="H193" s="72" t="s">
        <v>311</v>
      </c>
      <c r="I193" s="502">
        <v>11.94</v>
      </c>
      <c r="J193" s="347">
        <f t="shared" si="15"/>
        <v>230</v>
      </c>
      <c r="K193" s="260">
        <v>230</v>
      </c>
      <c r="L193" s="260"/>
      <c r="M193" s="260"/>
      <c r="N193" s="260"/>
      <c r="O193" s="260"/>
      <c r="P193" s="260"/>
      <c r="Q193" s="259" t="e">
        <f>IF(K193="nio",0,IF(K193&gt;0,K193*I193/W193,0))*VLOOKUP(B193,'2-Kosten per locatie'!$A$14:$C$28,3,FALSE)</f>
        <v>#DIV/0!</v>
      </c>
      <c r="R193" s="259">
        <f>IF(L193&gt;0,L193*I193/X193,0)*VLOOKUP(B193,'2-Kosten per locatie'!$A$14:$C$28,3,FALSE)</f>
        <v>0</v>
      </c>
      <c r="S193" s="259">
        <f>IF(M193&gt;0,M193*I193/Y193,0)*VLOOKUP(B193,'2-Kosten per locatie'!$A$14:$C$28,3,FALSE)</f>
        <v>0</v>
      </c>
      <c r="T193" s="259">
        <f>IF(N193&gt;0,N193*I193/Z193,0)*VLOOKUP(B193,'2-Kosten per locatie'!$A$14:$C$28,3,FALSE)</f>
        <v>0</v>
      </c>
      <c r="U193" s="259">
        <f>IF(O193&gt;0,O193*I193/Y193,0)*VLOOKUP(B193,'2-Kosten per locatie'!$A$14:$C$28,3,FALSE)</f>
        <v>0</v>
      </c>
      <c r="V193" s="259">
        <f>IF(P193&gt;0,P193*I193/Z193,0)*VLOOKUP(B193,'2-Kosten per locatie'!$A$14:$C$28,3,FALSE)</f>
        <v>0</v>
      </c>
      <c r="W193" s="348">
        <f>IF(K193="nio",0,IF(K193&gt;0,VLOOKUP(G193,'3-Productie normen'!A:N,VLOOKUP(K193,'3-Productie normen'!$B$27:$C$38,2,FALSE),FALSE)))</f>
        <v>0</v>
      </c>
      <c r="X193" s="348">
        <f t="shared" si="12"/>
        <v>0</v>
      </c>
      <c r="Y193" s="348">
        <f t="shared" si="13"/>
        <v>0</v>
      </c>
      <c r="Z193" s="348">
        <f t="shared" si="14"/>
        <v>0</v>
      </c>
      <c r="AA193" s="349">
        <f>VLOOKUP(G193,'3-Productie normen'!A:Q,15,FALSE)</f>
        <v>773.68459999999982</v>
      </c>
      <c r="AB193" s="350">
        <f>VLOOKUP(G193,'3-Productie normen'!A:Q,16,FALSE)</f>
        <v>0</v>
      </c>
      <c r="AC193" s="349"/>
      <c r="AE193" s="351">
        <f t="shared" si="11"/>
        <v>2746.2</v>
      </c>
    </row>
    <row r="194" spans="1:31" ht="14.1" customHeight="1">
      <c r="A194" s="76">
        <v>194</v>
      </c>
      <c r="B194" s="496" t="s">
        <v>298</v>
      </c>
      <c r="C194" s="312" t="s">
        <v>299</v>
      </c>
      <c r="D194" s="345" t="s">
        <v>307</v>
      </c>
      <c r="E194" s="346">
        <v>3</v>
      </c>
      <c r="F194" s="312" t="s">
        <v>313</v>
      </c>
      <c r="G194" s="312" t="s">
        <v>85</v>
      </c>
      <c r="H194" s="72" t="s">
        <v>311</v>
      </c>
      <c r="I194" s="502">
        <v>30.400000000000002</v>
      </c>
      <c r="J194" s="347">
        <f t="shared" si="15"/>
        <v>230</v>
      </c>
      <c r="K194" s="260">
        <v>230</v>
      </c>
      <c r="L194" s="260"/>
      <c r="M194" s="260"/>
      <c r="N194" s="260"/>
      <c r="O194" s="260"/>
      <c r="P194" s="260"/>
      <c r="Q194" s="259" t="e">
        <f>IF(K194="nio",0,IF(K194&gt;0,K194*I194/W194,0))*VLOOKUP(B194,'2-Kosten per locatie'!$A$14:$C$28,3,FALSE)</f>
        <v>#DIV/0!</v>
      </c>
      <c r="R194" s="259">
        <f>IF(L194&gt;0,L194*I194/X194,0)*VLOOKUP(B194,'2-Kosten per locatie'!$A$14:$C$28,3,FALSE)</f>
        <v>0</v>
      </c>
      <c r="S194" s="259">
        <f>IF(M194&gt;0,M194*I194/Y194,0)*VLOOKUP(B194,'2-Kosten per locatie'!$A$14:$C$28,3,FALSE)</f>
        <v>0</v>
      </c>
      <c r="T194" s="259">
        <f>IF(N194&gt;0,N194*I194/Z194,0)*VLOOKUP(B194,'2-Kosten per locatie'!$A$14:$C$28,3,FALSE)</f>
        <v>0</v>
      </c>
      <c r="U194" s="259">
        <f>IF(O194&gt;0,O194*I194/Y194,0)*VLOOKUP(B194,'2-Kosten per locatie'!$A$14:$C$28,3,FALSE)</f>
        <v>0</v>
      </c>
      <c r="V194" s="259">
        <f>IF(P194&gt;0,P194*I194/Z194,0)*VLOOKUP(B194,'2-Kosten per locatie'!$A$14:$C$28,3,FALSE)</f>
        <v>0</v>
      </c>
      <c r="W194" s="348">
        <f>IF(K194="nio",0,IF(K194&gt;0,VLOOKUP(G194,'3-Productie normen'!A:N,VLOOKUP(K194,'3-Productie normen'!$B$27:$C$38,2,FALSE),FALSE)))</f>
        <v>0</v>
      </c>
      <c r="X194" s="348">
        <f t="shared" si="12"/>
        <v>0</v>
      </c>
      <c r="Y194" s="348">
        <f t="shared" si="13"/>
        <v>0</v>
      </c>
      <c r="Z194" s="348">
        <f t="shared" si="14"/>
        <v>0</v>
      </c>
      <c r="AA194" s="349">
        <f>VLOOKUP(G194,'3-Productie normen'!A:Q,15,FALSE)</f>
        <v>1367.5950000000007</v>
      </c>
      <c r="AB194" s="350">
        <f>VLOOKUP(G194,'3-Productie normen'!A:Q,16,FALSE)</f>
        <v>0</v>
      </c>
      <c r="AC194" s="349"/>
      <c r="AE194" s="351">
        <f t="shared" si="11"/>
        <v>6992.0000000000009</v>
      </c>
    </row>
    <row r="195" spans="1:31" ht="14.1" customHeight="1">
      <c r="A195" s="76">
        <v>195</v>
      </c>
      <c r="B195" s="496" t="s">
        <v>298</v>
      </c>
      <c r="C195" s="312" t="s">
        <v>299</v>
      </c>
      <c r="D195" s="345" t="s">
        <v>307</v>
      </c>
      <c r="E195" s="346">
        <v>4</v>
      </c>
      <c r="F195" s="312" t="s">
        <v>322</v>
      </c>
      <c r="G195" s="312" t="s">
        <v>341</v>
      </c>
      <c r="H195" s="72" t="s">
        <v>311</v>
      </c>
      <c r="I195" s="502">
        <v>6.17</v>
      </c>
      <c r="J195" s="347">
        <f t="shared" si="15"/>
        <v>230</v>
      </c>
      <c r="K195" s="260">
        <v>230</v>
      </c>
      <c r="L195" s="260"/>
      <c r="M195" s="260"/>
      <c r="N195" s="260"/>
      <c r="O195" s="260"/>
      <c r="P195" s="260"/>
      <c r="Q195" s="259" t="e">
        <f>IF(K195="nio",0,IF(K195&gt;0,K195*I195/W195,0))*VLOOKUP(B195,'2-Kosten per locatie'!$A$14:$C$28,3,FALSE)</f>
        <v>#DIV/0!</v>
      </c>
      <c r="R195" s="259">
        <f>IF(L195&gt;0,L195*I195/X195,0)*VLOOKUP(B195,'2-Kosten per locatie'!$A$14:$C$28,3,FALSE)</f>
        <v>0</v>
      </c>
      <c r="S195" s="259">
        <f>IF(M195&gt;0,M195*I195/Y195,0)*VLOOKUP(B195,'2-Kosten per locatie'!$A$14:$C$28,3,FALSE)</f>
        <v>0</v>
      </c>
      <c r="T195" s="259">
        <f>IF(N195&gt;0,N195*I195/Z195,0)*VLOOKUP(B195,'2-Kosten per locatie'!$A$14:$C$28,3,FALSE)</f>
        <v>0</v>
      </c>
      <c r="U195" s="259">
        <f>IF(O195&gt;0,O195*I195/Y195,0)*VLOOKUP(B195,'2-Kosten per locatie'!$A$14:$C$28,3,FALSE)</f>
        <v>0</v>
      </c>
      <c r="V195" s="259">
        <f>IF(P195&gt;0,P195*I195/Z195,0)*VLOOKUP(B195,'2-Kosten per locatie'!$A$14:$C$28,3,FALSE)</f>
        <v>0</v>
      </c>
      <c r="W195" s="348">
        <f>IF(K195="nio",0,IF(K195&gt;0,VLOOKUP(G195,'3-Productie normen'!A:N,VLOOKUP(K195,'3-Productie normen'!$B$27:$C$38,2,FALSE),FALSE)))</f>
        <v>0</v>
      </c>
      <c r="X195" s="348">
        <f t="shared" si="12"/>
        <v>0</v>
      </c>
      <c r="Y195" s="348">
        <f t="shared" si="13"/>
        <v>0</v>
      </c>
      <c r="Z195" s="348">
        <f t="shared" si="14"/>
        <v>0</v>
      </c>
      <c r="AA195" s="349">
        <f>VLOOKUP(G195,'3-Productie normen'!A:Q,15,FALSE)</f>
        <v>452.79000000000019</v>
      </c>
      <c r="AB195" s="350">
        <f>VLOOKUP(G195,'3-Productie normen'!A:Q,16,FALSE)</f>
        <v>0</v>
      </c>
      <c r="AC195" s="349"/>
      <c r="AE195" s="351">
        <f t="shared" si="11"/>
        <v>1419.1</v>
      </c>
    </row>
    <row r="196" spans="1:31" ht="14.1" customHeight="1">
      <c r="A196" s="76">
        <v>196</v>
      </c>
      <c r="B196" s="496" t="s">
        <v>298</v>
      </c>
      <c r="C196" s="312" t="s">
        <v>299</v>
      </c>
      <c r="D196" s="345" t="s">
        <v>307</v>
      </c>
      <c r="E196" s="346">
        <v>5</v>
      </c>
      <c r="F196" s="72" t="s">
        <v>310</v>
      </c>
      <c r="G196" s="72" t="s">
        <v>81</v>
      </c>
      <c r="H196" s="72" t="s">
        <v>311</v>
      </c>
      <c r="I196" s="502">
        <v>1.07</v>
      </c>
      <c r="J196" s="347">
        <f t="shared" si="15"/>
        <v>230</v>
      </c>
      <c r="K196" s="260">
        <v>230</v>
      </c>
      <c r="L196" s="260"/>
      <c r="M196" s="260"/>
      <c r="N196" s="260"/>
      <c r="O196" s="260"/>
      <c r="P196" s="260"/>
      <c r="Q196" s="259" t="e">
        <f>IF(K196="nio",0,IF(K196&gt;0,K196*I196/W196,0))*VLOOKUP(B196,'2-Kosten per locatie'!$A$14:$C$28,3,FALSE)</f>
        <v>#DIV/0!</v>
      </c>
      <c r="R196" s="259">
        <f>IF(L196&gt;0,L196*I196/X196,0)*VLOOKUP(B196,'2-Kosten per locatie'!$A$14:$C$28,3,FALSE)</f>
        <v>0</v>
      </c>
      <c r="S196" s="259">
        <f>IF(M196&gt;0,M196*I196/Y196,0)*VLOOKUP(B196,'2-Kosten per locatie'!$A$14:$C$28,3,FALSE)</f>
        <v>0</v>
      </c>
      <c r="T196" s="259">
        <f>IF(N196&gt;0,N196*I196/Z196,0)*VLOOKUP(B196,'2-Kosten per locatie'!$A$14:$C$28,3,FALSE)</f>
        <v>0</v>
      </c>
      <c r="U196" s="259">
        <f>IF(O196&gt;0,O196*I196/Y196,0)*VLOOKUP(B196,'2-Kosten per locatie'!$A$14:$C$28,3,FALSE)</f>
        <v>0</v>
      </c>
      <c r="V196" s="259">
        <f>IF(P196&gt;0,P196*I196/Z196,0)*VLOOKUP(B196,'2-Kosten per locatie'!$A$14:$C$28,3,FALSE)</f>
        <v>0</v>
      </c>
      <c r="W196" s="348">
        <f>IF(K196="nio",0,IF(K196&gt;0,VLOOKUP(G196,'3-Productie normen'!A:N,VLOOKUP(K196,'3-Productie normen'!$B$27:$C$38,2,FALSE),FALSE)))</f>
        <v>0</v>
      </c>
      <c r="X196" s="348">
        <f t="shared" si="12"/>
        <v>0</v>
      </c>
      <c r="Y196" s="348">
        <f t="shared" si="13"/>
        <v>0</v>
      </c>
      <c r="Z196" s="348">
        <f t="shared" si="14"/>
        <v>0</v>
      </c>
      <c r="AA196" s="349">
        <f>VLOOKUP(G196,'3-Productie normen'!A:Q,15,FALSE)</f>
        <v>235.06999999999988</v>
      </c>
      <c r="AB196" s="350">
        <f>VLOOKUP(G196,'3-Productie normen'!A:Q,16,FALSE)</f>
        <v>0</v>
      </c>
      <c r="AC196" s="349"/>
      <c r="AE196" s="351">
        <f t="shared" si="11"/>
        <v>246.10000000000002</v>
      </c>
    </row>
    <row r="197" spans="1:31" ht="14.1" customHeight="1">
      <c r="A197" s="76">
        <v>197</v>
      </c>
      <c r="B197" s="496" t="s">
        <v>298</v>
      </c>
      <c r="C197" s="312" t="s">
        <v>299</v>
      </c>
      <c r="D197" s="345" t="s">
        <v>307</v>
      </c>
      <c r="E197" s="346">
        <v>6</v>
      </c>
      <c r="F197" s="72" t="s">
        <v>312</v>
      </c>
      <c r="G197" s="72" t="s">
        <v>83</v>
      </c>
      <c r="H197" s="72" t="s">
        <v>311</v>
      </c>
      <c r="I197" s="502">
        <v>6.43</v>
      </c>
      <c r="J197" s="347">
        <f t="shared" si="15"/>
        <v>230</v>
      </c>
      <c r="K197" s="260">
        <v>230</v>
      </c>
      <c r="L197" s="260"/>
      <c r="M197" s="260"/>
      <c r="N197" s="260"/>
      <c r="O197" s="260"/>
      <c r="P197" s="260"/>
      <c r="Q197" s="259" t="e">
        <f>IF(K197="nio",0,IF(K197&gt;0,K197*I197/W197,0))*VLOOKUP(B197,'2-Kosten per locatie'!$A$14:$C$28,3,FALSE)</f>
        <v>#DIV/0!</v>
      </c>
      <c r="R197" s="259">
        <f>IF(L197&gt;0,L197*I197/X197,0)*VLOOKUP(B197,'2-Kosten per locatie'!$A$14:$C$28,3,FALSE)</f>
        <v>0</v>
      </c>
      <c r="S197" s="259">
        <f>IF(M197&gt;0,M197*I197/Y197,0)*VLOOKUP(B197,'2-Kosten per locatie'!$A$14:$C$28,3,FALSE)</f>
        <v>0</v>
      </c>
      <c r="T197" s="259">
        <f>IF(N197&gt;0,N197*I197/Z197,0)*VLOOKUP(B197,'2-Kosten per locatie'!$A$14:$C$28,3,FALSE)</f>
        <v>0</v>
      </c>
      <c r="U197" s="259">
        <f>IF(O197&gt;0,O197*I197/Y197,0)*VLOOKUP(B197,'2-Kosten per locatie'!$A$14:$C$28,3,FALSE)</f>
        <v>0</v>
      </c>
      <c r="V197" s="259">
        <f>IF(P197&gt;0,P197*I197/Z197,0)*VLOOKUP(B197,'2-Kosten per locatie'!$A$14:$C$28,3,FALSE)</f>
        <v>0</v>
      </c>
      <c r="W197" s="348">
        <f>IF(K197="nio",0,IF(K197&gt;0,VLOOKUP(G197,'3-Productie normen'!A:N,VLOOKUP(K197,'3-Productie normen'!$B$27:$C$38,2,FALSE),FALSE)))</f>
        <v>0</v>
      </c>
      <c r="X197" s="348">
        <f t="shared" si="12"/>
        <v>0</v>
      </c>
      <c r="Y197" s="348">
        <f t="shared" si="13"/>
        <v>0</v>
      </c>
      <c r="Z197" s="348">
        <f t="shared" si="14"/>
        <v>0</v>
      </c>
      <c r="AA197" s="349">
        <f>VLOOKUP(G197,'3-Productie normen'!A:Q,15,FALSE)</f>
        <v>773.68459999999982</v>
      </c>
      <c r="AB197" s="350">
        <f>VLOOKUP(G197,'3-Productie normen'!A:Q,16,FALSE)</f>
        <v>0</v>
      </c>
      <c r="AC197" s="349"/>
      <c r="AE197" s="351">
        <f t="shared" si="11"/>
        <v>1478.8999999999999</v>
      </c>
    </row>
    <row r="198" spans="1:31" ht="14.1" customHeight="1">
      <c r="A198" s="76">
        <v>198</v>
      </c>
      <c r="B198" s="496" t="s">
        <v>298</v>
      </c>
      <c r="C198" s="312" t="s">
        <v>299</v>
      </c>
      <c r="D198" s="345" t="s">
        <v>307</v>
      </c>
      <c r="E198" s="346">
        <v>7</v>
      </c>
      <c r="F198" s="72" t="s">
        <v>317</v>
      </c>
      <c r="G198" s="72" t="s">
        <v>355</v>
      </c>
      <c r="H198" s="72" t="s">
        <v>316</v>
      </c>
      <c r="I198" s="502">
        <v>251.91</v>
      </c>
      <c r="J198" s="347">
        <f t="shared" si="15"/>
        <v>230</v>
      </c>
      <c r="K198" s="260">
        <v>230</v>
      </c>
      <c r="L198" s="260"/>
      <c r="M198" s="260"/>
      <c r="N198" s="260"/>
      <c r="O198" s="260"/>
      <c r="P198" s="260"/>
      <c r="Q198" s="259" t="e">
        <f>IF(K198="nio",0,IF(K198&gt;0,K198*I198/W198,0))*VLOOKUP(B198,'2-Kosten per locatie'!$A$14:$C$28,3,FALSE)</f>
        <v>#DIV/0!</v>
      </c>
      <c r="R198" s="259">
        <f>IF(L198&gt;0,L198*I198/X198,0)*VLOOKUP(B198,'2-Kosten per locatie'!$A$14:$C$28,3,FALSE)</f>
        <v>0</v>
      </c>
      <c r="S198" s="259">
        <f>IF(M198&gt;0,M198*I198/Y198,0)*VLOOKUP(B198,'2-Kosten per locatie'!$A$14:$C$28,3,FALSE)</f>
        <v>0</v>
      </c>
      <c r="T198" s="259">
        <f>IF(N198&gt;0,N198*I198/Z198,0)*VLOOKUP(B198,'2-Kosten per locatie'!$A$14:$C$28,3,FALSE)</f>
        <v>0</v>
      </c>
      <c r="U198" s="259">
        <f>IF(O198&gt;0,O198*I198/Y198,0)*VLOOKUP(B198,'2-Kosten per locatie'!$A$14:$C$28,3,FALSE)</f>
        <v>0</v>
      </c>
      <c r="V198" s="259">
        <f>IF(P198&gt;0,P198*I198/Z198,0)*VLOOKUP(B198,'2-Kosten per locatie'!$A$14:$C$28,3,FALSE)</f>
        <v>0</v>
      </c>
      <c r="W198" s="348">
        <f>IF(K198="nio",0,IF(K198&gt;0,VLOOKUP(G198,'3-Productie normen'!A:N,VLOOKUP(K198,'3-Productie normen'!$B$27:$C$38,2,FALSE),FALSE)))</f>
        <v>0</v>
      </c>
      <c r="X198" s="348">
        <f t="shared" si="12"/>
        <v>0</v>
      </c>
      <c r="Y198" s="348">
        <f t="shared" si="13"/>
        <v>0</v>
      </c>
      <c r="Z198" s="348">
        <f t="shared" si="14"/>
        <v>0</v>
      </c>
      <c r="AA198" s="349">
        <f>VLOOKUP(G198,'3-Productie normen'!A:Q,15,FALSE)</f>
        <v>6683.51</v>
      </c>
      <c r="AB198" s="350">
        <f>VLOOKUP(G198,'3-Productie normen'!A:Q,16,FALSE)</f>
        <v>0</v>
      </c>
      <c r="AC198" s="349"/>
      <c r="AE198" s="351">
        <f t="shared" si="11"/>
        <v>57939.299999999996</v>
      </c>
    </row>
    <row r="199" spans="1:31" ht="14.1" customHeight="1">
      <c r="A199" s="76">
        <v>199</v>
      </c>
      <c r="B199" s="496" t="s">
        <v>298</v>
      </c>
      <c r="C199" s="312" t="s">
        <v>299</v>
      </c>
      <c r="D199" s="345" t="s">
        <v>307</v>
      </c>
      <c r="E199" s="346">
        <v>8</v>
      </c>
      <c r="F199" s="72" t="s">
        <v>315</v>
      </c>
      <c r="G199" s="72" t="s">
        <v>355</v>
      </c>
      <c r="H199" s="72" t="s">
        <v>316</v>
      </c>
      <c r="I199" s="502">
        <v>32.130000000000003</v>
      </c>
      <c r="J199" s="347">
        <f t="shared" si="15"/>
        <v>230</v>
      </c>
      <c r="K199" s="260">
        <v>230</v>
      </c>
      <c r="L199" s="260"/>
      <c r="M199" s="260"/>
      <c r="N199" s="260"/>
      <c r="O199" s="260"/>
      <c r="P199" s="260"/>
      <c r="Q199" s="259" t="e">
        <f>IF(K199="nio",0,IF(K199&gt;0,K199*I199/W199,0))*VLOOKUP(B199,'2-Kosten per locatie'!$A$14:$C$28,3,FALSE)</f>
        <v>#DIV/0!</v>
      </c>
      <c r="R199" s="259">
        <f>IF(L199&gt;0,L199*I199/X199,0)*VLOOKUP(B199,'2-Kosten per locatie'!$A$14:$C$28,3,FALSE)</f>
        <v>0</v>
      </c>
      <c r="S199" s="259">
        <f>IF(M199&gt;0,M199*I199/Y199,0)*VLOOKUP(B199,'2-Kosten per locatie'!$A$14:$C$28,3,FALSE)</f>
        <v>0</v>
      </c>
      <c r="T199" s="259">
        <f>IF(N199&gt;0,N199*I199/Z199,0)*VLOOKUP(B199,'2-Kosten per locatie'!$A$14:$C$28,3,FALSE)</f>
        <v>0</v>
      </c>
      <c r="U199" s="259">
        <f>IF(O199&gt;0,O199*I199/Y199,0)*VLOOKUP(B199,'2-Kosten per locatie'!$A$14:$C$28,3,FALSE)</f>
        <v>0</v>
      </c>
      <c r="V199" s="259">
        <f>IF(P199&gt;0,P199*I199/Z199,0)*VLOOKUP(B199,'2-Kosten per locatie'!$A$14:$C$28,3,FALSE)</f>
        <v>0</v>
      </c>
      <c r="W199" s="348">
        <f>IF(K199="nio",0,IF(K199&gt;0,VLOOKUP(G199,'3-Productie normen'!A:N,VLOOKUP(K199,'3-Productie normen'!$B$27:$C$38,2,FALSE),FALSE)))</f>
        <v>0</v>
      </c>
      <c r="X199" s="348">
        <f t="shared" si="12"/>
        <v>0</v>
      </c>
      <c r="Y199" s="348">
        <f t="shared" si="13"/>
        <v>0</v>
      </c>
      <c r="Z199" s="348">
        <f t="shared" si="14"/>
        <v>0</v>
      </c>
      <c r="AA199" s="349">
        <f>VLOOKUP(G199,'3-Productie normen'!A:Q,15,FALSE)</f>
        <v>6683.51</v>
      </c>
      <c r="AB199" s="350">
        <f>VLOOKUP(G199,'3-Productie normen'!A:Q,16,FALSE)</f>
        <v>0</v>
      </c>
      <c r="AC199" s="349"/>
      <c r="AE199" s="351">
        <f t="shared" si="11"/>
        <v>7389.9000000000005</v>
      </c>
    </row>
    <row r="200" spans="1:31" ht="14.1" customHeight="1">
      <c r="A200" s="76">
        <v>200</v>
      </c>
      <c r="B200" s="496" t="s">
        <v>298</v>
      </c>
      <c r="C200" s="312" t="s">
        <v>299</v>
      </c>
      <c r="D200" s="345" t="s">
        <v>307</v>
      </c>
      <c r="E200" s="346">
        <v>9</v>
      </c>
      <c r="F200" s="353" t="s">
        <v>401</v>
      </c>
      <c r="G200" s="353" t="s">
        <v>472</v>
      </c>
      <c r="H200" s="72" t="s">
        <v>311</v>
      </c>
      <c r="I200" s="502">
        <v>7.41</v>
      </c>
      <c r="J200" s="347">
        <v>40</v>
      </c>
      <c r="K200" s="260">
        <v>46</v>
      </c>
      <c r="L200" s="260"/>
      <c r="M200" s="260"/>
      <c r="N200" s="260"/>
      <c r="O200" s="260"/>
      <c r="P200" s="260"/>
      <c r="Q200" s="259" t="e">
        <f>IF(K200="nio",0,IF(K200&gt;0,K200*I200/W200,0))*VLOOKUP(B200,'2-Kosten per locatie'!$A$14:$C$28,3,FALSE)</f>
        <v>#DIV/0!</v>
      </c>
      <c r="R200" s="259">
        <f>IF(L200&gt;0,L200*I200/X200,0)*VLOOKUP(B200,'2-Kosten per locatie'!$A$14:$C$28,3,FALSE)</f>
        <v>0</v>
      </c>
      <c r="S200" s="259">
        <f>IF(M200&gt;0,M200*I200/Y200,0)*VLOOKUP(B200,'2-Kosten per locatie'!$A$14:$C$28,3,FALSE)</f>
        <v>0</v>
      </c>
      <c r="T200" s="259">
        <f>IF(N200&gt;0,N200*I200/Z200,0)*VLOOKUP(B200,'2-Kosten per locatie'!$A$14:$C$28,3,FALSE)</f>
        <v>0</v>
      </c>
      <c r="U200" s="259">
        <f>IF(O200&gt;0,O200*I200/Y200,0)*VLOOKUP(B200,'2-Kosten per locatie'!$A$14:$C$28,3,FALSE)</f>
        <v>0</v>
      </c>
      <c r="V200" s="259">
        <f>IF(P200&gt;0,P200*I200/Z200,0)*VLOOKUP(B200,'2-Kosten per locatie'!$A$14:$C$28,3,FALSE)</f>
        <v>0</v>
      </c>
      <c r="W200" s="348">
        <f>IF(K200="nio",0,IF(K200&gt;0,VLOOKUP(G200,'3-Productie normen'!A:N,VLOOKUP(K200,'3-Productie normen'!$B$27:$C$38,2,FALSE),FALSE)))</f>
        <v>0</v>
      </c>
      <c r="X200" s="348">
        <f t="shared" si="12"/>
        <v>0</v>
      </c>
      <c r="Y200" s="348">
        <f t="shared" si="13"/>
        <v>0</v>
      </c>
      <c r="Z200" s="348">
        <f t="shared" si="14"/>
        <v>0</v>
      </c>
      <c r="AA200" s="349">
        <f>VLOOKUP(G200,'3-Productie normen'!A:Q,15,FALSE)</f>
        <v>78.010000000000005</v>
      </c>
      <c r="AB200" s="350">
        <f>VLOOKUP(G200,'3-Productie normen'!A:Q,16,FALSE)</f>
        <v>0</v>
      </c>
      <c r="AC200" s="349"/>
      <c r="AE200" s="351">
        <f t="shared" si="11"/>
        <v>296.39999999999998</v>
      </c>
    </row>
    <row r="201" spans="1:31" ht="14.1" customHeight="1">
      <c r="A201" s="76">
        <v>201</v>
      </c>
      <c r="B201" s="496" t="s">
        <v>298</v>
      </c>
      <c r="C201" s="312" t="s">
        <v>299</v>
      </c>
      <c r="D201" s="345" t="s">
        <v>307</v>
      </c>
      <c r="E201" s="346">
        <v>10</v>
      </c>
      <c r="F201" s="72" t="s">
        <v>313</v>
      </c>
      <c r="G201" s="72" t="s">
        <v>85</v>
      </c>
      <c r="H201" s="352" t="s">
        <v>311</v>
      </c>
      <c r="I201" s="502">
        <v>30.4</v>
      </c>
      <c r="J201" s="347">
        <f t="shared" si="15"/>
        <v>230</v>
      </c>
      <c r="K201" s="260">
        <v>230</v>
      </c>
      <c r="L201" s="260"/>
      <c r="M201" s="260"/>
      <c r="N201" s="260"/>
      <c r="O201" s="260"/>
      <c r="P201" s="260"/>
      <c r="Q201" s="259" t="e">
        <f>IF(K201="nio",0,IF(K201&gt;0,K201*I201/W201,0))*VLOOKUP(B201,'2-Kosten per locatie'!$A$14:$C$28,3,FALSE)</f>
        <v>#DIV/0!</v>
      </c>
      <c r="R201" s="259">
        <f>IF(L201&gt;0,L201*I201/X201,0)*VLOOKUP(B201,'2-Kosten per locatie'!$A$14:$C$28,3,FALSE)</f>
        <v>0</v>
      </c>
      <c r="S201" s="259">
        <f>IF(M201&gt;0,M201*I201/Y201,0)*VLOOKUP(B201,'2-Kosten per locatie'!$A$14:$C$28,3,FALSE)</f>
        <v>0</v>
      </c>
      <c r="T201" s="259">
        <f>IF(N201&gt;0,N201*I201/Z201,0)*VLOOKUP(B201,'2-Kosten per locatie'!$A$14:$C$28,3,FALSE)</f>
        <v>0</v>
      </c>
      <c r="U201" s="259">
        <f>IF(O201&gt;0,O201*I201/Y201,0)*VLOOKUP(B201,'2-Kosten per locatie'!$A$14:$C$28,3,FALSE)</f>
        <v>0</v>
      </c>
      <c r="V201" s="259">
        <f>IF(P201&gt;0,P201*I201/Z201,0)*VLOOKUP(B201,'2-Kosten per locatie'!$A$14:$C$28,3,FALSE)</f>
        <v>0</v>
      </c>
      <c r="W201" s="348">
        <f>IF(K201="nio",0,IF(K201&gt;0,VLOOKUP(G201,'3-Productie normen'!A:N,VLOOKUP(K201,'3-Productie normen'!$B$27:$C$38,2,FALSE),FALSE)))</f>
        <v>0</v>
      </c>
      <c r="X201" s="348">
        <f t="shared" si="12"/>
        <v>0</v>
      </c>
      <c r="Y201" s="348">
        <f t="shared" si="13"/>
        <v>0</v>
      </c>
      <c r="Z201" s="348">
        <f t="shared" si="14"/>
        <v>0</v>
      </c>
      <c r="AA201" s="349">
        <f>VLOOKUP(G201,'3-Productie normen'!A:Q,15,FALSE)</f>
        <v>1367.5950000000007</v>
      </c>
      <c r="AB201" s="350">
        <f>VLOOKUP(G201,'3-Productie normen'!A:Q,16,FALSE)</f>
        <v>0</v>
      </c>
      <c r="AC201" s="349"/>
      <c r="AE201" s="351">
        <f t="shared" si="11"/>
        <v>6992</v>
      </c>
    </row>
    <row r="202" spans="1:31" ht="14.1" customHeight="1">
      <c r="A202" s="76">
        <v>202</v>
      </c>
      <c r="B202" s="496" t="s">
        <v>298</v>
      </c>
      <c r="C202" s="312" t="s">
        <v>299</v>
      </c>
      <c r="D202" s="345" t="s">
        <v>307</v>
      </c>
      <c r="E202" s="254">
        <v>11</v>
      </c>
      <c r="F202" s="86" t="s">
        <v>310</v>
      </c>
      <c r="G202" s="86" t="s">
        <v>81</v>
      </c>
      <c r="H202" s="72" t="s">
        <v>311</v>
      </c>
      <c r="I202" s="502">
        <v>1.07</v>
      </c>
      <c r="J202" s="347">
        <f t="shared" si="15"/>
        <v>230</v>
      </c>
      <c r="K202" s="260">
        <v>230</v>
      </c>
      <c r="L202" s="260"/>
      <c r="M202" s="260"/>
      <c r="N202" s="260"/>
      <c r="O202" s="260"/>
      <c r="P202" s="260"/>
      <c r="Q202" s="259" t="e">
        <f>IF(K202="nio",0,IF(K202&gt;0,K202*I202/W202,0))*VLOOKUP(B202,'2-Kosten per locatie'!$A$14:$C$28,3,FALSE)</f>
        <v>#DIV/0!</v>
      </c>
      <c r="R202" s="259">
        <f>IF(L202&gt;0,L202*I202/X202,0)*VLOOKUP(B202,'2-Kosten per locatie'!$A$14:$C$28,3,FALSE)</f>
        <v>0</v>
      </c>
      <c r="S202" s="259">
        <f>IF(M202&gt;0,M202*I202/Y202,0)*VLOOKUP(B202,'2-Kosten per locatie'!$A$14:$C$28,3,FALSE)</f>
        <v>0</v>
      </c>
      <c r="T202" s="259">
        <f>IF(N202&gt;0,N202*I202/Z202,0)*VLOOKUP(B202,'2-Kosten per locatie'!$A$14:$C$28,3,FALSE)</f>
        <v>0</v>
      </c>
      <c r="U202" s="259">
        <f>IF(O202&gt;0,O202*I202/Y202,0)*VLOOKUP(B202,'2-Kosten per locatie'!$A$14:$C$28,3,FALSE)</f>
        <v>0</v>
      </c>
      <c r="V202" s="259">
        <f>IF(P202&gt;0,P202*I202/Z202,0)*VLOOKUP(B202,'2-Kosten per locatie'!$A$14:$C$28,3,FALSE)</f>
        <v>0</v>
      </c>
      <c r="W202" s="348">
        <f>IF(K202="nio",0,IF(K202&gt;0,VLOOKUP(G202,'3-Productie normen'!A:N,VLOOKUP(K202,'3-Productie normen'!$B$27:$C$38,2,FALSE),FALSE)))</f>
        <v>0</v>
      </c>
      <c r="X202" s="348">
        <f t="shared" si="12"/>
        <v>0</v>
      </c>
      <c r="Y202" s="348">
        <f t="shared" si="13"/>
        <v>0</v>
      </c>
      <c r="Z202" s="348">
        <f t="shared" si="14"/>
        <v>0</v>
      </c>
      <c r="AA202" s="349">
        <f>VLOOKUP(G202,'3-Productie normen'!A:Q,15,FALSE)</f>
        <v>235.06999999999988</v>
      </c>
      <c r="AB202" s="350">
        <f>VLOOKUP(G202,'3-Productie normen'!A:Q,16,FALSE)</f>
        <v>0</v>
      </c>
      <c r="AC202" s="349"/>
      <c r="AE202" s="351">
        <f t="shared" ref="AE202:AE265" si="16">J202*I202</f>
        <v>246.10000000000002</v>
      </c>
    </row>
    <row r="203" spans="1:31" ht="14.1" customHeight="1">
      <c r="A203" s="76">
        <v>203</v>
      </c>
      <c r="B203" s="496" t="s">
        <v>300</v>
      </c>
      <c r="C203" s="312" t="s">
        <v>301</v>
      </c>
      <c r="D203" s="345" t="s">
        <v>307</v>
      </c>
      <c r="E203" s="346">
        <v>1</v>
      </c>
      <c r="F203" s="72" t="s">
        <v>308</v>
      </c>
      <c r="G203" s="72" t="s">
        <v>79</v>
      </c>
      <c r="H203" s="72" t="s">
        <v>330</v>
      </c>
      <c r="I203" s="502">
        <v>29.33</v>
      </c>
      <c r="J203" s="347">
        <f t="shared" ref="J203:J266" si="17">SUM(K203:P203)</f>
        <v>104</v>
      </c>
      <c r="K203" s="260">
        <v>104</v>
      </c>
      <c r="L203" s="260"/>
      <c r="M203" s="260"/>
      <c r="N203" s="260"/>
      <c r="O203" s="260"/>
      <c r="P203" s="260"/>
      <c r="Q203" s="259" t="e">
        <f>IF(K203="nio",0,IF(K203&gt;0,K203*I203/W203,0))*VLOOKUP(B203,'2-Kosten per locatie'!$A$14:$C$28,3,FALSE)</f>
        <v>#DIV/0!</v>
      </c>
      <c r="R203" s="259">
        <f>IF(L203&gt;0,L203*I203/X203,0)*VLOOKUP(B203,'2-Kosten per locatie'!$A$14:$C$28,3,FALSE)</f>
        <v>0</v>
      </c>
      <c r="S203" s="259">
        <f>IF(M203&gt;0,M203*I203/Y203,0)*VLOOKUP(B203,'2-Kosten per locatie'!$A$14:$C$28,3,FALSE)</f>
        <v>0</v>
      </c>
      <c r="T203" s="259">
        <f>IF(N203&gt;0,N203*I203/Z203,0)*VLOOKUP(B203,'2-Kosten per locatie'!$A$14:$C$28,3,FALSE)</f>
        <v>0</v>
      </c>
      <c r="U203" s="259">
        <f>IF(O203&gt;0,O203*I203/Y203,0)*VLOOKUP(B203,'2-Kosten per locatie'!$A$14:$C$28,3,FALSE)</f>
        <v>0</v>
      </c>
      <c r="V203" s="259">
        <f>IF(P203&gt;0,P203*I203/Z203,0)*VLOOKUP(B203,'2-Kosten per locatie'!$A$14:$C$28,3,FALSE)</f>
        <v>0</v>
      </c>
      <c r="W203" s="348">
        <f>IF(K203="nio",0,IF(K203&gt;0,VLOOKUP(G203,'3-Productie normen'!A:N,VLOOKUP(K203,'3-Productie normen'!$B$27:$C$38,2,FALSE),FALSE)))</f>
        <v>0</v>
      </c>
      <c r="X203" s="348">
        <f t="shared" ref="X203:X266" si="18">IF(L203&gt;0,W203*$X$8,0)</f>
        <v>0</v>
      </c>
      <c r="Y203" s="348">
        <f t="shared" ref="Y203:Y266" si="19">IF((OR(M203&gt;0,O203&gt;0)),W203*$Y$8,0)</f>
        <v>0</v>
      </c>
      <c r="Z203" s="348">
        <f t="shared" ref="Z203:Z266" si="20">IF((OR(N203&gt;0,P203&gt;0)),W203*$Z$8,0)</f>
        <v>0</v>
      </c>
      <c r="AA203" s="349">
        <f>VLOOKUP(G203,'3-Productie normen'!A:Q,15,FALSE)</f>
        <v>78.010000000000005</v>
      </c>
      <c r="AB203" s="350">
        <f>VLOOKUP(G203,'3-Productie normen'!A:Q,16,FALSE)</f>
        <v>0</v>
      </c>
      <c r="AC203" s="349"/>
      <c r="AE203" s="351">
        <f t="shared" si="16"/>
        <v>3050.3199999999997</v>
      </c>
    </row>
    <row r="204" spans="1:31" ht="14.1" customHeight="1">
      <c r="A204" s="76">
        <v>204</v>
      </c>
      <c r="B204" s="496" t="s">
        <v>300</v>
      </c>
      <c r="C204" s="312" t="s">
        <v>301</v>
      </c>
      <c r="D204" s="345" t="s">
        <v>307</v>
      </c>
      <c r="E204" s="346">
        <v>2</v>
      </c>
      <c r="F204" s="312" t="s">
        <v>361</v>
      </c>
      <c r="G204" s="312" t="s">
        <v>85</v>
      </c>
      <c r="H204" s="72" t="s">
        <v>311</v>
      </c>
      <c r="I204" s="502">
        <v>27.8</v>
      </c>
      <c r="J204" s="347">
        <f t="shared" si="17"/>
        <v>716</v>
      </c>
      <c r="K204" s="260">
        <v>255</v>
      </c>
      <c r="L204" s="260">
        <v>255</v>
      </c>
      <c r="M204" s="260">
        <v>102</v>
      </c>
      <c r="N204" s="260">
        <v>102</v>
      </c>
      <c r="O204" s="260">
        <v>2</v>
      </c>
      <c r="P204" s="260"/>
      <c r="Q204" s="259" t="e">
        <f>IF(K204="nio",0,IF(K204&gt;0,K204*I204/W204,0))*VLOOKUP(B204,'2-Kosten per locatie'!$A$14:$C$28,3,FALSE)</f>
        <v>#DIV/0!</v>
      </c>
      <c r="R204" s="259" t="e">
        <f>IF(L204&gt;0,L204*I204/X204,0)*VLOOKUP(B204,'2-Kosten per locatie'!$A$14:$C$28,3,FALSE)</f>
        <v>#DIV/0!</v>
      </c>
      <c r="S204" s="259" t="e">
        <f>IF(M204&gt;0,M204*I204/Y204,0)*VLOOKUP(B204,'2-Kosten per locatie'!$A$14:$C$28,3,FALSE)</f>
        <v>#DIV/0!</v>
      </c>
      <c r="T204" s="259" t="e">
        <f>IF(N204&gt;0,N204*I204/Z204,0)*VLOOKUP(B204,'2-Kosten per locatie'!$A$14:$C$28,3,FALSE)</f>
        <v>#DIV/0!</v>
      </c>
      <c r="U204" s="259" t="e">
        <f>IF(O204&gt;0,O204*I204/Y204,0)*VLOOKUP(B204,'2-Kosten per locatie'!$A$14:$C$28,3,FALSE)</f>
        <v>#DIV/0!</v>
      </c>
      <c r="V204" s="259">
        <f>IF(P204&gt;0,P204*I204/Z204,0)*VLOOKUP(B204,'2-Kosten per locatie'!$A$14:$C$28,3,FALSE)</f>
        <v>0</v>
      </c>
      <c r="W204" s="348">
        <f>IF(K204="nio",0,IF(K204&gt;0,VLOOKUP(G204,'3-Productie normen'!A:N,VLOOKUP(K204,'3-Productie normen'!$B$27:$C$38,2,FALSE),FALSE)))</f>
        <v>0</v>
      </c>
      <c r="X204" s="348">
        <f t="shared" si="18"/>
        <v>0</v>
      </c>
      <c r="Y204" s="348">
        <f t="shared" si="19"/>
        <v>0</v>
      </c>
      <c r="Z204" s="348">
        <f t="shared" si="20"/>
        <v>0</v>
      </c>
      <c r="AA204" s="349">
        <f>VLOOKUP(G204,'3-Productie normen'!A:Q,15,FALSE)</f>
        <v>1367.5950000000007</v>
      </c>
      <c r="AB204" s="350">
        <f>VLOOKUP(G204,'3-Productie normen'!A:Q,16,FALSE)</f>
        <v>0</v>
      </c>
      <c r="AC204" s="349"/>
      <c r="AE204" s="351">
        <f t="shared" si="16"/>
        <v>19904.8</v>
      </c>
    </row>
    <row r="205" spans="1:31" ht="14.1" customHeight="1">
      <c r="A205" s="76">
        <v>205</v>
      </c>
      <c r="B205" s="496" t="s">
        <v>300</v>
      </c>
      <c r="C205" s="312" t="s">
        <v>301</v>
      </c>
      <c r="D205" s="345" t="s">
        <v>307</v>
      </c>
      <c r="E205" s="346">
        <v>3</v>
      </c>
      <c r="F205" s="312" t="s">
        <v>363</v>
      </c>
      <c r="G205" s="312" t="s">
        <v>341</v>
      </c>
      <c r="H205" s="72" t="s">
        <v>311</v>
      </c>
      <c r="I205" s="502">
        <v>11</v>
      </c>
      <c r="J205" s="347">
        <f t="shared" si="17"/>
        <v>716</v>
      </c>
      <c r="K205" s="260">
        <v>255</v>
      </c>
      <c r="L205" s="260">
        <v>255</v>
      </c>
      <c r="M205" s="260">
        <v>102</v>
      </c>
      <c r="N205" s="260">
        <v>102</v>
      </c>
      <c r="O205" s="260">
        <v>2</v>
      </c>
      <c r="P205" s="260"/>
      <c r="Q205" s="259" t="e">
        <f>IF(K205="nio",0,IF(K205&gt;0,K205*I205/W205,0))*VLOOKUP(B205,'2-Kosten per locatie'!$A$14:$C$28,3,FALSE)</f>
        <v>#DIV/0!</v>
      </c>
      <c r="R205" s="259" t="e">
        <f>IF(L205&gt;0,L205*I205/X205,0)*VLOOKUP(B205,'2-Kosten per locatie'!$A$14:$C$28,3,FALSE)</f>
        <v>#DIV/0!</v>
      </c>
      <c r="S205" s="259" t="e">
        <f>IF(M205&gt;0,M205*I205/Y205,0)*VLOOKUP(B205,'2-Kosten per locatie'!$A$14:$C$28,3,FALSE)</f>
        <v>#DIV/0!</v>
      </c>
      <c r="T205" s="259" t="e">
        <f>IF(N205&gt;0,N205*I205/Z205,0)*VLOOKUP(B205,'2-Kosten per locatie'!$A$14:$C$28,3,FALSE)</f>
        <v>#DIV/0!</v>
      </c>
      <c r="U205" s="259" t="e">
        <f>IF(O205&gt;0,O205*I205/Y205,0)*VLOOKUP(B205,'2-Kosten per locatie'!$A$14:$C$28,3,FALSE)</f>
        <v>#DIV/0!</v>
      </c>
      <c r="V205" s="259">
        <f>IF(P205&gt;0,P205*I205/Z205,0)*VLOOKUP(B205,'2-Kosten per locatie'!$A$14:$C$28,3,FALSE)</f>
        <v>0</v>
      </c>
      <c r="W205" s="348">
        <f>IF(K205="nio",0,IF(K205&gt;0,VLOOKUP(G205,'3-Productie normen'!A:N,VLOOKUP(K205,'3-Productie normen'!$B$27:$C$38,2,FALSE),FALSE)))</f>
        <v>0</v>
      </c>
      <c r="X205" s="348">
        <f t="shared" si="18"/>
        <v>0</v>
      </c>
      <c r="Y205" s="348">
        <f t="shared" si="19"/>
        <v>0</v>
      </c>
      <c r="Z205" s="348">
        <f t="shared" si="20"/>
        <v>0</v>
      </c>
      <c r="AA205" s="349">
        <f>VLOOKUP(G205,'3-Productie normen'!A:Q,15,FALSE)</f>
        <v>452.79000000000019</v>
      </c>
      <c r="AB205" s="350">
        <f>VLOOKUP(G205,'3-Productie normen'!A:Q,16,FALSE)</f>
        <v>0</v>
      </c>
      <c r="AC205" s="349"/>
      <c r="AE205" s="351">
        <f t="shared" si="16"/>
        <v>7876</v>
      </c>
    </row>
    <row r="206" spans="1:31" ht="14.1" customHeight="1">
      <c r="A206" s="76">
        <v>206</v>
      </c>
      <c r="B206" s="496" t="s">
        <v>300</v>
      </c>
      <c r="C206" s="312" t="s">
        <v>301</v>
      </c>
      <c r="D206" s="345" t="s">
        <v>307</v>
      </c>
      <c r="E206" s="346">
        <v>4</v>
      </c>
      <c r="F206" s="312" t="s">
        <v>362</v>
      </c>
      <c r="G206" s="312" t="s">
        <v>81</v>
      </c>
      <c r="H206" s="72" t="s">
        <v>311</v>
      </c>
      <c r="I206" s="502">
        <v>1.64</v>
      </c>
      <c r="J206" s="347">
        <f t="shared" si="17"/>
        <v>716</v>
      </c>
      <c r="K206" s="260">
        <v>255</v>
      </c>
      <c r="L206" s="260">
        <v>255</v>
      </c>
      <c r="M206" s="260">
        <v>102</v>
      </c>
      <c r="N206" s="260">
        <v>102</v>
      </c>
      <c r="O206" s="260">
        <v>2</v>
      </c>
      <c r="P206" s="260"/>
      <c r="Q206" s="259" t="e">
        <f>IF(K206="nio",0,IF(K206&gt;0,K206*I206/W206,0))*VLOOKUP(B206,'2-Kosten per locatie'!$A$14:$C$28,3,FALSE)</f>
        <v>#DIV/0!</v>
      </c>
      <c r="R206" s="259" t="e">
        <f>IF(L206&gt;0,L206*I206/X206,0)*VLOOKUP(B206,'2-Kosten per locatie'!$A$14:$C$28,3,FALSE)</f>
        <v>#DIV/0!</v>
      </c>
      <c r="S206" s="259" t="e">
        <f>IF(M206&gt;0,M206*I206/Y206,0)*VLOOKUP(B206,'2-Kosten per locatie'!$A$14:$C$28,3,FALSE)</f>
        <v>#DIV/0!</v>
      </c>
      <c r="T206" s="259" t="e">
        <f>IF(N206&gt;0,N206*I206/Z206,0)*VLOOKUP(B206,'2-Kosten per locatie'!$A$14:$C$28,3,FALSE)</f>
        <v>#DIV/0!</v>
      </c>
      <c r="U206" s="259" t="e">
        <f>IF(O206&gt;0,O206*I206/Y206,0)*VLOOKUP(B206,'2-Kosten per locatie'!$A$14:$C$28,3,FALSE)</f>
        <v>#DIV/0!</v>
      </c>
      <c r="V206" s="259">
        <f>IF(P206&gt;0,P206*I206/Z206,0)*VLOOKUP(B206,'2-Kosten per locatie'!$A$14:$C$28,3,FALSE)</f>
        <v>0</v>
      </c>
      <c r="W206" s="348">
        <f>IF(K206="nio",0,IF(K206&gt;0,VLOOKUP(G206,'3-Productie normen'!A:N,VLOOKUP(K206,'3-Productie normen'!$B$27:$C$38,2,FALSE),FALSE)))</f>
        <v>0</v>
      </c>
      <c r="X206" s="348">
        <f t="shared" si="18"/>
        <v>0</v>
      </c>
      <c r="Y206" s="348">
        <f t="shared" si="19"/>
        <v>0</v>
      </c>
      <c r="Z206" s="348">
        <f t="shared" si="20"/>
        <v>0</v>
      </c>
      <c r="AA206" s="349">
        <f>VLOOKUP(G206,'3-Productie normen'!A:Q,15,FALSE)</f>
        <v>235.06999999999988</v>
      </c>
      <c r="AB206" s="350">
        <f>VLOOKUP(G206,'3-Productie normen'!A:Q,16,FALSE)</f>
        <v>0</v>
      </c>
      <c r="AC206" s="349"/>
      <c r="AE206" s="351">
        <f t="shared" si="16"/>
        <v>1174.24</v>
      </c>
    </row>
    <row r="207" spans="1:31" ht="14.1" customHeight="1">
      <c r="A207" s="76">
        <v>207</v>
      </c>
      <c r="B207" s="496" t="s">
        <v>300</v>
      </c>
      <c r="C207" s="312" t="s">
        <v>301</v>
      </c>
      <c r="D207" s="345" t="s">
        <v>307</v>
      </c>
      <c r="E207" s="346">
        <v>5</v>
      </c>
      <c r="F207" s="72" t="s">
        <v>323</v>
      </c>
      <c r="G207" s="72" t="s">
        <v>461</v>
      </c>
      <c r="H207" s="72" t="s">
        <v>330</v>
      </c>
      <c r="I207" s="502">
        <v>7</v>
      </c>
      <c r="J207" s="347">
        <f t="shared" si="17"/>
        <v>0</v>
      </c>
      <c r="K207" s="260" t="s">
        <v>460</v>
      </c>
      <c r="L207" s="260"/>
      <c r="M207" s="260"/>
      <c r="N207" s="260"/>
      <c r="O207" s="260"/>
      <c r="P207" s="260"/>
      <c r="Q207" s="259">
        <f>IF(K207="nio",0,IF(K207&gt;0,K207*I207/W207,0))*VLOOKUP(B207,'2-Kosten per locatie'!$A$14:$C$28,3,FALSE)</f>
        <v>0</v>
      </c>
      <c r="R207" s="259">
        <f>IF(L207&gt;0,L207*I207/X207,0)*VLOOKUP(B207,'2-Kosten per locatie'!$A$14:$C$28,3,FALSE)</f>
        <v>0</v>
      </c>
      <c r="S207" s="259">
        <f>IF(M207&gt;0,M207*I207/Y207,0)*VLOOKUP(B207,'2-Kosten per locatie'!$A$14:$C$28,3,FALSE)</f>
        <v>0</v>
      </c>
      <c r="T207" s="259">
        <f>IF(N207&gt;0,N207*I207/Z207,0)*VLOOKUP(B207,'2-Kosten per locatie'!$A$14:$C$28,3,FALSE)</f>
        <v>0</v>
      </c>
      <c r="U207" s="259">
        <f>IF(O207&gt;0,O207*I207/Y207,0)*VLOOKUP(B207,'2-Kosten per locatie'!$A$14:$C$28,3,FALSE)</f>
        <v>0</v>
      </c>
      <c r="V207" s="259">
        <f>IF(P207&gt;0,P207*I207/Z207,0)*VLOOKUP(B207,'2-Kosten per locatie'!$A$14:$C$28,3,FALSE)</f>
        <v>0</v>
      </c>
      <c r="W207" s="348">
        <f>IF(K207="nio",0,IF(K207&gt;0,VLOOKUP(G207,'3-Productie normen'!A:N,VLOOKUP(K207,'3-Productie normen'!$B$27:$C$38,2,FALSE),FALSE)))</f>
        <v>0</v>
      </c>
      <c r="X207" s="348">
        <f t="shared" si="18"/>
        <v>0</v>
      </c>
      <c r="Y207" s="348">
        <f t="shared" si="19"/>
        <v>0</v>
      </c>
      <c r="Z207" s="348">
        <f t="shared" si="20"/>
        <v>0</v>
      </c>
      <c r="AA207" s="349" t="e">
        <f>VLOOKUP(G207,'3-Productie normen'!A:Q,15,FALSE)</f>
        <v>#N/A</v>
      </c>
      <c r="AB207" s="350" t="e">
        <f>VLOOKUP(G207,'3-Productie normen'!A:Q,16,FALSE)</f>
        <v>#N/A</v>
      </c>
      <c r="AC207" s="349"/>
      <c r="AE207" s="351">
        <f t="shared" si="16"/>
        <v>0</v>
      </c>
    </row>
    <row r="208" spans="1:31" ht="14.1" customHeight="1">
      <c r="A208" s="76">
        <v>208</v>
      </c>
      <c r="B208" s="496" t="s">
        <v>300</v>
      </c>
      <c r="C208" s="312" t="s">
        <v>301</v>
      </c>
      <c r="D208" s="345" t="s">
        <v>307</v>
      </c>
      <c r="E208" s="346">
        <v>6</v>
      </c>
      <c r="F208" s="72" t="s">
        <v>323</v>
      </c>
      <c r="G208" s="72" t="s">
        <v>461</v>
      </c>
      <c r="H208" s="72" t="s">
        <v>311</v>
      </c>
      <c r="I208" s="502">
        <v>7.08</v>
      </c>
      <c r="J208" s="347">
        <f t="shared" si="17"/>
        <v>0</v>
      </c>
      <c r="K208" s="260" t="s">
        <v>460</v>
      </c>
      <c r="L208" s="260"/>
      <c r="M208" s="260"/>
      <c r="N208" s="260"/>
      <c r="O208" s="260"/>
      <c r="P208" s="260"/>
      <c r="Q208" s="259">
        <f>IF(K208="nio",0,IF(K208&gt;0,K208*I208/W208,0))*VLOOKUP(B208,'2-Kosten per locatie'!$A$14:$C$28,3,FALSE)</f>
        <v>0</v>
      </c>
      <c r="R208" s="259">
        <f>IF(L208&gt;0,L208*I208/X208,0)*VLOOKUP(B208,'2-Kosten per locatie'!$A$14:$C$28,3,FALSE)</f>
        <v>0</v>
      </c>
      <c r="S208" s="259">
        <f>IF(M208&gt;0,M208*I208/Y208,0)*VLOOKUP(B208,'2-Kosten per locatie'!$A$14:$C$28,3,FALSE)</f>
        <v>0</v>
      </c>
      <c r="T208" s="259">
        <f>IF(N208&gt;0,N208*I208/Z208,0)*VLOOKUP(B208,'2-Kosten per locatie'!$A$14:$C$28,3,FALSE)</f>
        <v>0</v>
      </c>
      <c r="U208" s="259">
        <f>IF(O208&gt;0,O208*I208/Y208,0)*VLOOKUP(B208,'2-Kosten per locatie'!$A$14:$C$28,3,FALSE)</f>
        <v>0</v>
      </c>
      <c r="V208" s="259">
        <f>IF(P208&gt;0,P208*I208/Z208,0)*VLOOKUP(B208,'2-Kosten per locatie'!$A$14:$C$28,3,FALSE)</f>
        <v>0</v>
      </c>
      <c r="W208" s="348">
        <f>IF(K208="nio",0,IF(K208&gt;0,VLOOKUP(G208,'3-Productie normen'!A:N,VLOOKUP(K208,'3-Productie normen'!$B$27:$C$38,2,FALSE),FALSE)))</f>
        <v>0</v>
      </c>
      <c r="X208" s="348">
        <f t="shared" si="18"/>
        <v>0</v>
      </c>
      <c r="Y208" s="348">
        <f t="shared" si="19"/>
        <v>0</v>
      </c>
      <c r="Z208" s="348">
        <f t="shared" si="20"/>
        <v>0</v>
      </c>
      <c r="AA208" s="349" t="e">
        <f>VLOOKUP(G208,'3-Productie normen'!A:Q,15,FALSE)</f>
        <v>#N/A</v>
      </c>
      <c r="AB208" s="350" t="e">
        <f>VLOOKUP(G208,'3-Productie normen'!A:Q,16,FALSE)</f>
        <v>#N/A</v>
      </c>
      <c r="AC208" s="349"/>
      <c r="AE208" s="351">
        <f t="shared" si="16"/>
        <v>0</v>
      </c>
    </row>
    <row r="209" spans="1:31" ht="14.1" customHeight="1">
      <c r="A209" s="76">
        <v>209</v>
      </c>
      <c r="B209" s="496" t="s">
        <v>300</v>
      </c>
      <c r="C209" s="312" t="s">
        <v>301</v>
      </c>
      <c r="D209" s="345" t="s">
        <v>307</v>
      </c>
      <c r="E209" s="346">
        <v>7</v>
      </c>
      <c r="F209" s="72" t="s">
        <v>364</v>
      </c>
      <c r="G209" s="72" t="s">
        <v>85</v>
      </c>
      <c r="H209" s="72" t="s">
        <v>311</v>
      </c>
      <c r="I209" s="502">
        <v>27.8</v>
      </c>
      <c r="J209" s="347">
        <f t="shared" si="17"/>
        <v>716</v>
      </c>
      <c r="K209" s="260">
        <v>255</v>
      </c>
      <c r="L209" s="260">
        <v>255</v>
      </c>
      <c r="M209" s="260">
        <v>102</v>
      </c>
      <c r="N209" s="260">
        <v>102</v>
      </c>
      <c r="O209" s="260">
        <v>2</v>
      </c>
      <c r="P209" s="260"/>
      <c r="Q209" s="259" t="e">
        <f>IF(K209="nio",0,IF(K209&gt;0,K209*I209/W209,0))*VLOOKUP(B209,'2-Kosten per locatie'!$A$14:$C$28,3,FALSE)</f>
        <v>#DIV/0!</v>
      </c>
      <c r="R209" s="259" t="e">
        <f>IF(L209&gt;0,L209*I209/X209,0)*VLOOKUP(B209,'2-Kosten per locatie'!$A$14:$C$28,3,FALSE)</f>
        <v>#DIV/0!</v>
      </c>
      <c r="S209" s="259" t="e">
        <f>IF(M209&gt;0,M209*I209/Y209,0)*VLOOKUP(B209,'2-Kosten per locatie'!$A$14:$C$28,3,FALSE)</f>
        <v>#DIV/0!</v>
      </c>
      <c r="T209" s="259" t="e">
        <f>IF(N209&gt;0,N209*I209/Z209,0)*VLOOKUP(B209,'2-Kosten per locatie'!$A$14:$C$28,3,FALSE)</f>
        <v>#DIV/0!</v>
      </c>
      <c r="U209" s="259" t="e">
        <f>IF(O209&gt;0,O209*I209/Y209,0)*VLOOKUP(B209,'2-Kosten per locatie'!$A$14:$C$28,3,FALSE)</f>
        <v>#DIV/0!</v>
      </c>
      <c r="V209" s="259">
        <f>IF(P209&gt;0,P209*I209/Z209,0)*VLOOKUP(B209,'2-Kosten per locatie'!$A$14:$C$28,3,FALSE)</f>
        <v>0</v>
      </c>
      <c r="W209" s="348">
        <f>IF(K209="nio",0,IF(K209&gt;0,VLOOKUP(G209,'3-Productie normen'!A:N,VLOOKUP(K209,'3-Productie normen'!$B$27:$C$38,2,FALSE),FALSE)))</f>
        <v>0</v>
      </c>
      <c r="X209" s="348">
        <f t="shared" si="18"/>
        <v>0</v>
      </c>
      <c r="Y209" s="348">
        <f t="shared" si="19"/>
        <v>0</v>
      </c>
      <c r="Z209" s="348">
        <f t="shared" si="20"/>
        <v>0</v>
      </c>
      <c r="AA209" s="349">
        <f>VLOOKUP(G209,'3-Productie normen'!A:Q,15,FALSE)</f>
        <v>1367.5950000000007</v>
      </c>
      <c r="AB209" s="350">
        <f>VLOOKUP(G209,'3-Productie normen'!A:Q,16,FALSE)</f>
        <v>0</v>
      </c>
      <c r="AC209" s="349"/>
      <c r="AE209" s="351">
        <f t="shared" si="16"/>
        <v>19904.8</v>
      </c>
    </row>
    <row r="210" spans="1:31" ht="14.1" customHeight="1">
      <c r="A210" s="76">
        <v>210</v>
      </c>
      <c r="B210" s="496" t="s">
        <v>300</v>
      </c>
      <c r="C210" s="312" t="s">
        <v>301</v>
      </c>
      <c r="D210" s="345" t="s">
        <v>307</v>
      </c>
      <c r="E210" s="346">
        <v>8</v>
      </c>
      <c r="F210" s="72" t="s">
        <v>366</v>
      </c>
      <c r="G210" s="72" t="s">
        <v>341</v>
      </c>
      <c r="H210" s="72" t="s">
        <v>311</v>
      </c>
      <c r="I210" s="502">
        <v>11</v>
      </c>
      <c r="J210" s="347">
        <f t="shared" si="17"/>
        <v>716</v>
      </c>
      <c r="K210" s="260">
        <v>255</v>
      </c>
      <c r="L210" s="260">
        <v>255</v>
      </c>
      <c r="M210" s="260">
        <v>102</v>
      </c>
      <c r="N210" s="260">
        <v>102</v>
      </c>
      <c r="O210" s="260">
        <v>2</v>
      </c>
      <c r="P210" s="260"/>
      <c r="Q210" s="259" t="e">
        <f>IF(K210="nio",0,IF(K210&gt;0,K210*I210/W210,0))*VLOOKUP(B210,'2-Kosten per locatie'!$A$14:$C$28,3,FALSE)</f>
        <v>#DIV/0!</v>
      </c>
      <c r="R210" s="259" t="e">
        <f>IF(L210&gt;0,L210*I210/X210,0)*VLOOKUP(B210,'2-Kosten per locatie'!$A$14:$C$28,3,FALSE)</f>
        <v>#DIV/0!</v>
      </c>
      <c r="S210" s="259" t="e">
        <f>IF(M210&gt;0,M210*I210/Y210,0)*VLOOKUP(B210,'2-Kosten per locatie'!$A$14:$C$28,3,FALSE)</f>
        <v>#DIV/0!</v>
      </c>
      <c r="T210" s="259" t="e">
        <f>IF(N210&gt;0,N210*I210/Z210,0)*VLOOKUP(B210,'2-Kosten per locatie'!$A$14:$C$28,3,FALSE)</f>
        <v>#DIV/0!</v>
      </c>
      <c r="U210" s="259" t="e">
        <f>IF(O210&gt;0,O210*I210/Y210,0)*VLOOKUP(B210,'2-Kosten per locatie'!$A$14:$C$28,3,FALSE)</f>
        <v>#DIV/0!</v>
      </c>
      <c r="V210" s="259">
        <f>IF(P210&gt;0,P210*I210/Z210,0)*VLOOKUP(B210,'2-Kosten per locatie'!$A$14:$C$28,3,FALSE)</f>
        <v>0</v>
      </c>
      <c r="W210" s="348">
        <f>IF(K210="nio",0,IF(K210&gt;0,VLOOKUP(G210,'3-Productie normen'!A:N,VLOOKUP(K210,'3-Productie normen'!$B$27:$C$38,2,FALSE),FALSE)))</f>
        <v>0</v>
      </c>
      <c r="X210" s="348">
        <f t="shared" si="18"/>
        <v>0</v>
      </c>
      <c r="Y210" s="348">
        <f t="shared" si="19"/>
        <v>0</v>
      </c>
      <c r="Z210" s="348">
        <f t="shared" si="20"/>
        <v>0</v>
      </c>
      <c r="AA210" s="349">
        <f>VLOOKUP(G210,'3-Productie normen'!A:Q,15,FALSE)</f>
        <v>452.79000000000019</v>
      </c>
      <c r="AB210" s="350">
        <f>VLOOKUP(G210,'3-Productie normen'!A:Q,16,FALSE)</f>
        <v>0</v>
      </c>
      <c r="AC210" s="349"/>
      <c r="AE210" s="351">
        <f t="shared" si="16"/>
        <v>7876</v>
      </c>
    </row>
    <row r="211" spans="1:31" ht="14.1" customHeight="1">
      <c r="A211" s="76">
        <v>211</v>
      </c>
      <c r="B211" s="496" t="s">
        <v>300</v>
      </c>
      <c r="C211" s="312" t="s">
        <v>301</v>
      </c>
      <c r="D211" s="345" t="s">
        <v>307</v>
      </c>
      <c r="E211" s="346">
        <v>9</v>
      </c>
      <c r="F211" s="312" t="s">
        <v>365</v>
      </c>
      <c r="G211" s="312" t="s">
        <v>81</v>
      </c>
      <c r="H211" s="72" t="s">
        <v>311</v>
      </c>
      <c r="I211" s="502">
        <v>1.64</v>
      </c>
      <c r="J211" s="347">
        <f t="shared" si="17"/>
        <v>716</v>
      </c>
      <c r="K211" s="260">
        <v>255</v>
      </c>
      <c r="L211" s="260">
        <v>255</v>
      </c>
      <c r="M211" s="260">
        <v>102</v>
      </c>
      <c r="N211" s="260">
        <v>102</v>
      </c>
      <c r="O211" s="260">
        <v>2</v>
      </c>
      <c r="P211" s="260"/>
      <c r="Q211" s="259" t="e">
        <f>IF(K211="nio",0,IF(K211&gt;0,K211*I211/W211,0))*VLOOKUP(B211,'2-Kosten per locatie'!$A$14:$C$28,3,FALSE)</f>
        <v>#DIV/0!</v>
      </c>
      <c r="R211" s="259" t="e">
        <f>IF(L211&gt;0,L211*I211/X211,0)*VLOOKUP(B211,'2-Kosten per locatie'!$A$14:$C$28,3,FALSE)</f>
        <v>#DIV/0!</v>
      </c>
      <c r="S211" s="259" t="e">
        <f>IF(M211&gt;0,M211*I211/Y211,0)*VLOOKUP(B211,'2-Kosten per locatie'!$A$14:$C$28,3,FALSE)</f>
        <v>#DIV/0!</v>
      </c>
      <c r="T211" s="259" t="e">
        <f>IF(N211&gt;0,N211*I211/Z211,0)*VLOOKUP(B211,'2-Kosten per locatie'!$A$14:$C$28,3,FALSE)</f>
        <v>#DIV/0!</v>
      </c>
      <c r="U211" s="259" t="e">
        <f>IF(O211&gt;0,O211*I211/Y211,0)*VLOOKUP(B211,'2-Kosten per locatie'!$A$14:$C$28,3,FALSE)</f>
        <v>#DIV/0!</v>
      </c>
      <c r="V211" s="259">
        <f>IF(P211&gt;0,P211*I211/Z211,0)*VLOOKUP(B211,'2-Kosten per locatie'!$A$14:$C$28,3,FALSE)</f>
        <v>0</v>
      </c>
      <c r="W211" s="348">
        <f>IF(K211="nio",0,IF(K211&gt;0,VLOOKUP(G211,'3-Productie normen'!A:N,VLOOKUP(K211,'3-Productie normen'!$B$27:$C$38,2,FALSE),FALSE)))</f>
        <v>0</v>
      </c>
      <c r="X211" s="348">
        <f t="shared" si="18"/>
        <v>0</v>
      </c>
      <c r="Y211" s="348">
        <f t="shared" si="19"/>
        <v>0</v>
      </c>
      <c r="Z211" s="348">
        <f t="shared" si="20"/>
        <v>0</v>
      </c>
      <c r="AA211" s="349">
        <f>VLOOKUP(G211,'3-Productie normen'!A:Q,15,FALSE)</f>
        <v>235.06999999999988</v>
      </c>
      <c r="AB211" s="350">
        <f>VLOOKUP(G211,'3-Productie normen'!A:Q,16,FALSE)</f>
        <v>0</v>
      </c>
      <c r="AC211" s="349"/>
      <c r="AE211" s="351">
        <f t="shared" si="16"/>
        <v>1174.24</v>
      </c>
    </row>
    <row r="212" spans="1:31" ht="14.1" customHeight="1">
      <c r="A212" s="76">
        <v>212</v>
      </c>
      <c r="B212" s="496" t="s">
        <v>300</v>
      </c>
      <c r="C212" s="312" t="s">
        <v>301</v>
      </c>
      <c r="D212" s="345" t="s">
        <v>307</v>
      </c>
      <c r="E212" s="346">
        <v>10</v>
      </c>
      <c r="F212" s="312" t="s">
        <v>312</v>
      </c>
      <c r="G212" s="312" t="s">
        <v>83</v>
      </c>
      <c r="H212" s="72" t="s">
        <v>311</v>
      </c>
      <c r="I212" s="502">
        <v>7.68</v>
      </c>
      <c r="J212" s="347">
        <f t="shared" si="17"/>
        <v>357</v>
      </c>
      <c r="K212" s="260">
        <v>255</v>
      </c>
      <c r="L212" s="260"/>
      <c r="M212" s="260">
        <v>102</v>
      </c>
      <c r="N212" s="260"/>
      <c r="O212" s="260"/>
      <c r="P212" s="260"/>
      <c r="Q212" s="259" t="e">
        <f>IF(K212="nio",0,IF(K212&gt;0,K212*I212/W212,0))*VLOOKUP(B212,'2-Kosten per locatie'!$A$14:$C$28,3,FALSE)</f>
        <v>#DIV/0!</v>
      </c>
      <c r="R212" s="259">
        <f>IF(L212&gt;0,L212*I212/X212,0)*VLOOKUP(B212,'2-Kosten per locatie'!$A$14:$C$28,3,FALSE)</f>
        <v>0</v>
      </c>
      <c r="S212" s="259" t="e">
        <f>IF(M212&gt;0,M212*I212/Y212,0)*VLOOKUP(B212,'2-Kosten per locatie'!$A$14:$C$28,3,FALSE)</f>
        <v>#DIV/0!</v>
      </c>
      <c r="T212" s="259">
        <f>IF(N212&gt;0,N212*I212/Z212,0)*VLOOKUP(B212,'2-Kosten per locatie'!$A$14:$C$28,3,FALSE)</f>
        <v>0</v>
      </c>
      <c r="U212" s="259">
        <f>IF(O212&gt;0,O212*I212/Y212,0)*VLOOKUP(B212,'2-Kosten per locatie'!$A$14:$C$28,3,FALSE)</f>
        <v>0</v>
      </c>
      <c r="V212" s="259">
        <f>IF(P212&gt;0,P212*I212/Z212,0)*VLOOKUP(B212,'2-Kosten per locatie'!$A$14:$C$28,3,FALSE)</f>
        <v>0</v>
      </c>
      <c r="W212" s="348">
        <f>IF(K212="nio",0,IF(K212&gt;0,VLOOKUP(G212,'3-Productie normen'!A:N,VLOOKUP(K212,'3-Productie normen'!$B$27:$C$38,2,FALSE),FALSE)))</f>
        <v>0</v>
      </c>
      <c r="X212" s="348">
        <f t="shared" si="18"/>
        <v>0</v>
      </c>
      <c r="Y212" s="348">
        <f t="shared" si="19"/>
        <v>0</v>
      </c>
      <c r="Z212" s="348">
        <f t="shared" si="20"/>
        <v>0</v>
      </c>
      <c r="AA212" s="349">
        <f>VLOOKUP(G212,'3-Productie normen'!A:Q,15,FALSE)</f>
        <v>773.68459999999982</v>
      </c>
      <c r="AB212" s="350">
        <f>VLOOKUP(G212,'3-Productie normen'!A:Q,16,FALSE)</f>
        <v>0</v>
      </c>
      <c r="AC212" s="349"/>
      <c r="AE212" s="351">
        <f t="shared" si="16"/>
        <v>2741.7599999999998</v>
      </c>
    </row>
    <row r="213" spans="1:31" ht="14.1" customHeight="1">
      <c r="A213" s="76">
        <v>213</v>
      </c>
      <c r="B213" s="496" t="s">
        <v>300</v>
      </c>
      <c r="C213" s="312" t="s">
        <v>301</v>
      </c>
      <c r="D213" s="345" t="s">
        <v>307</v>
      </c>
      <c r="E213" s="346"/>
      <c r="F213" s="312" t="s">
        <v>405</v>
      </c>
      <c r="G213" s="312" t="s">
        <v>81</v>
      </c>
      <c r="H213" s="72" t="s">
        <v>311</v>
      </c>
      <c r="I213" s="502">
        <v>1.5</v>
      </c>
      <c r="J213" s="347">
        <f t="shared" si="17"/>
        <v>716</v>
      </c>
      <c r="K213" s="260">
        <v>255</v>
      </c>
      <c r="L213" s="260">
        <v>255</v>
      </c>
      <c r="M213" s="260">
        <v>102</v>
      </c>
      <c r="N213" s="260">
        <v>102</v>
      </c>
      <c r="O213" s="260">
        <v>2</v>
      </c>
      <c r="P213" s="260"/>
      <c r="Q213" s="259" t="e">
        <f>IF(K213="nio",0,IF(K213&gt;0,K213*I213/W213,0))*VLOOKUP(B213,'2-Kosten per locatie'!$A$14:$C$28,3,FALSE)</f>
        <v>#DIV/0!</v>
      </c>
      <c r="R213" s="259" t="e">
        <f>IF(L213&gt;0,L213*I213/X213,0)*VLOOKUP(B213,'2-Kosten per locatie'!$A$14:$C$28,3,FALSE)</f>
        <v>#DIV/0!</v>
      </c>
      <c r="S213" s="259" t="e">
        <f>IF(M213&gt;0,M213*I213/Y213,0)*VLOOKUP(B213,'2-Kosten per locatie'!$A$14:$C$28,3,FALSE)</f>
        <v>#DIV/0!</v>
      </c>
      <c r="T213" s="259" t="e">
        <f>IF(N213&gt;0,N213*I213/Z213,0)*VLOOKUP(B213,'2-Kosten per locatie'!$A$14:$C$28,3,FALSE)</f>
        <v>#DIV/0!</v>
      </c>
      <c r="U213" s="259" t="e">
        <f>IF(O213&gt;0,O213*I213/Y213,0)*VLOOKUP(B213,'2-Kosten per locatie'!$A$14:$C$28,3,FALSE)</f>
        <v>#DIV/0!</v>
      </c>
      <c r="V213" s="259">
        <f>IF(P213&gt;0,P213*I213/Z213,0)*VLOOKUP(B213,'2-Kosten per locatie'!$A$14:$C$28,3,FALSE)</f>
        <v>0</v>
      </c>
      <c r="W213" s="348">
        <f>IF(K213="nio",0,IF(K213&gt;0,VLOOKUP(G213,'3-Productie normen'!A:N,VLOOKUP(K213,'3-Productie normen'!$B$27:$C$38,2,FALSE),FALSE)))</f>
        <v>0</v>
      </c>
      <c r="X213" s="348">
        <f t="shared" si="18"/>
        <v>0</v>
      </c>
      <c r="Y213" s="348">
        <f t="shared" si="19"/>
        <v>0</v>
      </c>
      <c r="Z213" s="348">
        <f t="shared" si="20"/>
        <v>0</v>
      </c>
      <c r="AA213" s="349">
        <f>VLOOKUP(G213,'3-Productie normen'!A:Q,15,FALSE)</f>
        <v>235.06999999999988</v>
      </c>
      <c r="AB213" s="350">
        <f>VLOOKUP(G213,'3-Productie normen'!A:Q,16,FALSE)</f>
        <v>0</v>
      </c>
      <c r="AC213" s="349"/>
      <c r="AE213" s="351">
        <f t="shared" si="16"/>
        <v>1074</v>
      </c>
    </row>
    <row r="214" spans="1:31" ht="14.1" customHeight="1">
      <c r="A214" s="76">
        <v>214</v>
      </c>
      <c r="B214" s="496" t="s">
        <v>300</v>
      </c>
      <c r="C214" s="312" t="s">
        <v>301</v>
      </c>
      <c r="D214" s="345" t="s">
        <v>307</v>
      </c>
      <c r="E214" s="346">
        <v>11</v>
      </c>
      <c r="F214" s="72" t="s">
        <v>406</v>
      </c>
      <c r="G214" s="72" t="s">
        <v>341</v>
      </c>
      <c r="H214" s="72" t="s">
        <v>311</v>
      </c>
      <c r="I214" s="502">
        <v>5.84</v>
      </c>
      <c r="J214" s="347">
        <f t="shared" si="17"/>
        <v>716</v>
      </c>
      <c r="K214" s="260">
        <v>255</v>
      </c>
      <c r="L214" s="260">
        <v>255</v>
      </c>
      <c r="M214" s="260">
        <v>102</v>
      </c>
      <c r="N214" s="260">
        <v>102</v>
      </c>
      <c r="O214" s="260">
        <v>2</v>
      </c>
      <c r="P214" s="260"/>
      <c r="Q214" s="259" t="e">
        <f>IF(K214="nio",0,IF(K214&gt;0,K214*I214/W214,0))*VLOOKUP(B214,'2-Kosten per locatie'!$A$14:$C$28,3,FALSE)</f>
        <v>#DIV/0!</v>
      </c>
      <c r="R214" s="259" t="e">
        <f>IF(L214&gt;0,L214*I214/X214,0)*VLOOKUP(B214,'2-Kosten per locatie'!$A$14:$C$28,3,FALSE)</f>
        <v>#DIV/0!</v>
      </c>
      <c r="S214" s="259" t="e">
        <f>IF(M214&gt;0,M214*I214/Y214,0)*VLOOKUP(B214,'2-Kosten per locatie'!$A$14:$C$28,3,FALSE)</f>
        <v>#DIV/0!</v>
      </c>
      <c r="T214" s="259" t="e">
        <f>IF(N214&gt;0,N214*I214/Z214,0)*VLOOKUP(B214,'2-Kosten per locatie'!$A$14:$C$28,3,FALSE)</f>
        <v>#DIV/0!</v>
      </c>
      <c r="U214" s="259" t="e">
        <f>IF(O214&gt;0,O214*I214/Y214,0)*VLOOKUP(B214,'2-Kosten per locatie'!$A$14:$C$28,3,FALSE)</f>
        <v>#DIV/0!</v>
      </c>
      <c r="V214" s="259">
        <f>IF(P214&gt;0,P214*I214/Z214,0)*VLOOKUP(B214,'2-Kosten per locatie'!$A$14:$C$28,3,FALSE)</f>
        <v>0</v>
      </c>
      <c r="W214" s="348">
        <f>IF(K214="nio",0,IF(K214&gt;0,VLOOKUP(G214,'3-Productie normen'!A:N,VLOOKUP(K214,'3-Productie normen'!$B$27:$C$38,2,FALSE),FALSE)))</f>
        <v>0</v>
      </c>
      <c r="X214" s="348">
        <f t="shared" si="18"/>
        <v>0</v>
      </c>
      <c r="Y214" s="348">
        <f t="shared" si="19"/>
        <v>0</v>
      </c>
      <c r="Z214" s="348">
        <f t="shared" si="20"/>
        <v>0</v>
      </c>
      <c r="AA214" s="349">
        <f>VLOOKUP(G214,'3-Productie normen'!A:Q,15,FALSE)</f>
        <v>452.79000000000019</v>
      </c>
      <c r="AB214" s="350">
        <f>VLOOKUP(G214,'3-Productie normen'!A:Q,16,FALSE)</f>
        <v>0</v>
      </c>
      <c r="AC214" s="349"/>
      <c r="AE214" s="351">
        <f t="shared" si="16"/>
        <v>4181.4399999999996</v>
      </c>
    </row>
    <row r="215" spans="1:31" ht="14.1" customHeight="1">
      <c r="A215" s="76">
        <v>215</v>
      </c>
      <c r="B215" s="496" t="s">
        <v>300</v>
      </c>
      <c r="C215" s="312" t="s">
        <v>301</v>
      </c>
      <c r="D215" s="345" t="s">
        <v>307</v>
      </c>
      <c r="E215" s="346">
        <v>12</v>
      </c>
      <c r="F215" s="72" t="s">
        <v>406</v>
      </c>
      <c r="G215" s="72" t="s">
        <v>341</v>
      </c>
      <c r="H215" s="72" t="s">
        <v>311</v>
      </c>
      <c r="I215" s="502">
        <v>5.84</v>
      </c>
      <c r="J215" s="347">
        <f t="shared" si="17"/>
        <v>716</v>
      </c>
      <c r="K215" s="260">
        <v>255</v>
      </c>
      <c r="L215" s="260">
        <v>255</v>
      </c>
      <c r="M215" s="260">
        <v>102</v>
      </c>
      <c r="N215" s="260">
        <v>102</v>
      </c>
      <c r="O215" s="260">
        <v>2</v>
      </c>
      <c r="P215" s="260"/>
      <c r="Q215" s="259" t="e">
        <f>IF(K215="nio",0,IF(K215&gt;0,K215*I215/W215,0))*VLOOKUP(B215,'2-Kosten per locatie'!$A$14:$C$28,3,FALSE)</f>
        <v>#DIV/0!</v>
      </c>
      <c r="R215" s="259" t="e">
        <f>IF(L215&gt;0,L215*I215/X215,0)*VLOOKUP(B215,'2-Kosten per locatie'!$A$14:$C$28,3,FALSE)</f>
        <v>#DIV/0!</v>
      </c>
      <c r="S215" s="259" t="e">
        <f>IF(M215&gt;0,M215*I215/Y215,0)*VLOOKUP(B215,'2-Kosten per locatie'!$A$14:$C$28,3,FALSE)</f>
        <v>#DIV/0!</v>
      </c>
      <c r="T215" s="259" t="e">
        <f>IF(N215&gt;0,N215*I215/Z215,0)*VLOOKUP(B215,'2-Kosten per locatie'!$A$14:$C$28,3,FALSE)</f>
        <v>#DIV/0!</v>
      </c>
      <c r="U215" s="259" t="e">
        <f>IF(O215&gt;0,O215*I215/Y215,0)*VLOOKUP(B215,'2-Kosten per locatie'!$A$14:$C$28,3,FALSE)</f>
        <v>#DIV/0!</v>
      </c>
      <c r="V215" s="259">
        <f>IF(P215&gt;0,P215*I215/Z215,0)*VLOOKUP(B215,'2-Kosten per locatie'!$A$14:$C$28,3,FALSE)</f>
        <v>0</v>
      </c>
      <c r="W215" s="348">
        <f>IF(K215="nio",0,IF(K215&gt;0,VLOOKUP(G215,'3-Productie normen'!A:N,VLOOKUP(K215,'3-Productie normen'!$B$27:$C$38,2,FALSE),FALSE)))</f>
        <v>0</v>
      </c>
      <c r="X215" s="348">
        <f t="shared" si="18"/>
        <v>0</v>
      </c>
      <c r="Y215" s="348">
        <f t="shared" si="19"/>
        <v>0</v>
      </c>
      <c r="Z215" s="348">
        <f t="shared" si="20"/>
        <v>0</v>
      </c>
      <c r="AA215" s="349">
        <f>VLOOKUP(G215,'3-Productie normen'!A:Q,15,FALSE)</f>
        <v>452.79000000000019</v>
      </c>
      <c r="AB215" s="350">
        <f>VLOOKUP(G215,'3-Productie normen'!A:Q,16,FALSE)</f>
        <v>0</v>
      </c>
      <c r="AC215" s="349"/>
      <c r="AE215" s="351">
        <f t="shared" si="16"/>
        <v>4181.4399999999996</v>
      </c>
    </row>
    <row r="216" spans="1:31" ht="14.1" customHeight="1">
      <c r="A216" s="76">
        <v>216</v>
      </c>
      <c r="B216" s="496" t="s">
        <v>300</v>
      </c>
      <c r="C216" s="312" t="s">
        <v>301</v>
      </c>
      <c r="D216" s="345" t="s">
        <v>307</v>
      </c>
      <c r="E216" s="346">
        <v>13</v>
      </c>
      <c r="F216" s="72" t="s">
        <v>401</v>
      </c>
      <c r="G216" s="72" t="s">
        <v>79</v>
      </c>
      <c r="H216" s="72" t="s">
        <v>330</v>
      </c>
      <c r="I216" s="502">
        <v>5.08</v>
      </c>
      <c r="J216" s="347">
        <f t="shared" si="17"/>
        <v>255</v>
      </c>
      <c r="K216" s="260">
        <v>255</v>
      </c>
      <c r="L216" s="260"/>
      <c r="M216" s="260"/>
      <c r="N216" s="260"/>
      <c r="O216" s="260"/>
      <c r="P216" s="260"/>
      <c r="Q216" s="259" t="e">
        <f>IF(K216="nio",0,IF(K216&gt;0,K216*I216/W216,0))*VLOOKUP(B216,'2-Kosten per locatie'!$A$14:$C$28,3,FALSE)</f>
        <v>#DIV/0!</v>
      </c>
      <c r="R216" s="259">
        <f>IF(L216&gt;0,L216*I216/X216,0)*VLOOKUP(B216,'2-Kosten per locatie'!$A$14:$C$28,3,FALSE)</f>
        <v>0</v>
      </c>
      <c r="S216" s="259">
        <f>IF(M216&gt;0,M216*I216/Y216,0)*VLOOKUP(B216,'2-Kosten per locatie'!$A$14:$C$28,3,FALSE)</f>
        <v>0</v>
      </c>
      <c r="T216" s="259">
        <f>IF(N216&gt;0,N216*I216/Z216,0)*VLOOKUP(B216,'2-Kosten per locatie'!$A$14:$C$28,3,FALSE)</f>
        <v>0</v>
      </c>
      <c r="U216" s="259">
        <f>IF(O216&gt;0,O216*I216/Y216,0)*VLOOKUP(B216,'2-Kosten per locatie'!$A$14:$C$28,3,FALSE)</f>
        <v>0</v>
      </c>
      <c r="V216" s="259">
        <f>IF(P216&gt;0,P216*I216/Z216,0)*VLOOKUP(B216,'2-Kosten per locatie'!$A$14:$C$28,3,FALSE)</f>
        <v>0</v>
      </c>
      <c r="W216" s="348">
        <f>IF(K216="nio",0,IF(K216&gt;0,VLOOKUP(G216,'3-Productie normen'!A:N,VLOOKUP(K216,'3-Productie normen'!$B$27:$C$38,2,FALSE),FALSE)))</f>
        <v>0</v>
      </c>
      <c r="X216" s="348">
        <f t="shared" si="18"/>
        <v>0</v>
      </c>
      <c r="Y216" s="348">
        <f t="shared" si="19"/>
        <v>0</v>
      </c>
      <c r="Z216" s="348">
        <f t="shared" si="20"/>
        <v>0</v>
      </c>
      <c r="AA216" s="349">
        <f>VLOOKUP(G216,'3-Productie normen'!A:Q,15,FALSE)</f>
        <v>78.010000000000005</v>
      </c>
      <c r="AB216" s="350">
        <f>VLOOKUP(G216,'3-Productie normen'!A:Q,16,FALSE)</f>
        <v>0</v>
      </c>
      <c r="AC216" s="349"/>
      <c r="AE216" s="351">
        <f t="shared" si="16"/>
        <v>1295.4000000000001</v>
      </c>
    </row>
    <row r="217" spans="1:31" ht="14.1" customHeight="1">
      <c r="A217" s="76">
        <v>217</v>
      </c>
      <c r="B217" s="496" t="s">
        <v>300</v>
      </c>
      <c r="C217" s="312" t="s">
        <v>301</v>
      </c>
      <c r="D217" s="345" t="s">
        <v>307</v>
      </c>
      <c r="E217" s="346">
        <v>14</v>
      </c>
      <c r="F217" s="72" t="s">
        <v>317</v>
      </c>
      <c r="G217" s="72" t="s">
        <v>355</v>
      </c>
      <c r="H217" s="72" t="s">
        <v>316</v>
      </c>
      <c r="I217" s="502">
        <v>1038.72</v>
      </c>
      <c r="J217" s="347">
        <f t="shared" si="17"/>
        <v>357</v>
      </c>
      <c r="K217" s="260">
        <v>255</v>
      </c>
      <c r="L217" s="260"/>
      <c r="M217" s="260">
        <v>102</v>
      </c>
      <c r="N217" s="260"/>
      <c r="O217" s="260"/>
      <c r="P217" s="260"/>
      <c r="Q217" s="259" t="e">
        <f>IF(K217="nio",0,IF(K217&gt;0,K217*I217/W217,0))*VLOOKUP(B217,'2-Kosten per locatie'!$A$14:$C$28,3,FALSE)</f>
        <v>#DIV/0!</v>
      </c>
      <c r="R217" s="259">
        <f>IF(L217&gt;0,L217*I217/X217,0)*VLOOKUP(B217,'2-Kosten per locatie'!$A$14:$C$28,3,FALSE)</f>
        <v>0</v>
      </c>
      <c r="S217" s="259" t="e">
        <f>IF(M217&gt;0,M217*I217/Y217,0)*VLOOKUP(B217,'2-Kosten per locatie'!$A$14:$C$28,3,FALSE)</f>
        <v>#DIV/0!</v>
      </c>
      <c r="T217" s="259">
        <f>IF(N217&gt;0,N217*I217/Z217,0)*VLOOKUP(B217,'2-Kosten per locatie'!$A$14:$C$28,3,FALSE)</f>
        <v>0</v>
      </c>
      <c r="U217" s="259">
        <f>IF(O217&gt;0,O217*I217/Y217,0)*VLOOKUP(B217,'2-Kosten per locatie'!$A$14:$C$28,3,FALSE)</f>
        <v>0</v>
      </c>
      <c r="V217" s="259">
        <f>IF(P217&gt;0,P217*I217/Z217,0)*VLOOKUP(B217,'2-Kosten per locatie'!$A$14:$C$28,3,FALSE)</f>
        <v>0</v>
      </c>
      <c r="W217" s="348">
        <f>IF(K217="nio",0,IF(K217&gt;0,VLOOKUP(G217,'3-Productie normen'!A:N,VLOOKUP(K217,'3-Productie normen'!$B$27:$C$38,2,FALSE),FALSE)))</f>
        <v>0</v>
      </c>
      <c r="X217" s="348">
        <f t="shared" si="18"/>
        <v>0</v>
      </c>
      <c r="Y217" s="348">
        <f t="shared" si="19"/>
        <v>0</v>
      </c>
      <c r="Z217" s="348">
        <f t="shared" si="20"/>
        <v>0</v>
      </c>
      <c r="AA217" s="349">
        <f>VLOOKUP(G217,'3-Productie normen'!A:Q,15,FALSE)</f>
        <v>6683.51</v>
      </c>
      <c r="AB217" s="350">
        <f>VLOOKUP(G217,'3-Productie normen'!A:Q,16,FALSE)</f>
        <v>0</v>
      </c>
      <c r="AC217" s="349"/>
      <c r="AE217" s="351">
        <f t="shared" si="16"/>
        <v>370823.04000000004</v>
      </c>
    </row>
    <row r="218" spans="1:31" ht="14.1" customHeight="1">
      <c r="A218" s="76">
        <v>218</v>
      </c>
      <c r="B218" s="496" t="s">
        <v>300</v>
      </c>
      <c r="C218" s="312" t="s">
        <v>301</v>
      </c>
      <c r="D218" s="345" t="s">
        <v>307</v>
      </c>
      <c r="E218" s="346">
        <v>15</v>
      </c>
      <c r="F218" s="353" t="s">
        <v>315</v>
      </c>
      <c r="G218" s="353" t="s">
        <v>87</v>
      </c>
      <c r="H218" s="72" t="s">
        <v>316</v>
      </c>
      <c r="I218" s="502">
        <v>43.97</v>
      </c>
      <c r="J218" s="347">
        <f t="shared" si="17"/>
        <v>52</v>
      </c>
      <c r="K218" s="260">
        <v>52</v>
      </c>
      <c r="L218" s="260"/>
      <c r="M218" s="260"/>
      <c r="N218" s="260"/>
      <c r="O218" s="260"/>
      <c r="P218" s="260"/>
      <c r="Q218" s="259" t="e">
        <f>IF(K218="nio",0,IF(K218&gt;0,K218*I218/W218,0))*VLOOKUP(B218,'2-Kosten per locatie'!$A$14:$C$28,3,FALSE)</f>
        <v>#DIV/0!</v>
      </c>
      <c r="R218" s="259">
        <f>IF(L218&gt;0,L218*I218/X218,0)*VLOOKUP(B218,'2-Kosten per locatie'!$A$14:$C$28,3,FALSE)</f>
        <v>0</v>
      </c>
      <c r="S218" s="259">
        <f>IF(M218&gt;0,M218*I218/Y218,0)*VLOOKUP(B218,'2-Kosten per locatie'!$A$14:$C$28,3,FALSE)</f>
        <v>0</v>
      </c>
      <c r="T218" s="259">
        <f>IF(N218&gt;0,N218*I218/Z218,0)*VLOOKUP(B218,'2-Kosten per locatie'!$A$14:$C$28,3,FALSE)</f>
        <v>0</v>
      </c>
      <c r="U218" s="259">
        <f>IF(O218&gt;0,O218*I218/Y218,0)*VLOOKUP(B218,'2-Kosten per locatie'!$A$14:$C$28,3,FALSE)</f>
        <v>0</v>
      </c>
      <c r="V218" s="259">
        <f>IF(P218&gt;0,P218*I218/Z218,0)*VLOOKUP(B218,'2-Kosten per locatie'!$A$14:$C$28,3,FALSE)</f>
        <v>0</v>
      </c>
      <c r="W218" s="348">
        <f>IF(K218="nio",0,IF(K218&gt;0,VLOOKUP(G218,'3-Productie normen'!A:N,VLOOKUP(K218,'3-Productie normen'!$B$27:$C$38,2,FALSE),FALSE)))</f>
        <v>0</v>
      </c>
      <c r="X218" s="348">
        <f t="shared" si="18"/>
        <v>0</v>
      </c>
      <c r="Y218" s="348">
        <f t="shared" si="19"/>
        <v>0</v>
      </c>
      <c r="Z218" s="348">
        <f t="shared" si="20"/>
        <v>0</v>
      </c>
      <c r="AA218" s="349">
        <f>VLOOKUP(G218,'3-Productie normen'!A:Q,15,FALSE)</f>
        <v>661.27599999999984</v>
      </c>
      <c r="AB218" s="350">
        <f>VLOOKUP(G218,'3-Productie normen'!A:Q,16,FALSE)</f>
        <v>0</v>
      </c>
      <c r="AC218" s="349"/>
      <c r="AE218" s="351">
        <f t="shared" si="16"/>
        <v>2286.44</v>
      </c>
    </row>
    <row r="219" spans="1:31" ht="14.1" customHeight="1">
      <c r="A219" s="76">
        <v>219</v>
      </c>
      <c r="B219" s="496" t="s">
        <v>300</v>
      </c>
      <c r="C219" s="312" t="s">
        <v>301</v>
      </c>
      <c r="D219" s="345" t="s">
        <v>307</v>
      </c>
      <c r="E219" s="346">
        <v>16</v>
      </c>
      <c r="F219" s="72" t="s">
        <v>315</v>
      </c>
      <c r="G219" s="72" t="s">
        <v>87</v>
      </c>
      <c r="H219" s="352" t="s">
        <v>316</v>
      </c>
      <c r="I219" s="502">
        <v>40.03</v>
      </c>
      <c r="J219" s="347">
        <f t="shared" si="17"/>
        <v>52</v>
      </c>
      <c r="K219" s="260">
        <v>52</v>
      </c>
      <c r="L219" s="260"/>
      <c r="M219" s="260"/>
      <c r="N219" s="260"/>
      <c r="O219" s="260"/>
      <c r="P219" s="260"/>
      <c r="Q219" s="259" t="e">
        <f>IF(K219="nio",0,IF(K219&gt;0,K219*I219/W219,0))*VLOOKUP(B219,'2-Kosten per locatie'!$A$14:$C$28,3,FALSE)</f>
        <v>#DIV/0!</v>
      </c>
      <c r="R219" s="259">
        <f>IF(L219&gt;0,L219*I219/X219,0)*VLOOKUP(B219,'2-Kosten per locatie'!$A$14:$C$28,3,FALSE)</f>
        <v>0</v>
      </c>
      <c r="S219" s="259">
        <f>IF(M219&gt;0,M219*I219/Y219,0)*VLOOKUP(B219,'2-Kosten per locatie'!$A$14:$C$28,3,FALSE)</f>
        <v>0</v>
      </c>
      <c r="T219" s="259">
        <f>IF(N219&gt;0,N219*I219/Z219,0)*VLOOKUP(B219,'2-Kosten per locatie'!$A$14:$C$28,3,FALSE)</f>
        <v>0</v>
      </c>
      <c r="U219" s="259">
        <f>IF(O219&gt;0,O219*I219/Y219,0)*VLOOKUP(B219,'2-Kosten per locatie'!$A$14:$C$28,3,FALSE)</f>
        <v>0</v>
      </c>
      <c r="V219" s="259">
        <f>IF(P219&gt;0,P219*I219/Z219,0)*VLOOKUP(B219,'2-Kosten per locatie'!$A$14:$C$28,3,FALSE)</f>
        <v>0</v>
      </c>
      <c r="W219" s="348">
        <f>IF(K219="nio",0,IF(K219&gt;0,VLOOKUP(G219,'3-Productie normen'!A:N,VLOOKUP(K219,'3-Productie normen'!$B$27:$C$38,2,FALSE),FALSE)))</f>
        <v>0</v>
      </c>
      <c r="X219" s="348">
        <f t="shared" si="18"/>
        <v>0</v>
      </c>
      <c r="Y219" s="348">
        <f t="shared" si="19"/>
        <v>0</v>
      </c>
      <c r="Z219" s="348">
        <f t="shared" si="20"/>
        <v>0</v>
      </c>
      <c r="AA219" s="349">
        <f>VLOOKUP(G219,'3-Productie normen'!A:Q,15,FALSE)</f>
        <v>661.27599999999984</v>
      </c>
      <c r="AB219" s="350">
        <f>VLOOKUP(G219,'3-Productie normen'!A:Q,16,FALSE)</f>
        <v>0</v>
      </c>
      <c r="AC219" s="349"/>
      <c r="AE219" s="351">
        <f t="shared" si="16"/>
        <v>2081.56</v>
      </c>
    </row>
    <row r="220" spans="1:31" ht="14.1" customHeight="1">
      <c r="A220" s="76">
        <v>220</v>
      </c>
      <c r="B220" s="496" t="s">
        <v>300</v>
      </c>
      <c r="C220" s="312" t="s">
        <v>301</v>
      </c>
      <c r="D220" s="87" t="s">
        <v>307</v>
      </c>
      <c r="E220" s="254">
        <v>17</v>
      </c>
      <c r="F220" s="86" t="s">
        <v>407</v>
      </c>
      <c r="G220" s="86" t="s">
        <v>87</v>
      </c>
      <c r="H220" s="72" t="s">
        <v>316</v>
      </c>
      <c r="I220" s="502">
        <v>14</v>
      </c>
      <c r="J220" s="347">
        <f t="shared" si="17"/>
        <v>52</v>
      </c>
      <c r="K220" s="260">
        <v>52</v>
      </c>
      <c r="L220" s="260"/>
      <c r="M220" s="260"/>
      <c r="N220" s="260"/>
      <c r="O220" s="260"/>
      <c r="P220" s="260"/>
      <c r="Q220" s="259" t="e">
        <f>IF(K220="nio",0,IF(K220&gt;0,K220*I220/W220,0))*VLOOKUP(B220,'2-Kosten per locatie'!$A$14:$C$28,3,FALSE)</f>
        <v>#DIV/0!</v>
      </c>
      <c r="R220" s="259">
        <f>IF(L220&gt;0,L220*I220/X220,0)*VLOOKUP(B220,'2-Kosten per locatie'!$A$14:$C$28,3,FALSE)</f>
        <v>0</v>
      </c>
      <c r="S220" s="259">
        <f>IF(M220&gt;0,M220*I220/Y220,0)*VLOOKUP(B220,'2-Kosten per locatie'!$A$14:$C$28,3,FALSE)</f>
        <v>0</v>
      </c>
      <c r="T220" s="259">
        <f>IF(N220&gt;0,N220*I220/Z220,0)*VLOOKUP(B220,'2-Kosten per locatie'!$A$14:$C$28,3,FALSE)</f>
        <v>0</v>
      </c>
      <c r="U220" s="259">
        <f>IF(O220&gt;0,O220*I220/Y220,0)*VLOOKUP(B220,'2-Kosten per locatie'!$A$14:$C$28,3,FALSE)</f>
        <v>0</v>
      </c>
      <c r="V220" s="259">
        <f>IF(P220&gt;0,P220*I220/Z220,0)*VLOOKUP(B220,'2-Kosten per locatie'!$A$14:$C$28,3,FALSE)</f>
        <v>0</v>
      </c>
      <c r="W220" s="348">
        <f>IF(K220="nio",0,IF(K220&gt;0,VLOOKUP(G220,'3-Productie normen'!A:N,VLOOKUP(K220,'3-Productie normen'!$B$27:$C$38,2,FALSE),FALSE)))</f>
        <v>0</v>
      </c>
      <c r="X220" s="348">
        <f t="shared" si="18"/>
        <v>0</v>
      </c>
      <c r="Y220" s="348">
        <f t="shared" si="19"/>
        <v>0</v>
      </c>
      <c r="Z220" s="348">
        <f t="shared" si="20"/>
        <v>0</v>
      </c>
      <c r="AA220" s="349">
        <f>VLOOKUP(G220,'3-Productie normen'!A:Q,15,FALSE)</f>
        <v>661.27599999999984</v>
      </c>
      <c r="AB220" s="350">
        <f>VLOOKUP(G220,'3-Productie normen'!A:Q,16,FALSE)</f>
        <v>0</v>
      </c>
      <c r="AC220" s="349"/>
      <c r="AE220" s="351">
        <f t="shared" si="16"/>
        <v>728</v>
      </c>
    </row>
    <row r="221" spans="1:31" ht="14.1" customHeight="1">
      <c r="A221" s="76">
        <v>221</v>
      </c>
      <c r="B221" s="496" t="s">
        <v>300</v>
      </c>
      <c r="C221" s="312" t="s">
        <v>301</v>
      </c>
      <c r="D221" s="345" t="s">
        <v>307</v>
      </c>
      <c r="E221" s="346">
        <v>18</v>
      </c>
      <c r="F221" s="72" t="s">
        <v>315</v>
      </c>
      <c r="G221" s="72" t="s">
        <v>87</v>
      </c>
      <c r="H221" s="72" t="s">
        <v>316</v>
      </c>
      <c r="I221" s="502">
        <v>37</v>
      </c>
      <c r="J221" s="347">
        <f t="shared" si="17"/>
        <v>52</v>
      </c>
      <c r="K221" s="260">
        <v>52</v>
      </c>
      <c r="L221" s="260"/>
      <c r="M221" s="260"/>
      <c r="N221" s="260"/>
      <c r="O221" s="260"/>
      <c r="P221" s="260"/>
      <c r="Q221" s="259" t="e">
        <f>IF(K221="nio",0,IF(K221&gt;0,K221*I221/W221,0))*VLOOKUP(B221,'2-Kosten per locatie'!$A$14:$C$28,3,FALSE)</f>
        <v>#DIV/0!</v>
      </c>
      <c r="R221" s="259">
        <f>IF(L221&gt;0,L221*I221/X221,0)*VLOOKUP(B221,'2-Kosten per locatie'!$A$14:$C$28,3,FALSE)</f>
        <v>0</v>
      </c>
      <c r="S221" s="259">
        <f>IF(M221&gt;0,M221*I221/Y221,0)*VLOOKUP(B221,'2-Kosten per locatie'!$A$14:$C$28,3,FALSE)</f>
        <v>0</v>
      </c>
      <c r="T221" s="259">
        <f>IF(N221&gt;0,N221*I221/Z221,0)*VLOOKUP(B221,'2-Kosten per locatie'!$A$14:$C$28,3,FALSE)</f>
        <v>0</v>
      </c>
      <c r="U221" s="259">
        <f>IF(O221&gt;0,O221*I221/Y221,0)*VLOOKUP(B221,'2-Kosten per locatie'!$A$14:$C$28,3,FALSE)</f>
        <v>0</v>
      </c>
      <c r="V221" s="259">
        <f>IF(P221&gt;0,P221*I221/Z221,0)*VLOOKUP(B221,'2-Kosten per locatie'!$A$14:$C$28,3,FALSE)</f>
        <v>0</v>
      </c>
      <c r="W221" s="348">
        <f>IF(K221="nio",0,IF(K221&gt;0,VLOOKUP(G221,'3-Productie normen'!A:N,VLOOKUP(K221,'3-Productie normen'!$B$27:$C$38,2,FALSE),FALSE)))</f>
        <v>0</v>
      </c>
      <c r="X221" s="348">
        <f t="shared" si="18"/>
        <v>0</v>
      </c>
      <c r="Y221" s="348">
        <f t="shared" si="19"/>
        <v>0</v>
      </c>
      <c r="Z221" s="348">
        <f t="shared" si="20"/>
        <v>0</v>
      </c>
      <c r="AA221" s="349">
        <f>VLOOKUP(G221,'3-Productie normen'!A:Q,15,FALSE)</f>
        <v>661.27599999999984</v>
      </c>
      <c r="AB221" s="350">
        <f>VLOOKUP(G221,'3-Productie normen'!A:Q,16,FALSE)</f>
        <v>0</v>
      </c>
      <c r="AC221" s="349"/>
      <c r="AE221" s="351">
        <f t="shared" si="16"/>
        <v>1924</v>
      </c>
    </row>
    <row r="222" spans="1:31" ht="14.1" customHeight="1">
      <c r="A222" s="76">
        <v>222</v>
      </c>
      <c r="B222" s="496" t="s">
        <v>300</v>
      </c>
      <c r="C222" s="312" t="s">
        <v>301</v>
      </c>
      <c r="D222" s="345" t="s">
        <v>307</v>
      </c>
      <c r="E222" s="346">
        <v>19</v>
      </c>
      <c r="F222" s="72" t="s">
        <v>312</v>
      </c>
      <c r="G222" s="72" t="s">
        <v>83</v>
      </c>
      <c r="H222" s="72" t="s">
        <v>330</v>
      </c>
      <c r="I222" s="502">
        <v>6.84</v>
      </c>
      <c r="J222" s="347">
        <f t="shared" si="17"/>
        <v>359</v>
      </c>
      <c r="K222" s="260">
        <v>255</v>
      </c>
      <c r="L222" s="260"/>
      <c r="M222" s="260">
        <v>102</v>
      </c>
      <c r="N222" s="260"/>
      <c r="O222" s="260">
        <v>2</v>
      </c>
      <c r="P222" s="260"/>
      <c r="Q222" s="259" t="e">
        <f>IF(K222="nio",0,IF(K222&gt;0,K222*I222/W222,0))*VLOOKUP(B222,'2-Kosten per locatie'!$A$14:$C$28,3,FALSE)</f>
        <v>#DIV/0!</v>
      </c>
      <c r="R222" s="259">
        <f>IF(L222&gt;0,L222*I222/X222,0)*VLOOKUP(B222,'2-Kosten per locatie'!$A$14:$C$28,3,FALSE)</f>
        <v>0</v>
      </c>
      <c r="S222" s="259" t="e">
        <f>IF(M222&gt;0,M222*I222/Y222,0)*VLOOKUP(B222,'2-Kosten per locatie'!$A$14:$C$28,3,FALSE)</f>
        <v>#DIV/0!</v>
      </c>
      <c r="T222" s="259">
        <f>IF(N222&gt;0,N222*I222/Z222,0)*VLOOKUP(B222,'2-Kosten per locatie'!$A$14:$C$28,3,FALSE)</f>
        <v>0</v>
      </c>
      <c r="U222" s="259" t="e">
        <f>IF(O222&gt;0,O222*I222/Y222,0)*VLOOKUP(B222,'2-Kosten per locatie'!$A$14:$C$28,3,FALSE)</f>
        <v>#DIV/0!</v>
      </c>
      <c r="V222" s="259">
        <f>IF(P222&gt;0,P222*I222/Z222,0)*VLOOKUP(B222,'2-Kosten per locatie'!$A$14:$C$28,3,FALSE)</f>
        <v>0</v>
      </c>
      <c r="W222" s="348">
        <f>IF(K222="nio",0,IF(K222&gt;0,VLOOKUP(G222,'3-Productie normen'!A:N,VLOOKUP(K222,'3-Productie normen'!$B$27:$C$38,2,FALSE),FALSE)))</f>
        <v>0</v>
      </c>
      <c r="X222" s="348">
        <f t="shared" si="18"/>
        <v>0</v>
      </c>
      <c r="Y222" s="348">
        <f t="shared" si="19"/>
        <v>0</v>
      </c>
      <c r="Z222" s="348">
        <f t="shared" si="20"/>
        <v>0</v>
      </c>
      <c r="AA222" s="349">
        <f>VLOOKUP(G222,'3-Productie normen'!A:Q,15,FALSE)</f>
        <v>773.68459999999982</v>
      </c>
      <c r="AB222" s="350">
        <f>VLOOKUP(G222,'3-Productie normen'!A:Q,16,FALSE)</f>
        <v>0</v>
      </c>
      <c r="AC222" s="349"/>
      <c r="AE222" s="351">
        <f t="shared" si="16"/>
        <v>2455.56</v>
      </c>
    </row>
    <row r="223" spans="1:31" ht="14.1" customHeight="1">
      <c r="A223" s="76">
        <v>223</v>
      </c>
      <c r="B223" s="496" t="s">
        <v>300</v>
      </c>
      <c r="C223" s="312" t="s">
        <v>301</v>
      </c>
      <c r="D223" s="345" t="s">
        <v>307</v>
      </c>
      <c r="E223" s="346">
        <v>20</v>
      </c>
      <c r="F223" s="72" t="s">
        <v>329</v>
      </c>
      <c r="G223" s="72" t="s">
        <v>86</v>
      </c>
      <c r="H223" s="72" t="s">
        <v>330</v>
      </c>
      <c r="I223" s="502">
        <v>30.59</v>
      </c>
      <c r="J223" s="347">
        <f t="shared" si="17"/>
        <v>359</v>
      </c>
      <c r="K223" s="260">
        <v>255</v>
      </c>
      <c r="L223" s="260"/>
      <c r="M223" s="260">
        <v>102</v>
      </c>
      <c r="N223" s="260"/>
      <c r="O223" s="260">
        <v>2</v>
      </c>
      <c r="P223" s="260"/>
      <c r="Q223" s="259" t="e">
        <f>IF(K223="nio",0,IF(K223&gt;0,K223*I223/W223,0))*VLOOKUP(B223,'2-Kosten per locatie'!$A$14:$C$28,3,FALSE)</f>
        <v>#DIV/0!</v>
      </c>
      <c r="R223" s="259">
        <f>IF(L223&gt;0,L223*I223/X223,0)*VLOOKUP(B223,'2-Kosten per locatie'!$A$14:$C$28,3,FALSE)</f>
        <v>0</v>
      </c>
      <c r="S223" s="259" t="e">
        <f>IF(M223&gt;0,M223*I223/Y223,0)*VLOOKUP(B223,'2-Kosten per locatie'!$A$14:$C$28,3,FALSE)</f>
        <v>#DIV/0!</v>
      </c>
      <c r="T223" s="259">
        <f>IF(N223&gt;0,N223*I223/Z223,0)*VLOOKUP(B223,'2-Kosten per locatie'!$A$14:$C$28,3,FALSE)</f>
        <v>0</v>
      </c>
      <c r="U223" s="259" t="e">
        <f>IF(O223&gt;0,O223*I223/Y223,0)*VLOOKUP(B223,'2-Kosten per locatie'!$A$14:$C$28,3,FALSE)</f>
        <v>#DIV/0!</v>
      </c>
      <c r="V223" s="259">
        <f>IF(P223&gt;0,P223*I223/Z223,0)*VLOOKUP(B223,'2-Kosten per locatie'!$A$14:$C$28,3,FALSE)</f>
        <v>0</v>
      </c>
      <c r="W223" s="348">
        <f>IF(K223="nio",0,IF(K223&gt;0,VLOOKUP(G223,'3-Productie normen'!A:N,VLOOKUP(K223,'3-Productie normen'!$B$27:$C$38,2,FALSE),FALSE)))</f>
        <v>0</v>
      </c>
      <c r="X223" s="348">
        <f t="shared" si="18"/>
        <v>0</v>
      </c>
      <c r="Y223" s="348">
        <f t="shared" si="19"/>
        <v>0</v>
      </c>
      <c r="Z223" s="348">
        <f t="shared" si="20"/>
        <v>0</v>
      </c>
      <c r="AA223" s="349">
        <f>VLOOKUP(G223,'3-Productie normen'!A:Q,15,FALSE)</f>
        <v>30.59</v>
      </c>
      <c r="AB223" s="350">
        <f>VLOOKUP(G223,'3-Productie normen'!A:Q,16,FALSE)</f>
        <v>0</v>
      </c>
      <c r="AC223" s="349"/>
      <c r="AE223" s="351">
        <f t="shared" si="16"/>
        <v>10981.81</v>
      </c>
    </row>
    <row r="224" spans="1:31" ht="14.1" customHeight="1">
      <c r="A224" s="76">
        <v>224</v>
      </c>
      <c r="B224" s="496" t="s">
        <v>300</v>
      </c>
      <c r="C224" s="312" t="s">
        <v>301</v>
      </c>
      <c r="D224" s="345" t="s">
        <v>307</v>
      </c>
      <c r="E224" s="346">
        <v>21</v>
      </c>
      <c r="F224" s="72" t="s">
        <v>408</v>
      </c>
      <c r="G224" s="72" t="s">
        <v>89</v>
      </c>
      <c r="H224" s="72" t="s">
        <v>319</v>
      </c>
      <c r="I224" s="502">
        <v>2.46</v>
      </c>
      <c r="J224" s="347">
        <f t="shared" si="17"/>
        <v>359</v>
      </c>
      <c r="K224" s="260">
        <v>255</v>
      </c>
      <c r="L224" s="260"/>
      <c r="M224" s="260">
        <v>102</v>
      </c>
      <c r="N224" s="260"/>
      <c r="O224" s="260">
        <v>2</v>
      </c>
      <c r="P224" s="260"/>
      <c r="Q224" s="259" t="e">
        <f>IF(K224="nio",0,IF(K224&gt;0,K224*I224/W224,0))*VLOOKUP(B224,'2-Kosten per locatie'!$A$14:$C$28,3,FALSE)</f>
        <v>#DIV/0!</v>
      </c>
      <c r="R224" s="259">
        <f>IF(L224&gt;0,L224*I224/X224,0)*VLOOKUP(B224,'2-Kosten per locatie'!$A$14:$C$28,3,FALSE)</f>
        <v>0</v>
      </c>
      <c r="S224" s="259" t="e">
        <f>IF(M224&gt;0,M224*I224/Y224,0)*VLOOKUP(B224,'2-Kosten per locatie'!$A$14:$C$28,3,FALSE)</f>
        <v>#DIV/0!</v>
      </c>
      <c r="T224" s="259">
        <f>IF(N224&gt;0,N224*I224/Z224,0)*VLOOKUP(B224,'2-Kosten per locatie'!$A$14:$C$28,3,FALSE)</f>
        <v>0</v>
      </c>
      <c r="U224" s="259" t="e">
        <f>IF(O224&gt;0,O224*I224/Y224,0)*VLOOKUP(B224,'2-Kosten per locatie'!$A$14:$C$28,3,FALSE)</f>
        <v>#DIV/0!</v>
      </c>
      <c r="V224" s="259">
        <f>IF(P224&gt;0,P224*I224/Z224,0)*VLOOKUP(B224,'2-Kosten per locatie'!$A$14:$C$28,3,FALSE)</f>
        <v>0</v>
      </c>
      <c r="W224" s="348">
        <f>IF(K224="nio",0,IF(K224&gt;0,VLOOKUP(G224,'3-Productie normen'!A:N,VLOOKUP(K224,'3-Productie normen'!$B$27:$C$38,2,FALSE),FALSE)))</f>
        <v>0</v>
      </c>
      <c r="X224" s="348">
        <f t="shared" si="18"/>
        <v>0</v>
      </c>
      <c r="Y224" s="348">
        <f t="shared" si="19"/>
        <v>0</v>
      </c>
      <c r="Z224" s="348">
        <f t="shared" si="20"/>
        <v>0</v>
      </c>
      <c r="AA224" s="349">
        <f>VLOOKUP(G224,'3-Productie normen'!A:Q,15,FALSE)</f>
        <v>78.48</v>
      </c>
      <c r="AB224" s="350">
        <f>VLOOKUP(G224,'3-Productie normen'!A:Q,16,FALSE)</f>
        <v>0</v>
      </c>
      <c r="AC224" s="349"/>
      <c r="AE224" s="351">
        <f t="shared" si="16"/>
        <v>883.14</v>
      </c>
    </row>
    <row r="225" spans="1:31" ht="14.1" customHeight="1">
      <c r="A225" s="76">
        <v>225</v>
      </c>
      <c r="B225" s="496" t="s">
        <v>300</v>
      </c>
      <c r="C225" s="312" t="s">
        <v>301</v>
      </c>
      <c r="D225" s="345" t="s">
        <v>307</v>
      </c>
      <c r="E225" s="346">
        <v>22</v>
      </c>
      <c r="F225" s="72" t="s">
        <v>310</v>
      </c>
      <c r="G225" s="72" t="s">
        <v>81</v>
      </c>
      <c r="H225" s="72" t="s">
        <v>311</v>
      </c>
      <c r="I225" s="502">
        <v>4.9800000000000004</v>
      </c>
      <c r="J225" s="347">
        <f t="shared" si="17"/>
        <v>714</v>
      </c>
      <c r="K225" s="260">
        <v>255</v>
      </c>
      <c r="L225" s="260">
        <v>255</v>
      </c>
      <c r="M225" s="260">
        <v>102</v>
      </c>
      <c r="N225" s="260">
        <v>102</v>
      </c>
      <c r="O225" s="260"/>
      <c r="P225" s="260"/>
      <c r="Q225" s="259" t="e">
        <f>IF(K225="nio",0,IF(K225&gt;0,K225*I225/W225,0))*VLOOKUP(B225,'2-Kosten per locatie'!$A$14:$C$28,3,FALSE)</f>
        <v>#DIV/0!</v>
      </c>
      <c r="R225" s="259" t="e">
        <f>IF(L225&gt;0,L225*I225/X225,0)*VLOOKUP(B225,'2-Kosten per locatie'!$A$14:$C$28,3,FALSE)</f>
        <v>#DIV/0!</v>
      </c>
      <c r="S225" s="259" t="e">
        <f>IF(M225&gt;0,M225*I225/Y225,0)*VLOOKUP(B225,'2-Kosten per locatie'!$A$14:$C$28,3,FALSE)</f>
        <v>#DIV/0!</v>
      </c>
      <c r="T225" s="259" t="e">
        <f>IF(N225&gt;0,N225*I225/Z225,0)*VLOOKUP(B225,'2-Kosten per locatie'!$A$14:$C$28,3,FALSE)</f>
        <v>#DIV/0!</v>
      </c>
      <c r="U225" s="259">
        <f>IF(O225&gt;0,O225*I225/Y225,0)*VLOOKUP(B225,'2-Kosten per locatie'!$A$14:$C$28,3,FALSE)</f>
        <v>0</v>
      </c>
      <c r="V225" s="259">
        <f>IF(P225&gt;0,P225*I225/Z225,0)*VLOOKUP(B225,'2-Kosten per locatie'!$A$14:$C$28,3,FALSE)</f>
        <v>0</v>
      </c>
      <c r="W225" s="348">
        <f>IF(K225="nio",0,IF(K225&gt;0,VLOOKUP(G225,'3-Productie normen'!A:N,VLOOKUP(K225,'3-Productie normen'!$B$27:$C$38,2,FALSE),FALSE)))</f>
        <v>0</v>
      </c>
      <c r="X225" s="348">
        <f t="shared" si="18"/>
        <v>0</v>
      </c>
      <c r="Y225" s="348">
        <f t="shared" si="19"/>
        <v>0</v>
      </c>
      <c r="Z225" s="348">
        <f t="shared" si="20"/>
        <v>0</v>
      </c>
      <c r="AA225" s="349">
        <f>VLOOKUP(G225,'3-Productie normen'!A:Q,15,FALSE)</f>
        <v>235.06999999999988</v>
      </c>
      <c r="AB225" s="350">
        <f>VLOOKUP(G225,'3-Productie normen'!A:Q,16,FALSE)</f>
        <v>0</v>
      </c>
      <c r="AC225" s="349"/>
      <c r="AE225" s="351">
        <f t="shared" si="16"/>
        <v>3555.7200000000003</v>
      </c>
    </row>
    <row r="226" spans="1:31" ht="14.1" customHeight="1">
      <c r="A226" s="76">
        <v>226</v>
      </c>
      <c r="B226" s="496" t="s">
        <v>300</v>
      </c>
      <c r="C226" s="312" t="s">
        <v>301</v>
      </c>
      <c r="D226" s="345" t="s">
        <v>307</v>
      </c>
      <c r="E226" s="346">
        <v>23</v>
      </c>
      <c r="F226" s="72" t="s">
        <v>409</v>
      </c>
      <c r="G226" s="72" t="s">
        <v>83</v>
      </c>
      <c r="H226" s="72" t="s">
        <v>311</v>
      </c>
      <c r="I226" s="502">
        <v>76.460000000000008</v>
      </c>
      <c r="J226" s="347">
        <f t="shared" si="17"/>
        <v>359</v>
      </c>
      <c r="K226" s="260">
        <v>255</v>
      </c>
      <c r="L226" s="260"/>
      <c r="M226" s="260">
        <v>102</v>
      </c>
      <c r="N226" s="260"/>
      <c r="O226" s="260">
        <v>2</v>
      </c>
      <c r="P226" s="260"/>
      <c r="Q226" s="259" t="e">
        <f>IF(K226="nio",0,IF(K226&gt;0,K226*I226/W226,0))*VLOOKUP(B226,'2-Kosten per locatie'!$A$14:$C$28,3,FALSE)</f>
        <v>#DIV/0!</v>
      </c>
      <c r="R226" s="259">
        <f>IF(L226&gt;0,L226*I226/X226,0)*VLOOKUP(B226,'2-Kosten per locatie'!$A$14:$C$28,3,FALSE)</f>
        <v>0</v>
      </c>
      <c r="S226" s="259" t="e">
        <f>IF(M226&gt;0,M226*I226/Y226,0)*VLOOKUP(B226,'2-Kosten per locatie'!$A$14:$C$28,3,FALSE)</f>
        <v>#DIV/0!</v>
      </c>
      <c r="T226" s="259">
        <f>IF(N226&gt;0,N226*I226/Z226,0)*VLOOKUP(B226,'2-Kosten per locatie'!$A$14:$C$28,3,FALSE)</f>
        <v>0</v>
      </c>
      <c r="U226" s="259" t="e">
        <f>IF(O226&gt;0,O226*I226/Y226,0)*VLOOKUP(B226,'2-Kosten per locatie'!$A$14:$C$28,3,FALSE)</f>
        <v>#DIV/0!</v>
      </c>
      <c r="V226" s="259">
        <f>IF(P226&gt;0,P226*I226/Z226,0)*VLOOKUP(B226,'2-Kosten per locatie'!$A$14:$C$28,3,FALSE)</f>
        <v>0</v>
      </c>
      <c r="W226" s="348">
        <f>IF(K226="nio",0,IF(K226&gt;0,VLOOKUP(G226,'3-Productie normen'!A:N,VLOOKUP(K226,'3-Productie normen'!$B$27:$C$38,2,FALSE),FALSE)))</f>
        <v>0</v>
      </c>
      <c r="X226" s="348">
        <f t="shared" si="18"/>
        <v>0</v>
      </c>
      <c r="Y226" s="348">
        <f t="shared" si="19"/>
        <v>0</v>
      </c>
      <c r="Z226" s="348">
        <f t="shared" si="20"/>
        <v>0</v>
      </c>
      <c r="AA226" s="349">
        <f>VLOOKUP(G226,'3-Productie normen'!A:Q,15,FALSE)</f>
        <v>773.68459999999982</v>
      </c>
      <c r="AB226" s="350">
        <f>VLOOKUP(G226,'3-Productie normen'!A:Q,16,FALSE)</f>
        <v>0</v>
      </c>
      <c r="AC226" s="349"/>
      <c r="AE226" s="351">
        <f t="shared" si="16"/>
        <v>27449.140000000003</v>
      </c>
    </row>
    <row r="227" spans="1:31" ht="14.1" customHeight="1">
      <c r="A227" s="76">
        <v>227</v>
      </c>
      <c r="B227" s="496" t="s">
        <v>300</v>
      </c>
      <c r="C227" s="312" t="s">
        <v>301</v>
      </c>
      <c r="D227" s="345" t="s">
        <v>307</v>
      </c>
      <c r="E227" s="346">
        <v>24</v>
      </c>
      <c r="F227" s="72" t="s">
        <v>327</v>
      </c>
      <c r="G227" s="72" t="s">
        <v>81</v>
      </c>
      <c r="H227" s="72" t="s">
        <v>311</v>
      </c>
      <c r="I227" s="502">
        <v>7.83</v>
      </c>
      <c r="J227" s="347">
        <f t="shared" si="17"/>
        <v>716</v>
      </c>
      <c r="K227" s="260">
        <v>255</v>
      </c>
      <c r="L227" s="260">
        <v>255</v>
      </c>
      <c r="M227" s="260">
        <v>102</v>
      </c>
      <c r="N227" s="260">
        <v>102</v>
      </c>
      <c r="O227" s="260">
        <v>2</v>
      </c>
      <c r="P227" s="260"/>
      <c r="Q227" s="259" t="e">
        <f>IF(K227="nio",0,IF(K227&gt;0,K227*I227/W227,0))*VLOOKUP(B227,'2-Kosten per locatie'!$A$14:$C$28,3,FALSE)</f>
        <v>#DIV/0!</v>
      </c>
      <c r="R227" s="259" t="e">
        <f>IF(L227&gt;0,L227*I227/X227,0)*VLOOKUP(B227,'2-Kosten per locatie'!$A$14:$C$28,3,FALSE)</f>
        <v>#DIV/0!</v>
      </c>
      <c r="S227" s="259" t="e">
        <f>IF(M227&gt;0,M227*I227/Y227,0)*VLOOKUP(B227,'2-Kosten per locatie'!$A$14:$C$28,3,FALSE)</f>
        <v>#DIV/0!</v>
      </c>
      <c r="T227" s="259" t="e">
        <f>IF(N227&gt;0,N227*I227/Z227,0)*VLOOKUP(B227,'2-Kosten per locatie'!$A$14:$C$28,3,FALSE)</f>
        <v>#DIV/0!</v>
      </c>
      <c r="U227" s="259" t="e">
        <f>IF(O227&gt;0,O227*I227/Y227,0)*VLOOKUP(B227,'2-Kosten per locatie'!$A$14:$C$28,3,FALSE)</f>
        <v>#DIV/0!</v>
      </c>
      <c r="V227" s="259">
        <f>IF(P227&gt;0,P227*I227/Z227,0)*VLOOKUP(B227,'2-Kosten per locatie'!$A$14:$C$28,3,FALSE)</f>
        <v>0</v>
      </c>
      <c r="W227" s="348">
        <f>IF(K227="nio",0,IF(K227&gt;0,VLOOKUP(G227,'3-Productie normen'!A:N,VLOOKUP(K227,'3-Productie normen'!$B$27:$C$38,2,FALSE),FALSE)))</f>
        <v>0</v>
      </c>
      <c r="X227" s="348">
        <f t="shared" si="18"/>
        <v>0</v>
      </c>
      <c r="Y227" s="348">
        <f t="shared" si="19"/>
        <v>0</v>
      </c>
      <c r="Z227" s="348">
        <f t="shared" si="20"/>
        <v>0</v>
      </c>
      <c r="AA227" s="349">
        <f>VLOOKUP(G227,'3-Productie normen'!A:Q,15,FALSE)</f>
        <v>235.06999999999988</v>
      </c>
      <c r="AB227" s="350">
        <f>VLOOKUP(G227,'3-Productie normen'!A:Q,16,FALSE)</f>
        <v>0</v>
      </c>
      <c r="AC227" s="349"/>
      <c r="AE227" s="351">
        <f t="shared" si="16"/>
        <v>5606.28</v>
      </c>
    </row>
    <row r="228" spans="1:31" ht="14.1" customHeight="1">
      <c r="A228" s="76">
        <v>228</v>
      </c>
      <c r="B228" s="496" t="s">
        <v>300</v>
      </c>
      <c r="C228" s="312" t="s">
        <v>301</v>
      </c>
      <c r="D228" s="345" t="s">
        <v>307</v>
      </c>
      <c r="E228" s="346">
        <v>25</v>
      </c>
      <c r="F228" s="72" t="s">
        <v>328</v>
      </c>
      <c r="G228" s="72" t="s">
        <v>81</v>
      </c>
      <c r="H228" s="72" t="s">
        <v>311</v>
      </c>
      <c r="I228" s="502">
        <v>7.6</v>
      </c>
      <c r="J228" s="347">
        <f t="shared" si="17"/>
        <v>716</v>
      </c>
      <c r="K228" s="260">
        <v>255</v>
      </c>
      <c r="L228" s="260">
        <v>255</v>
      </c>
      <c r="M228" s="260">
        <v>102</v>
      </c>
      <c r="N228" s="260">
        <v>102</v>
      </c>
      <c r="O228" s="260">
        <v>2</v>
      </c>
      <c r="P228" s="260"/>
      <c r="Q228" s="259" t="e">
        <f>IF(K228="nio",0,IF(K228&gt;0,K228*I228/W228,0))*VLOOKUP(B228,'2-Kosten per locatie'!$A$14:$C$28,3,FALSE)</f>
        <v>#DIV/0!</v>
      </c>
      <c r="R228" s="259" t="e">
        <f>IF(L228&gt;0,L228*I228/X228,0)*VLOOKUP(B228,'2-Kosten per locatie'!$A$14:$C$28,3,FALSE)</f>
        <v>#DIV/0!</v>
      </c>
      <c r="S228" s="259" t="e">
        <f>IF(M228&gt;0,M228*I228/Y228,0)*VLOOKUP(B228,'2-Kosten per locatie'!$A$14:$C$28,3,FALSE)</f>
        <v>#DIV/0!</v>
      </c>
      <c r="T228" s="259" t="e">
        <f>IF(N228&gt;0,N228*I228/Z228,0)*VLOOKUP(B228,'2-Kosten per locatie'!$A$14:$C$28,3,FALSE)</f>
        <v>#DIV/0!</v>
      </c>
      <c r="U228" s="259" t="e">
        <f>IF(O228&gt;0,O228*I228/Y228,0)*VLOOKUP(B228,'2-Kosten per locatie'!$A$14:$C$28,3,FALSE)</f>
        <v>#DIV/0!</v>
      </c>
      <c r="V228" s="259">
        <f>IF(P228&gt;0,P228*I228/Z228,0)*VLOOKUP(B228,'2-Kosten per locatie'!$A$14:$C$28,3,FALSE)</f>
        <v>0</v>
      </c>
      <c r="W228" s="348">
        <f>IF(K228="nio",0,IF(K228&gt;0,VLOOKUP(G228,'3-Productie normen'!A:N,VLOOKUP(K228,'3-Productie normen'!$B$27:$C$38,2,FALSE),FALSE)))</f>
        <v>0</v>
      </c>
      <c r="X228" s="348">
        <f t="shared" si="18"/>
        <v>0</v>
      </c>
      <c r="Y228" s="348">
        <f t="shared" si="19"/>
        <v>0</v>
      </c>
      <c r="Z228" s="348">
        <f t="shared" si="20"/>
        <v>0</v>
      </c>
      <c r="AA228" s="349">
        <f>VLOOKUP(G228,'3-Productie normen'!A:Q,15,FALSE)</f>
        <v>235.06999999999988</v>
      </c>
      <c r="AB228" s="350">
        <f>VLOOKUP(G228,'3-Productie normen'!A:Q,16,FALSE)</f>
        <v>0</v>
      </c>
      <c r="AC228" s="349"/>
      <c r="AE228" s="351">
        <f t="shared" si="16"/>
        <v>5441.5999999999995</v>
      </c>
    </row>
    <row r="229" spans="1:31" ht="14.1" customHeight="1">
      <c r="A229" s="76">
        <v>229</v>
      </c>
      <c r="B229" s="496" t="s">
        <v>300</v>
      </c>
      <c r="C229" s="312" t="s">
        <v>301</v>
      </c>
      <c r="D229" s="345" t="s">
        <v>307</v>
      </c>
      <c r="E229" s="346">
        <v>26</v>
      </c>
      <c r="F229" s="72" t="s">
        <v>410</v>
      </c>
      <c r="G229" s="72" t="s">
        <v>87</v>
      </c>
      <c r="H229" s="72" t="s">
        <v>311</v>
      </c>
      <c r="I229" s="502">
        <v>6.76</v>
      </c>
      <c r="J229" s="347">
        <f t="shared" si="17"/>
        <v>52</v>
      </c>
      <c r="K229" s="260">
        <v>52</v>
      </c>
      <c r="L229" s="260"/>
      <c r="M229" s="260"/>
      <c r="N229" s="260"/>
      <c r="O229" s="260"/>
      <c r="P229" s="260"/>
      <c r="Q229" s="259" t="e">
        <f>IF(K229="nio",0,IF(K229&gt;0,K229*I229/W229,0))*VLOOKUP(B229,'2-Kosten per locatie'!$A$14:$C$28,3,FALSE)</f>
        <v>#DIV/0!</v>
      </c>
      <c r="R229" s="259">
        <f>IF(L229&gt;0,L229*I229/X229,0)*VLOOKUP(B229,'2-Kosten per locatie'!$A$14:$C$28,3,FALSE)</f>
        <v>0</v>
      </c>
      <c r="S229" s="259">
        <f>IF(M229&gt;0,M229*I229/Y229,0)*VLOOKUP(B229,'2-Kosten per locatie'!$A$14:$C$28,3,FALSE)</f>
        <v>0</v>
      </c>
      <c r="T229" s="259">
        <f>IF(N229&gt;0,N229*I229/Z229,0)*VLOOKUP(B229,'2-Kosten per locatie'!$A$14:$C$28,3,FALSE)</f>
        <v>0</v>
      </c>
      <c r="U229" s="259">
        <f>IF(O229&gt;0,O229*I229/Y229,0)*VLOOKUP(B229,'2-Kosten per locatie'!$A$14:$C$28,3,FALSE)</f>
        <v>0</v>
      </c>
      <c r="V229" s="259">
        <f>IF(P229&gt;0,P229*I229/Z229,0)*VLOOKUP(B229,'2-Kosten per locatie'!$A$14:$C$28,3,FALSE)</f>
        <v>0</v>
      </c>
      <c r="W229" s="348">
        <f>IF(K229="nio",0,IF(K229&gt;0,VLOOKUP(G229,'3-Productie normen'!A:N,VLOOKUP(K229,'3-Productie normen'!$B$27:$C$38,2,FALSE),FALSE)))</f>
        <v>0</v>
      </c>
      <c r="X229" s="348">
        <f t="shared" si="18"/>
        <v>0</v>
      </c>
      <c r="Y229" s="348">
        <f t="shared" si="19"/>
        <v>0</v>
      </c>
      <c r="Z229" s="348">
        <f t="shared" si="20"/>
        <v>0</v>
      </c>
      <c r="AA229" s="349">
        <f>VLOOKUP(G229,'3-Productie normen'!A:Q,15,FALSE)</f>
        <v>661.27599999999984</v>
      </c>
      <c r="AB229" s="350">
        <f>VLOOKUP(G229,'3-Productie normen'!A:Q,16,FALSE)</f>
        <v>0</v>
      </c>
      <c r="AC229" s="349"/>
      <c r="AE229" s="351">
        <f t="shared" si="16"/>
        <v>351.52</v>
      </c>
    </row>
    <row r="230" spans="1:31" ht="14.1" customHeight="1">
      <c r="A230" s="76">
        <v>230</v>
      </c>
      <c r="B230" s="496" t="s">
        <v>300</v>
      </c>
      <c r="C230" s="312" t="s">
        <v>301</v>
      </c>
      <c r="D230" s="345" t="s">
        <v>307</v>
      </c>
      <c r="E230" s="346">
        <v>27</v>
      </c>
      <c r="F230" s="72" t="s">
        <v>318</v>
      </c>
      <c r="G230" s="72" t="s">
        <v>89</v>
      </c>
      <c r="H230" s="72" t="s">
        <v>319</v>
      </c>
      <c r="I230" s="502">
        <v>7.23</v>
      </c>
      <c r="J230" s="347">
        <f t="shared" si="17"/>
        <v>359</v>
      </c>
      <c r="K230" s="260">
        <v>255</v>
      </c>
      <c r="L230" s="260"/>
      <c r="M230" s="260">
        <v>102</v>
      </c>
      <c r="N230" s="260"/>
      <c r="O230" s="260">
        <v>2</v>
      </c>
      <c r="P230" s="260"/>
      <c r="Q230" s="259" t="e">
        <f>IF(K230="nio",0,IF(K230&gt;0,K230*I230/W230,0))*VLOOKUP(B230,'2-Kosten per locatie'!$A$14:$C$28,3,FALSE)</f>
        <v>#DIV/0!</v>
      </c>
      <c r="R230" s="259">
        <f>IF(L230&gt;0,L230*I230/X230,0)*VLOOKUP(B230,'2-Kosten per locatie'!$A$14:$C$28,3,FALSE)</f>
        <v>0</v>
      </c>
      <c r="S230" s="259" t="e">
        <f>IF(M230&gt;0,M230*I230/Y230,0)*VLOOKUP(B230,'2-Kosten per locatie'!$A$14:$C$28,3,FALSE)</f>
        <v>#DIV/0!</v>
      </c>
      <c r="T230" s="259">
        <f>IF(N230&gt;0,N230*I230/Z230,0)*VLOOKUP(B230,'2-Kosten per locatie'!$A$14:$C$28,3,FALSE)</f>
        <v>0</v>
      </c>
      <c r="U230" s="259" t="e">
        <f>IF(O230&gt;0,O230*I230/Y230,0)*VLOOKUP(B230,'2-Kosten per locatie'!$A$14:$C$28,3,FALSE)</f>
        <v>#DIV/0!</v>
      </c>
      <c r="V230" s="259">
        <f>IF(P230&gt;0,P230*I230/Z230,0)*VLOOKUP(B230,'2-Kosten per locatie'!$A$14:$C$28,3,FALSE)</f>
        <v>0</v>
      </c>
      <c r="W230" s="348">
        <f>IF(K230="nio",0,IF(K230&gt;0,VLOOKUP(G230,'3-Productie normen'!A:N,VLOOKUP(K230,'3-Productie normen'!$B$27:$C$38,2,FALSE),FALSE)))</f>
        <v>0</v>
      </c>
      <c r="X230" s="348">
        <f t="shared" si="18"/>
        <v>0</v>
      </c>
      <c r="Y230" s="348">
        <f t="shared" si="19"/>
        <v>0</v>
      </c>
      <c r="Z230" s="348">
        <f t="shared" si="20"/>
        <v>0</v>
      </c>
      <c r="AA230" s="349">
        <f>VLOOKUP(G230,'3-Productie normen'!A:Q,15,FALSE)</f>
        <v>78.48</v>
      </c>
      <c r="AB230" s="350">
        <f>VLOOKUP(G230,'3-Productie normen'!A:Q,16,FALSE)</f>
        <v>0</v>
      </c>
      <c r="AC230" s="349"/>
      <c r="AE230" s="351">
        <f t="shared" si="16"/>
        <v>2595.5700000000002</v>
      </c>
    </row>
    <row r="231" spans="1:31" ht="14.1" customHeight="1">
      <c r="A231" s="76">
        <v>231</v>
      </c>
      <c r="B231" s="496" t="s">
        <v>300</v>
      </c>
      <c r="C231" s="312" t="s">
        <v>301</v>
      </c>
      <c r="D231" s="345" t="s">
        <v>307</v>
      </c>
      <c r="E231" s="346">
        <v>28</v>
      </c>
      <c r="F231" s="72" t="s">
        <v>411</v>
      </c>
      <c r="G231" s="72" t="s">
        <v>90</v>
      </c>
      <c r="H231" s="72" t="s">
        <v>311</v>
      </c>
      <c r="I231" s="502">
        <v>8.65</v>
      </c>
      <c r="J231" s="347">
        <f t="shared" si="17"/>
        <v>359</v>
      </c>
      <c r="K231" s="260">
        <v>255</v>
      </c>
      <c r="L231" s="260"/>
      <c r="M231" s="260">
        <v>102</v>
      </c>
      <c r="N231" s="260"/>
      <c r="O231" s="260">
        <v>2</v>
      </c>
      <c r="P231" s="260"/>
      <c r="Q231" s="259" t="e">
        <f>IF(K231="nio",0,IF(K231&gt;0,K231*I231/W231,0))*VLOOKUP(B231,'2-Kosten per locatie'!$A$14:$C$28,3,FALSE)</f>
        <v>#DIV/0!</v>
      </c>
      <c r="R231" s="259">
        <f>IF(L231&gt;0,L231*I231/X231,0)*VLOOKUP(B231,'2-Kosten per locatie'!$A$14:$C$28,3,FALSE)</f>
        <v>0</v>
      </c>
      <c r="S231" s="259" t="e">
        <f>IF(M231&gt;0,M231*I231/Y231,0)*VLOOKUP(B231,'2-Kosten per locatie'!$A$14:$C$28,3,FALSE)</f>
        <v>#DIV/0!</v>
      </c>
      <c r="T231" s="259">
        <f>IF(N231&gt;0,N231*I231/Z231,0)*VLOOKUP(B231,'2-Kosten per locatie'!$A$14:$C$28,3,FALSE)</f>
        <v>0</v>
      </c>
      <c r="U231" s="259" t="e">
        <f>IF(O231&gt;0,O231*I231/Y231,0)*VLOOKUP(B231,'2-Kosten per locatie'!$A$14:$C$28,3,FALSE)</f>
        <v>#DIV/0!</v>
      </c>
      <c r="V231" s="259">
        <f>IF(P231&gt;0,P231*I231/Z231,0)*VLOOKUP(B231,'2-Kosten per locatie'!$A$14:$C$28,3,FALSE)</f>
        <v>0</v>
      </c>
      <c r="W231" s="348">
        <f>IF(K231="nio",0,IF(K231&gt;0,VLOOKUP(G231,'3-Productie normen'!A:N,VLOOKUP(K231,'3-Productie normen'!$B$27:$C$38,2,FALSE),FALSE)))</f>
        <v>0</v>
      </c>
      <c r="X231" s="348">
        <f t="shared" si="18"/>
        <v>0</v>
      </c>
      <c r="Y231" s="348">
        <f t="shared" si="19"/>
        <v>0</v>
      </c>
      <c r="Z231" s="348">
        <f t="shared" si="20"/>
        <v>0</v>
      </c>
      <c r="AA231" s="349">
        <f>VLOOKUP(G231,'3-Productie normen'!A:Q,15,FALSE)</f>
        <v>24.734000000000002</v>
      </c>
      <c r="AB231" s="350">
        <f>VLOOKUP(G231,'3-Productie normen'!A:Q,16,FALSE)</f>
        <v>0</v>
      </c>
      <c r="AC231" s="349"/>
      <c r="AE231" s="351">
        <f t="shared" si="16"/>
        <v>3105.35</v>
      </c>
    </row>
    <row r="232" spans="1:31" ht="14.1" customHeight="1">
      <c r="A232" s="76">
        <v>232</v>
      </c>
      <c r="B232" s="496" t="s">
        <v>300</v>
      </c>
      <c r="C232" s="312" t="s">
        <v>301</v>
      </c>
      <c r="D232" s="345" t="s">
        <v>307</v>
      </c>
      <c r="E232" s="346">
        <v>29</v>
      </c>
      <c r="F232" s="312" t="s">
        <v>336</v>
      </c>
      <c r="G232" s="312" t="s">
        <v>81</v>
      </c>
      <c r="H232" s="72" t="s">
        <v>311</v>
      </c>
      <c r="I232" s="502">
        <v>6.35</v>
      </c>
      <c r="J232" s="347">
        <f t="shared" si="17"/>
        <v>716</v>
      </c>
      <c r="K232" s="260">
        <v>255</v>
      </c>
      <c r="L232" s="260">
        <v>255</v>
      </c>
      <c r="M232" s="260">
        <v>102</v>
      </c>
      <c r="N232" s="260">
        <v>102</v>
      </c>
      <c r="O232" s="260">
        <v>2</v>
      </c>
      <c r="P232" s="260"/>
      <c r="Q232" s="259" t="e">
        <f>IF(K232="nio",0,IF(K232&gt;0,K232*I232/W232,0))*VLOOKUP(B232,'2-Kosten per locatie'!$A$14:$C$28,3,FALSE)</f>
        <v>#DIV/0!</v>
      </c>
      <c r="R232" s="259" t="e">
        <f>IF(L232&gt;0,L232*I232/X232,0)*VLOOKUP(B232,'2-Kosten per locatie'!$A$14:$C$28,3,FALSE)</f>
        <v>#DIV/0!</v>
      </c>
      <c r="S232" s="259" t="e">
        <f>IF(M232&gt;0,M232*I232/Y232,0)*VLOOKUP(B232,'2-Kosten per locatie'!$A$14:$C$28,3,FALSE)</f>
        <v>#DIV/0!</v>
      </c>
      <c r="T232" s="259" t="e">
        <f>IF(N232&gt;0,N232*I232/Z232,0)*VLOOKUP(B232,'2-Kosten per locatie'!$A$14:$C$28,3,FALSE)</f>
        <v>#DIV/0!</v>
      </c>
      <c r="U232" s="259" t="e">
        <f>IF(O232&gt;0,O232*I232/Y232,0)*VLOOKUP(B232,'2-Kosten per locatie'!$A$14:$C$28,3,FALSE)</f>
        <v>#DIV/0!</v>
      </c>
      <c r="V232" s="259">
        <f>IF(P232&gt;0,P232*I232/Z232,0)*VLOOKUP(B232,'2-Kosten per locatie'!$A$14:$C$28,3,FALSE)</f>
        <v>0</v>
      </c>
      <c r="W232" s="348">
        <f>IF(K232="nio",0,IF(K232&gt;0,VLOOKUP(G232,'3-Productie normen'!A:N,VLOOKUP(K232,'3-Productie normen'!$B$27:$C$38,2,FALSE),FALSE)))</f>
        <v>0</v>
      </c>
      <c r="X232" s="348">
        <f t="shared" si="18"/>
        <v>0</v>
      </c>
      <c r="Y232" s="348">
        <f t="shared" si="19"/>
        <v>0</v>
      </c>
      <c r="Z232" s="348">
        <f t="shared" si="20"/>
        <v>0</v>
      </c>
      <c r="AA232" s="349">
        <f>VLOOKUP(G232,'3-Productie normen'!A:Q,15,FALSE)</f>
        <v>235.06999999999988</v>
      </c>
      <c r="AB232" s="350">
        <f>VLOOKUP(G232,'3-Productie normen'!A:Q,16,FALSE)</f>
        <v>0</v>
      </c>
      <c r="AC232" s="349"/>
      <c r="AE232" s="351">
        <f t="shared" si="16"/>
        <v>4546.5999999999995</v>
      </c>
    </row>
    <row r="233" spans="1:31" ht="14.1" customHeight="1">
      <c r="A233" s="76">
        <v>233</v>
      </c>
      <c r="B233" s="496" t="s">
        <v>300</v>
      </c>
      <c r="C233" s="312" t="s">
        <v>301</v>
      </c>
      <c r="D233" s="345" t="s">
        <v>307</v>
      </c>
      <c r="E233" s="346"/>
      <c r="F233" s="312" t="s">
        <v>367</v>
      </c>
      <c r="G233" s="312" t="s">
        <v>85</v>
      </c>
      <c r="H233" s="72" t="s">
        <v>311</v>
      </c>
      <c r="I233" s="502">
        <v>27.8</v>
      </c>
      <c r="J233" s="347">
        <f t="shared" si="17"/>
        <v>716</v>
      </c>
      <c r="K233" s="260">
        <v>255</v>
      </c>
      <c r="L233" s="260">
        <v>255</v>
      </c>
      <c r="M233" s="260">
        <v>102</v>
      </c>
      <c r="N233" s="260">
        <v>102</v>
      </c>
      <c r="O233" s="260">
        <v>2</v>
      </c>
      <c r="P233" s="260"/>
      <c r="Q233" s="259" t="e">
        <f>IF(K233="nio",0,IF(K233&gt;0,K233*I233/W233,0))*VLOOKUP(B233,'2-Kosten per locatie'!$A$14:$C$28,3,FALSE)</f>
        <v>#DIV/0!</v>
      </c>
      <c r="R233" s="259" t="e">
        <f>IF(L233&gt;0,L233*I233/X233,0)*VLOOKUP(B233,'2-Kosten per locatie'!$A$14:$C$28,3,FALSE)</f>
        <v>#DIV/0!</v>
      </c>
      <c r="S233" s="259" t="e">
        <f>IF(M233&gt;0,M233*I233/Y233,0)*VLOOKUP(B233,'2-Kosten per locatie'!$A$14:$C$28,3,FALSE)</f>
        <v>#DIV/0!</v>
      </c>
      <c r="T233" s="259" t="e">
        <f>IF(N233&gt;0,N233*I233/Z233,0)*VLOOKUP(B233,'2-Kosten per locatie'!$A$14:$C$28,3,FALSE)</f>
        <v>#DIV/0!</v>
      </c>
      <c r="U233" s="259" t="e">
        <f>IF(O233&gt;0,O233*I233/Y233,0)*VLOOKUP(B233,'2-Kosten per locatie'!$A$14:$C$28,3,FALSE)</f>
        <v>#DIV/0!</v>
      </c>
      <c r="V233" s="259">
        <f>IF(P233&gt;0,P233*I233/Z233,0)*VLOOKUP(B233,'2-Kosten per locatie'!$A$14:$C$28,3,FALSE)</f>
        <v>0</v>
      </c>
      <c r="W233" s="348">
        <f>IF(K233="nio",0,IF(K233&gt;0,VLOOKUP(G233,'3-Productie normen'!A:N,VLOOKUP(K233,'3-Productie normen'!$B$27:$C$38,2,FALSE),FALSE)))</f>
        <v>0</v>
      </c>
      <c r="X233" s="348">
        <f t="shared" si="18"/>
        <v>0</v>
      </c>
      <c r="Y233" s="348">
        <f t="shared" si="19"/>
        <v>0</v>
      </c>
      <c r="Z233" s="348">
        <f t="shared" si="20"/>
        <v>0</v>
      </c>
      <c r="AA233" s="349">
        <f>VLOOKUP(G233,'3-Productie normen'!A:Q,15,FALSE)</f>
        <v>1367.5950000000007</v>
      </c>
      <c r="AB233" s="350">
        <f>VLOOKUP(G233,'3-Productie normen'!A:Q,16,FALSE)</f>
        <v>0</v>
      </c>
      <c r="AC233" s="349"/>
      <c r="AE233" s="351">
        <f t="shared" si="16"/>
        <v>19904.8</v>
      </c>
    </row>
    <row r="234" spans="1:31" ht="14.1" customHeight="1">
      <c r="A234" s="76">
        <v>234</v>
      </c>
      <c r="B234" s="496" t="s">
        <v>300</v>
      </c>
      <c r="C234" s="312" t="s">
        <v>301</v>
      </c>
      <c r="D234" s="345" t="s">
        <v>307</v>
      </c>
      <c r="E234" s="346"/>
      <c r="F234" s="312" t="s">
        <v>369</v>
      </c>
      <c r="G234" s="72" t="s">
        <v>341</v>
      </c>
      <c r="H234" s="72" t="s">
        <v>311</v>
      </c>
      <c r="I234" s="502">
        <v>11</v>
      </c>
      <c r="J234" s="347">
        <f t="shared" si="17"/>
        <v>716</v>
      </c>
      <c r="K234" s="260">
        <v>255</v>
      </c>
      <c r="L234" s="260">
        <v>255</v>
      </c>
      <c r="M234" s="260">
        <v>102</v>
      </c>
      <c r="N234" s="260">
        <v>102</v>
      </c>
      <c r="O234" s="260">
        <v>2</v>
      </c>
      <c r="P234" s="260"/>
      <c r="Q234" s="259" t="e">
        <f>IF(K234="nio",0,IF(K234&gt;0,K234*I234/W234,0))*VLOOKUP(B234,'2-Kosten per locatie'!$A$14:$C$28,3,FALSE)</f>
        <v>#DIV/0!</v>
      </c>
      <c r="R234" s="259" t="e">
        <f>IF(L234&gt;0,L234*I234/X234,0)*VLOOKUP(B234,'2-Kosten per locatie'!$A$14:$C$28,3,FALSE)</f>
        <v>#DIV/0!</v>
      </c>
      <c r="S234" s="259" t="e">
        <f>IF(M234&gt;0,M234*I234/Y234,0)*VLOOKUP(B234,'2-Kosten per locatie'!$A$14:$C$28,3,FALSE)</f>
        <v>#DIV/0!</v>
      </c>
      <c r="T234" s="259" t="e">
        <f>IF(N234&gt;0,N234*I234/Z234,0)*VLOOKUP(B234,'2-Kosten per locatie'!$A$14:$C$28,3,FALSE)</f>
        <v>#DIV/0!</v>
      </c>
      <c r="U234" s="259" t="e">
        <f>IF(O234&gt;0,O234*I234/Y234,0)*VLOOKUP(B234,'2-Kosten per locatie'!$A$14:$C$28,3,FALSE)</f>
        <v>#DIV/0!</v>
      </c>
      <c r="V234" s="259">
        <f>IF(P234&gt;0,P234*I234/Z234,0)*VLOOKUP(B234,'2-Kosten per locatie'!$A$14:$C$28,3,FALSE)</f>
        <v>0</v>
      </c>
      <c r="W234" s="348">
        <f>IF(K234="nio",0,IF(K234&gt;0,VLOOKUP(G234,'3-Productie normen'!A:N,VLOOKUP(K234,'3-Productie normen'!$B$27:$C$38,2,FALSE),FALSE)))</f>
        <v>0</v>
      </c>
      <c r="X234" s="348">
        <f t="shared" si="18"/>
        <v>0</v>
      </c>
      <c r="Y234" s="348">
        <f t="shared" si="19"/>
        <v>0</v>
      </c>
      <c r="Z234" s="348">
        <f t="shared" si="20"/>
        <v>0</v>
      </c>
      <c r="AA234" s="349">
        <f>VLOOKUP(G234,'3-Productie normen'!A:Q,15,FALSE)</f>
        <v>452.79000000000019</v>
      </c>
      <c r="AB234" s="350">
        <f>VLOOKUP(G234,'3-Productie normen'!A:Q,16,FALSE)</f>
        <v>0</v>
      </c>
      <c r="AC234" s="349"/>
      <c r="AE234" s="351">
        <f t="shared" si="16"/>
        <v>7876</v>
      </c>
    </row>
    <row r="235" spans="1:31" ht="14.1" customHeight="1">
      <c r="A235" s="76">
        <v>235</v>
      </c>
      <c r="B235" s="496" t="s">
        <v>300</v>
      </c>
      <c r="C235" s="312" t="s">
        <v>301</v>
      </c>
      <c r="D235" s="345" t="s">
        <v>307</v>
      </c>
      <c r="E235" s="346"/>
      <c r="F235" s="72" t="s">
        <v>368</v>
      </c>
      <c r="G235" s="72" t="s">
        <v>81</v>
      </c>
      <c r="H235" s="72" t="s">
        <v>311</v>
      </c>
      <c r="I235" s="502">
        <v>1.64</v>
      </c>
      <c r="J235" s="347">
        <f t="shared" si="17"/>
        <v>716</v>
      </c>
      <c r="K235" s="260">
        <v>255</v>
      </c>
      <c r="L235" s="260">
        <v>255</v>
      </c>
      <c r="M235" s="260">
        <v>102</v>
      </c>
      <c r="N235" s="260">
        <v>102</v>
      </c>
      <c r="O235" s="260">
        <v>2</v>
      </c>
      <c r="P235" s="260"/>
      <c r="Q235" s="259" t="e">
        <f>IF(K235="nio",0,IF(K235&gt;0,K235*I235/W235,0))*VLOOKUP(B235,'2-Kosten per locatie'!$A$14:$C$28,3,FALSE)</f>
        <v>#DIV/0!</v>
      </c>
      <c r="R235" s="259" t="e">
        <f>IF(L235&gt;0,L235*I235/X235,0)*VLOOKUP(B235,'2-Kosten per locatie'!$A$14:$C$28,3,FALSE)</f>
        <v>#DIV/0!</v>
      </c>
      <c r="S235" s="259" t="e">
        <f>IF(M235&gt;0,M235*I235/Y235,0)*VLOOKUP(B235,'2-Kosten per locatie'!$A$14:$C$28,3,FALSE)</f>
        <v>#DIV/0!</v>
      </c>
      <c r="T235" s="259" t="e">
        <f>IF(N235&gt;0,N235*I235/Z235,0)*VLOOKUP(B235,'2-Kosten per locatie'!$A$14:$C$28,3,FALSE)</f>
        <v>#DIV/0!</v>
      </c>
      <c r="U235" s="259" t="e">
        <f>IF(O235&gt;0,O235*I235/Y235,0)*VLOOKUP(B235,'2-Kosten per locatie'!$A$14:$C$28,3,FALSE)</f>
        <v>#DIV/0!</v>
      </c>
      <c r="V235" s="259">
        <f>IF(P235&gt;0,P235*I235/Z235,0)*VLOOKUP(B235,'2-Kosten per locatie'!$A$14:$C$28,3,FALSE)</f>
        <v>0</v>
      </c>
      <c r="W235" s="348">
        <f>IF(K235="nio",0,IF(K235&gt;0,VLOOKUP(G235,'3-Productie normen'!A:N,VLOOKUP(K235,'3-Productie normen'!$B$27:$C$38,2,FALSE),FALSE)))</f>
        <v>0</v>
      </c>
      <c r="X235" s="348">
        <f t="shared" si="18"/>
        <v>0</v>
      </c>
      <c r="Y235" s="348">
        <f t="shared" si="19"/>
        <v>0</v>
      </c>
      <c r="Z235" s="348">
        <f t="shared" si="20"/>
        <v>0</v>
      </c>
      <c r="AA235" s="349">
        <f>VLOOKUP(G235,'3-Productie normen'!A:Q,15,FALSE)</f>
        <v>235.06999999999988</v>
      </c>
      <c r="AB235" s="350">
        <f>VLOOKUP(G235,'3-Productie normen'!A:Q,16,FALSE)</f>
        <v>0</v>
      </c>
      <c r="AC235" s="349"/>
      <c r="AE235" s="351">
        <f t="shared" si="16"/>
        <v>1174.24</v>
      </c>
    </row>
    <row r="236" spans="1:31" ht="14.1" customHeight="1">
      <c r="A236" s="76">
        <v>236</v>
      </c>
      <c r="B236" s="496" t="s">
        <v>300</v>
      </c>
      <c r="C236" s="312" t="s">
        <v>301</v>
      </c>
      <c r="D236" s="345" t="s">
        <v>307</v>
      </c>
      <c r="E236" s="346"/>
      <c r="F236" s="72" t="s">
        <v>370</v>
      </c>
      <c r="G236" s="72" t="s">
        <v>85</v>
      </c>
      <c r="H236" s="72" t="s">
        <v>311</v>
      </c>
      <c r="I236" s="502">
        <v>27.8</v>
      </c>
      <c r="J236" s="347">
        <f t="shared" si="17"/>
        <v>716</v>
      </c>
      <c r="K236" s="260">
        <v>255</v>
      </c>
      <c r="L236" s="260">
        <v>255</v>
      </c>
      <c r="M236" s="260">
        <v>102</v>
      </c>
      <c r="N236" s="260">
        <v>102</v>
      </c>
      <c r="O236" s="260">
        <v>2</v>
      </c>
      <c r="P236" s="260"/>
      <c r="Q236" s="259" t="e">
        <f>IF(K236="nio",0,IF(K236&gt;0,K236*I236/W236,0))*VLOOKUP(B236,'2-Kosten per locatie'!$A$14:$C$28,3,FALSE)</f>
        <v>#DIV/0!</v>
      </c>
      <c r="R236" s="259" t="e">
        <f>IF(L236&gt;0,L236*I236/X236,0)*VLOOKUP(B236,'2-Kosten per locatie'!$A$14:$C$28,3,FALSE)</f>
        <v>#DIV/0!</v>
      </c>
      <c r="S236" s="259" t="e">
        <f>IF(M236&gt;0,M236*I236/Y236,0)*VLOOKUP(B236,'2-Kosten per locatie'!$A$14:$C$28,3,FALSE)</f>
        <v>#DIV/0!</v>
      </c>
      <c r="T236" s="259" t="e">
        <f>IF(N236&gt;0,N236*I236/Z236,0)*VLOOKUP(B236,'2-Kosten per locatie'!$A$14:$C$28,3,FALSE)</f>
        <v>#DIV/0!</v>
      </c>
      <c r="U236" s="259" t="e">
        <f>IF(O236&gt;0,O236*I236/Y236,0)*VLOOKUP(B236,'2-Kosten per locatie'!$A$14:$C$28,3,FALSE)</f>
        <v>#DIV/0!</v>
      </c>
      <c r="V236" s="259">
        <f>IF(P236&gt;0,P236*I236/Z236,0)*VLOOKUP(B236,'2-Kosten per locatie'!$A$14:$C$28,3,FALSE)</f>
        <v>0</v>
      </c>
      <c r="W236" s="348">
        <f>IF(K236="nio",0,IF(K236&gt;0,VLOOKUP(G236,'3-Productie normen'!A:N,VLOOKUP(K236,'3-Productie normen'!$B$27:$C$38,2,FALSE),FALSE)))</f>
        <v>0</v>
      </c>
      <c r="X236" s="348">
        <f t="shared" si="18"/>
        <v>0</v>
      </c>
      <c r="Y236" s="348">
        <f t="shared" si="19"/>
        <v>0</v>
      </c>
      <c r="Z236" s="348">
        <f t="shared" si="20"/>
        <v>0</v>
      </c>
      <c r="AA236" s="349">
        <f>VLOOKUP(G236,'3-Productie normen'!A:Q,15,FALSE)</f>
        <v>1367.5950000000007</v>
      </c>
      <c r="AB236" s="350">
        <f>VLOOKUP(G236,'3-Productie normen'!A:Q,16,FALSE)</f>
        <v>0</v>
      </c>
      <c r="AC236" s="349"/>
      <c r="AE236" s="351">
        <f t="shared" si="16"/>
        <v>19904.8</v>
      </c>
    </row>
    <row r="237" spans="1:31" ht="14.1" customHeight="1">
      <c r="A237" s="76">
        <v>237</v>
      </c>
      <c r="B237" s="496" t="s">
        <v>300</v>
      </c>
      <c r="C237" s="312" t="s">
        <v>301</v>
      </c>
      <c r="D237" s="345" t="s">
        <v>307</v>
      </c>
      <c r="E237" s="346"/>
      <c r="F237" s="72" t="s">
        <v>372</v>
      </c>
      <c r="G237" s="72" t="s">
        <v>341</v>
      </c>
      <c r="H237" s="72" t="s">
        <v>311</v>
      </c>
      <c r="I237" s="502">
        <v>11</v>
      </c>
      <c r="J237" s="347">
        <f t="shared" si="17"/>
        <v>716</v>
      </c>
      <c r="K237" s="260">
        <v>255</v>
      </c>
      <c r="L237" s="260">
        <v>255</v>
      </c>
      <c r="M237" s="260">
        <v>102</v>
      </c>
      <c r="N237" s="260">
        <v>102</v>
      </c>
      <c r="O237" s="260">
        <v>2</v>
      </c>
      <c r="P237" s="260"/>
      <c r="Q237" s="259" t="e">
        <f>IF(K237="nio",0,IF(K237&gt;0,K237*I237/W237,0))*VLOOKUP(B237,'2-Kosten per locatie'!$A$14:$C$28,3,FALSE)</f>
        <v>#DIV/0!</v>
      </c>
      <c r="R237" s="259" t="e">
        <f>IF(L237&gt;0,L237*I237/X237,0)*VLOOKUP(B237,'2-Kosten per locatie'!$A$14:$C$28,3,FALSE)</f>
        <v>#DIV/0!</v>
      </c>
      <c r="S237" s="259" t="e">
        <f>IF(M237&gt;0,M237*I237/Y237,0)*VLOOKUP(B237,'2-Kosten per locatie'!$A$14:$C$28,3,FALSE)</f>
        <v>#DIV/0!</v>
      </c>
      <c r="T237" s="259" t="e">
        <f>IF(N237&gt;0,N237*I237/Z237,0)*VLOOKUP(B237,'2-Kosten per locatie'!$A$14:$C$28,3,FALSE)</f>
        <v>#DIV/0!</v>
      </c>
      <c r="U237" s="259" t="e">
        <f>IF(O237&gt;0,O237*I237/Y237,0)*VLOOKUP(B237,'2-Kosten per locatie'!$A$14:$C$28,3,FALSE)</f>
        <v>#DIV/0!</v>
      </c>
      <c r="V237" s="259">
        <f>IF(P237&gt;0,P237*I237/Z237,0)*VLOOKUP(B237,'2-Kosten per locatie'!$A$14:$C$28,3,FALSE)</f>
        <v>0</v>
      </c>
      <c r="W237" s="348">
        <f>IF(K237="nio",0,IF(K237&gt;0,VLOOKUP(G237,'3-Productie normen'!A:N,VLOOKUP(K237,'3-Productie normen'!$B$27:$C$38,2,FALSE),FALSE)))</f>
        <v>0</v>
      </c>
      <c r="X237" s="348">
        <f t="shared" si="18"/>
        <v>0</v>
      </c>
      <c r="Y237" s="348">
        <f t="shared" si="19"/>
        <v>0</v>
      </c>
      <c r="Z237" s="348">
        <f t="shared" si="20"/>
        <v>0</v>
      </c>
      <c r="AA237" s="349">
        <f>VLOOKUP(G237,'3-Productie normen'!A:Q,15,FALSE)</f>
        <v>452.79000000000019</v>
      </c>
      <c r="AB237" s="350">
        <f>VLOOKUP(G237,'3-Productie normen'!A:Q,16,FALSE)</f>
        <v>0</v>
      </c>
      <c r="AC237" s="349"/>
      <c r="AE237" s="351">
        <f t="shared" si="16"/>
        <v>7876</v>
      </c>
    </row>
    <row r="238" spans="1:31" ht="14.1" customHeight="1">
      <c r="A238" s="76">
        <v>238</v>
      </c>
      <c r="B238" s="496" t="s">
        <v>300</v>
      </c>
      <c r="C238" s="312" t="s">
        <v>301</v>
      </c>
      <c r="D238" s="345" t="s">
        <v>307</v>
      </c>
      <c r="E238" s="346"/>
      <c r="F238" s="72" t="s">
        <v>371</v>
      </c>
      <c r="G238" s="72" t="s">
        <v>81</v>
      </c>
      <c r="H238" s="72" t="s">
        <v>311</v>
      </c>
      <c r="I238" s="502">
        <v>1.64</v>
      </c>
      <c r="J238" s="347">
        <f t="shared" si="17"/>
        <v>716</v>
      </c>
      <c r="K238" s="260">
        <v>255</v>
      </c>
      <c r="L238" s="260">
        <v>255</v>
      </c>
      <c r="M238" s="260">
        <v>102</v>
      </c>
      <c r="N238" s="260">
        <v>102</v>
      </c>
      <c r="O238" s="260">
        <v>2</v>
      </c>
      <c r="P238" s="260"/>
      <c r="Q238" s="259" t="e">
        <f>IF(K238="nio",0,IF(K238&gt;0,K238*I238/W238,0))*VLOOKUP(B238,'2-Kosten per locatie'!$A$14:$C$28,3,FALSE)</f>
        <v>#DIV/0!</v>
      </c>
      <c r="R238" s="259" t="e">
        <f>IF(L238&gt;0,L238*I238/X238,0)*VLOOKUP(B238,'2-Kosten per locatie'!$A$14:$C$28,3,FALSE)</f>
        <v>#DIV/0!</v>
      </c>
      <c r="S238" s="259" t="e">
        <f>IF(M238&gt;0,M238*I238/Y238,0)*VLOOKUP(B238,'2-Kosten per locatie'!$A$14:$C$28,3,FALSE)</f>
        <v>#DIV/0!</v>
      </c>
      <c r="T238" s="259" t="e">
        <f>IF(N238&gt;0,N238*I238/Z238,0)*VLOOKUP(B238,'2-Kosten per locatie'!$A$14:$C$28,3,FALSE)</f>
        <v>#DIV/0!</v>
      </c>
      <c r="U238" s="259" t="e">
        <f>IF(O238&gt;0,O238*I238/Y238,0)*VLOOKUP(B238,'2-Kosten per locatie'!$A$14:$C$28,3,FALSE)</f>
        <v>#DIV/0!</v>
      </c>
      <c r="V238" s="259">
        <f>IF(P238&gt;0,P238*I238/Z238,0)*VLOOKUP(B238,'2-Kosten per locatie'!$A$14:$C$28,3,FALSE)</f>
        <v>0</v>
      </c>
      <c r="W238" s="348">
        <f>IF(K238="nio",0,IF(K238&gt;0,VLOOKUP(G238,'3-Productie normen'!A:N,VLOOKUP(K238,'3-Productie normen'!$B$27:$C$38,2,FALSE),FALSE)))</f>
        <v>0</v>
      </c>
      <c r="X238" s="348">
        <f t="shared" si="18"/>
        <v>0</v>
      </c>
      <c r="Y238" s="348">
        <f t="shared" si="19"/>
        <v>0</v>
      </c>
      <c r="Z238" s="348">
        <f t="shared" si="20"/>
        <v>0</v>
      </c>
      <c r="AA238" s="349">
        <f>VLOOKUP(G238,'3-Productie normen'!A:Q,15,FALSE)</f>
        <v>235.06999999999988</v>
      </c>
      <c r="AB238" s="350">
        <f>VLOOKUP(G238,'3-Productie normen'!A:Q,16,FALSE)</f>
        <v>0</v>
      </c>
      <c r="AC238" s="349"/>
      <c r="AE238" s="351">
        <f t="shared" si="16"/>
        <v>1174.24</v>
      </c>
    </row>
    <row r="239" spans="1:31" ht="14.1" customHeight="1">
      <c r="A239" s="76">
        <v>239</v>
      </c>
      <c r="B239" s="496" t="s">
        <v>300</v>
      </c>
      <c r="C239" s="312" t="s">
        <v>301</v>
      </c>
      <c r="D239" s="88" t="s">
        <v>307</v>
      </c>
      <c r="E239" s="255">
        <v>30</v>
      </c>
      <c r="F239" s="88" t="s">
        <v>412</v>
      </c>
      <c r="G239" s="88" t="s">
        <v>461</v>
      </c>
      <c r="H239" s="89" t="s">
        <v>311</v>
      </c>
      <c r="I239" s="504">
        <v>5.63</v>
      </c>
      <c r="J239" s="347">
        <f t="shared" si="17"/>
        <v>0</v>
      </c>
      <c r="K239" s="260" t="s">
        <v>460</v>
      </c>
      <c r="L239" s="260"/>
      <c r="M239" s="260"/>
      <c r="N239" s="260"/>
      <c r="O239" s="260"/>
      <c r="P239" s="260"/>
      <c r="Q239" s="259">
        <f>IF(K239="nio",0,IF(K239&gt;0,K239*I239/W239,0))*VLOOKUP(B239,'2-Kosten per locatie'!$A$14:$C$28,3,FALSE)</f>
        <v>0</v>
      </c>
      <c r="R239" s="259">
        <f>IF(L239&gt;0,L239*I239/X239,0)*VLOOKUP(B239,'2-Kosten per locatie'!$A$14:$C$28,3,FALSE)</f>
        <v>0</v>
      </c>
      <c r="S239" s="259">
        <f>IF(M239&gt;0,M239*I239/Y239,0)*VLOOKUP(B239,'2-Kosten per locatie'!$A$14:$C$28,3,FALSE)</f>
        <v>0</v>
      </c>
      <c r="T239" s="259">
        <f>IF(N239&gt;0,N239*I239/Z239,0)*VLOOKUP(B239,'2-Kosten per locatie'!$A$14:$C$28,3,FALSE)</f>
        <v>0</v>
      </c>
      <c r="U239" s="259">
        <f>IF(O239&gt;0,O239*I239/Y239,0)*VLOOKUP(B239,'2-Kosten per locatie'!$A$14:$C$28,3,FALSE)</f>
        <v>0</v>
      </c>
      <c r="V239" s="259">
        <f>IF(P239&gt;0,P239*I239/Z239,0)*VLOOKUP(B239,'2-Kosten per locatie'!$A$14:$C$28,3,FALSE)</f>
        <v>0</v>
      </c>
      <c r="W239" s="348">
        <f>IF(K239="nio",0,IF(K239&gt;0,VLOOKUP(G239,'3-Productie normen'!A:N,VLOOKUP(K239,'3-Productie normen'!$B$27:$C$38,2,FALSE),FALSE)))</f>
        <v>0</v>
      </c>
      <c r="X239" s="348">
        <f t="shared" si="18"/>
        <v>0</v>
      </c>
      <c r="Y239" s="348">
        <f t="shared" si="19"/>
        <v>0</v>
      </c>
      <c r="Z239" s="348">
        <f t="shared" si="20"/>
        <v>0</v>
      </c>
      <c r="AA239" s="349" t="e">
        <f>VLOOKUP(G239,'3-Productie normen'!A:Q,15,FALSE)</f>
        <v>#N/A</v>
      </c>
      <c r="AB239" s="350" t="e">
        <f>VLOOKUP(G239,'3-Productie normen'!A:Q,16,FALSE)</f>
        <v>#N/A</v>
      </c>
      <c r="AC239" s="349"/>
      <c r="AE239" s="351">
        <f t="shared" si="16"/>
        <v>0</v>
      </c>
    </row>
    <row r="240" spans="1:31" ht="14.1" customHeight="1">
      <c r="A240" s="76">
        <v>240</v>
      </c>
      <c r="B240" s="496" t="s">
        <v>300</v>
      </c>
      <c r="C240" s="312" t="s">
        <v>301</v>
      </c>
      <c r="D240" s="88" t="s">
        <v>307</v>
      </c>
      <c r="E240" s="255">
        <v>31</v>
      </c>
      <c r="F240" s="88" t="s">
        <v>413</v>
      </c>
      <c r="G240" s="88" t="s">
        <v>461</v>
      </c>
      <c r="H240" s="89" t="s">
        <v>309</v>
      </c>
      <c r="I240" s="504">
        <v>135.16</v>
      </c>
      <c r="J240" s="347">
        <f t="shared" si="17"/>
        <v>0</v>
      </c>
      <c r="K240" s="260" t="s">
        <v>460</v>
      </c>
      <c r="L240" s="260"/>
      <c r="M240" s="260"/>
      <c r="N240" s="260"/>
      <c r="O240" s="260"/>
      <c r="P240" s="260"/>
      <c r="Q240" s="259">
        <f>IF(K240="nio",0,IF(K240&gt;0,K240*I240/W240,0))*VLOOKUP(B240,'2-Kosten per locatie'!$A$14:$C$28,3,FALSE)</f>
        <v>0</v>
      </c>
      <c r="R240" s="259">
        <f>IF(L240&gt;0,L240*I240/X240,0)*VLOOKUP(B240,'2-Kosten per locatie'!$A$14:$C$28,3,FALSE)</f>
        <v>0</v>
      </c>
      <c r="S240" s="259">
        <f>IF(M240&gt;0,M240*I240/Y240,0)*VLOOKUP(B240,'2-Kosten per locatie'!$A$14:$C$28,3,FALSE)</f>
        <v>0</v>
      </c>
      <c r="T240" s="259">
        <f>IF(N240&gt;0,N240*I240/Z240,0)*VLOOKUP(B240,'2-Kosten per locatie'!$A$14:$C$28,3,FALSE)</f>
        <v>0</v>
      </c>
      <c r="U240" s="259">
        <f>IF(O240&gt;0,O240*I240/Y240,0)*VLOOKUP(B240,'2-Kosten per locatie'!$A$14:$C$28,3,FALSE)</f>
        <v>0</v>
      </c>
      <c r="V240" s="259">
        <f>IF(P240&gt;0,P240*I240/Z240,0)*VLOOKUP(B240,'2-Kosten per locatie'!$A$14:$C$28,3,FALSE)</f>
        <v>0</v>
      </c>
      <c r="W240" s="348">
        <f>IF(K240="nio",0,IF(K240&gt;0,VLOOKUP(G240,'3-Productie normen'!A:N,VLOOKUP(K240,'3-Productie normen'!$B$27:$C$38,2,FALSE),FALSE)))</f>
        <v>0</v>
      </c>
      <c r="X240" s="348">
        <f t="shared" si="18"/>
        <v>0</v>
      </c>
      <c r="Y240" s="348">
        <f t="shared" si="19"/>
        <v>0</v>
      </c>
      <c r="Z240" s="348">
        <f t="shared" si="20"/>
        <v>0</v>
      </c>
      <c r="AA240" s="349" t="e">
        <f>VLOOKUP(G240,'3-Productie normen'!A:Q,15,FALSE)</f>
        <v>#N/A</v>
      </c>
      <c r="AB240" s="350" t="e">
        <f>VLOOKUP(G240,'3-Productie normen'!A:Q,16,FALSE)</f>
        <v>#N/A</v>
      </c>
      <c r="AC240" s="349"/>
      <c r="AE240" s="351">
        <f t="shared" si="16"/>
        <v>0</v>
      </c>
    </row>
    <row r="241" spans="1:31" ht="14.1" customHeight="1">
      <c r="A241" s="76">
        <v>241</v>
      </c>
      <c r="B241" s="496" t="s">
        <v>300</v>
      </c>
      <c r="C241" s="312" t="s">
        <v>301</v>
      </c>
      <c r="D241" s="88" t="s">
        <v>307</v>
      </c>
      <c r="E241" s="255">
        <v>32</v>
      </c>
      <c r="F241" s="88" t="s">
        <v>312</v>
      </c>
      <c r="G241" s="88" t="s">
        <v>461</v>
      </c>
      <c r="H241" s="89" t="s">
        <v>330</v>
      </c>
      <c r="I241" s="504">
        <v>3.61</v>
      </c>
      <c r="J241" s="347">
        <f t="shared" si="17"/>
        <v>0</v>
      </c>
      <c r="K241" s="260" t="s">
        <v>460</v>
      </c>
      <c r="L241" s="260"/>
      <c r="M241" s="260"/>
      <c r="N241" s="260"/>
      <c r="O241" s="260"/>
      <c r="P241" s="260"/>
      <c r="Q241" s="259">
        <f>IF(K241="nio",0,IF(K241&gt;0,K241*I241/W241,0))*VLOOKUP(B241,'2-Kosten per locatie'!$A$14:$C$28,3,FALSE)</f>
        <v>0</v>
      </c>
      <c r="R241" s="259">
        <f>IF(L241&gt;0,L241*I241/X241,0)*VLOOKUP(B241,'2-Kosten per locatie'!$A$14:$C$28,3,FALSE)</f>
        <v>0</v>
      </c>
      <c r="S241" s="259">
        <f>IF(M241&gt;0,M241*I241/Y241,0)*VLOOKUP(B241,'2-Kosten per locatie'!$A$14:$C$28,3,FALSE)</f>
        <v>0</v>
      </c>
      <c r="T241" s="259">
        <f>IF(N241&gt;0,N241*I241/Z241,0)*VLOOKUP(B241,'2-Kosten per locatie'!$A$14:$C$28,3,FALSE)</f>
        <v>0</v>
      </c>
      <c r="U241" s="259">
        <f>IF(O241&gt;0,O241*I241/Y241,0)*VLOOKUP(B241,'2-Kosten per locatie'!$A$14:$C$28,3,FALSE)</f>
        <v>0</v>
      </c>
      <c r="V241" s="259">
        <f>IF(P241&gt;0,P241*I241/Z241,0)*VLOOKUP(B241,'2-Kosten per locatie'!$A$14:$C$28,3,FALSE)</f>
        <v>0</v>
      </c>
      <c r="W241" s="348">
        <f>IF(K241="nio",0,IF(K241&gt;0,VLOOKUP(G241,'3-Productie normen'!A:N,VLOOKUP(K241,'3-Productie normen'!$B$27:$C$38,2,FALSE),FALSE)))</f>
        <v>0</v>
      </c>
      <c r="X241" s="348">
        <f t="shared" si="18"/>
        <v>0</v>
      </c>
      <c r="Y241" s="348">
        <f t="shared" si="19"/>
        <v>0</v>
      </c>
      <c r="Z241" s="348">
        <f t="shared" si="20"/>
        <v>0</v>
      </c>
      <c r="AA241" s="349" t="e">
        <f>VLOOKUP(G241,'3-Productie normen'!A:Q,15,FALSE)</f>
        <v>#N/A</v>
      </c>
      <c r="AB241" s="350" t="e">
        <f>VLOOKUP(G241,'3-Productie normen'!A:Q,16,FALSE)</f>
        <v>#N/A</v>
      </c>
      <c r="AC241" s="349"/>
      <c r="AE241" s="351">
        <f t="shared" si="16"/>
        <v>0</v>
      </c>
    </row>
    <row r="242" spans="1:31" ht="14.1" customHeight="1">
      <c r="A242" s="76">
        <v>242</v>
      </c>
      <c r="B242" s="496" t="s">
        <v>300</v>
      </c>
      <c r="C242" s="312" t="s">
        <v>301</v>
      </c>
      <c r="D242" s="88" t="s">
        <v>307</v>
      </c>
      <c r="E242" s="255">
        <v>33</v>
      </c>
      <c r="F242" s="88" t="s">
        <v>375</v>
      </c>
      <c r="G242" s="88" t="s">
        <v>461</v>
      </c>
      <c r="H242" s="89" t="s">
        <v>311</v>
      </c>
      <c r="I242" s="504">
        <v>12.38</v>
      </c>
      <c r="J242" s="347">
        <f t="shared" si="17"/>
        <v>0</v>
      </c>
      <c r="K242" s="260" t="s">
        <v>460</v>
      </c>
      <c r="L242" s="260"/>
      <c r="M242" s="260"/>
      <c r="N242" s="260"/>
      <c r="O242" s="260"/>
      <c r="P242" s="260"/>
      <c r="Q242" s="259">
        <f>IF(K242="nio",0,IF(K242&gt;0,K242*I242/W242,0))*VLOOKUP(B242,'2-Kosten per locatie'!$A$14:$C$28,3,FALSE)</f>
        <v>0</v>
      </c>
      <c r="R242" s="259">
        <f>IF(L242&gt;0,L242*I242/X242,0)*VLOOKUP(B242,'2-Kosten per locatie'!$A$14:$C$28,3,FALSE)</f>
        <v>0</v>
      </c>
      <c r="S242" s="259">
        <f>IF(M242&gt;0,M242*I242/Y242,0)*VLOOKUP(B242,'2-Kosten per locatie'!$A$14:$C$28,3,FALSE)</f>
        <v>0</v>
      </c>
      <c r="T242" s="259">
        <f>IF(N242&gt;0,N242*I242/Z242,0)*VLOOKUP(B242,'2-Kosten per locatie'!$A$14:$C$28,3,FALSE)</f>
        <v>0</v>
      </c>
      <c r="U242" s="259">
        <f>IF(O242&gt;0,O242*I242/Y242,0)*VLOOKUP(B242,'2-Kosten per locatie'!$A$14:$C$28,3,FALSE)</f>
        <v>0</v>
      </c>
      <c r="V242" s="259">
        <f>IF(P242&gt;0,P242*I242/Z242,0)*VLOOKUP(B242,'2-Kosten per locatie'!$A$14:$C$28,3,FALSE)</f>
        <v>0</v>
      </c>
      <c r="W242" s="348">
        <f>IF(K242="nio",0,IF(K242&gt;0,VLOOKUP(G242,'3-Productie normen'!A:N,VLOOKUP(K242,'3-Productie normen'!$B$27:$C$38,2,FALSE),FALSE)))</f>
        <v>0</v>
      </c>
      <c r="X242" s="348">
        <f t="shared" si="18"/>
        <v>0</v>
      </c>
      <c r="Y242" s="348">
        <f t="shared" si="19"/>
        <v>0</v>
      </c>
      <c r="Z242" s="348">
        <f t="shared" si="20"/>
        <v>0</v>
      </c>
      <c r="AA242" s="349" t="e">
        <f>VLOOKUP(G242,'3-Productie normen'!A:Q,15,FALSE)</f>
        <v>#N/A</v>
      </c>
      <c r="AB242" s="350" t="e">
        <f>VLOOKUP(G242,'3-Productie normen'!A:Q,16,FALSE)</f>
        <v>#N/A</v>
      </c>
      <c r="AC242" s="349"/>
      <c r="AE242" s="351">
        <f t="shared" si="16"/>
        <v>0</v>
      </c>
    </row>
    <row r="243" spans="1:31" ht="14.1" customHeight="1">
      <c r="A243" s="76">
        <v>243</v>
      </c>
      <c r="B243" s="496" t="s">
        <v>300</v>
      </c>
      <c r="C243" s="312" t="s">
        <v>301</v>
      </c>
      <c r="D243" s="88" t="s">
        <v>307</v>
      </c>
      <c r="E243" s="255">
        <v>34</v>
      </c>
      <c r="F243" s="88" t="s">
        <v>414</v>
      </c>
      <c r="G243" s="88" t="s">
        <v>461</v>
      </c>
      <c r="H243" s="89" t="s">
        <v>311</v>
      </c>
      <c r="I243" s="504">
        <v>7.35</v>
      </c>
      <c r="J243" s="347">
        <f t="shared" si="17"/>
        <v>0</v>
      </c>
      <c r="K243" s="260" t="s">
        <v>460</v>
      </c>
      <c r="L243" s="260"/>
      <c r="M243" s="260"/>
      <c r="N243" s="260"/>
      <c r="O243" s="260"/>
      <c r="P243" s="260"/>
      <c r="Q243" s="259">
        <f>IF(K243="nio",0,IF(K243&gt;0,K243*I243/W243,0))*VLOOKUP(B243,'2-Kosten per locatie'!$A$14:$C$28,3,FALSE)</f>
        <v>0</v>
      </c>
      <c r="R243" s="259">
        <f>IF(L243&gt;0,L243*I243/X243,0)*VLOOKUP(B243,'2-Kosten per locatie'!$A$14:$C$28,3,FALSE)</f>
        <v>0</v>
      </c>
      <c r="S243" s="259">
        <f>IF(M243&gt;0,M243*I243/Y243,0)*VLOOKUP(B243,'2-Kosten per locatie'!$A$14:$C$28,3,FALSE)</f>
        <v>0</v>
      </c>
      <c r="T243" s="259">
        <f>IF(N243&gt;0,N243*I243/Z243,0)*VLOOKUP(B243,'2-Kosten per locatie'!$A$14:$C$28,3,FALSE)</f>
        <v>0</v>
      </c>
      <c r="U243" s="259">
        <f>IF(O243&gt;0,O243*I243/Y243,0)*VLOOKUP(B243,'2-Kosten per locatie'!$A$14:$C$28,3,FALSE)</f>
        <v>0</v>
      </c>
      <c r="V243" s="259">
        <f>IF(P243&gt;0,P243*I243/Z243,0)*VLOOKUP(B243,'2-Kosten per locatie'!$A$14:$C$28,3,FALSE)</f>
        <v>0</v>
      </c>
      <c r="W243" s="348">
        <f>IF(K243="nio",0,IF(K243&gt;0,VLOOKUP(G243,'3-Productie normen'!A:N,VLOOKUP(K243,'3-Productie normen'!$B$27:$C$38,2,FALSE),FALSE)))</f>
        <v>0</v>
      </c>
      <c r="X243" s="348">
        <f t="shared" si="18"/>
        <v>0</v>
      </c>
      <c r="Y243" s="348">
        <f t="shared" si="19"/>
        <v>0</v>
      </c>
      <c r="Z243" s="348">
        <f t="shared" si="20"/>
        <v>0</v>
      </c>
      <c r="AA243" s="349" t="e">
        <f>VLOOKUP(G243,'3-Productie normen'!A:Q,15,FALSE)</f>
        <v>#N/A</v>
      </c>
      <c r="AB243" s="350" t="e">
        <f>VLOOKUP(G243,'3-Productie normen'!A:Q,16,FALSE)</f>
        <v>#N/A</v>
      </c>
      <c r="AC243" s="349"/>
      <c r="AE243" s="351">
        <f t="shared" si="16"/>
        <v>0</v>
      </c>
    </row>
    <row r="244" spans="1:31" ht="14.1" customHeight="1">
      <c r="A244" s="76">
        <v>244</v>
      </c>
      <c r="B244" s="496" t="s">
        <v>300</v>
      </c>
      <c r="C244" s="312" t="s">
        <v>301</v>
      </c>
      <c r="D244" s="88" t="s">
        <v>307</v>
      </c>
      <c r="E244" s="255">
        <v>35</v>
      </c>
      <c r="F244" s="88" t="s">
        <v>411</v>
      </c>
      <c r="G244" s="88" t="s">
        <v>90</v>
      </c>
      <c r="H244" s="88" t="s">
        <v>311</v>
      </c>
      <c r="I244" s="504">
        <v>3.5</v>
      </c>
      <c r="J244" s="347">
        <f t="shared" si="17"/>
        <v>360</v>
      </c>
      <c r="K244" s="260">
        <v>255</v>
      </c>
      <c r="L244" s="260"/>
      <c r="M244" s="260">
        <v>102</v>
      </c>
      <c r="N244" s="260"/>
      <c r="O244" s="260">
        <v>3</v>
      </c>
      <c r="P244" s="260"/>
      <c r="Q244" s="259" t="e">
        <f>IF(K244="nio",0,IF(K244&gt;0,K244*I244/W244,0))*VLOOKUP(B244,'2-Kosten per locatie'!$A$14:$C$28,3,FALSE)</f>
        <v>#DIV/0!</v>
      </c>
      <c r="R244" s="259">
        <f>IF(L244&gt;0,L244*I244/X244,0)*VLOOKUP(B244,'2-Kosten per locatie'!$A$14:$C$28,3,FALSE)</f>
        <v>0</v>
      </c>
      <c r="S244" s="259" t="e">
        <f>IF(M244&gt;0,M244*I244/Y244,0)*VLOOKUP(B244,'2-Kosten per locatie'!$A$14:$C$28,3,FALSE)</f>
        <v>#DIV/0!</v>
      </c>
      <c r="T244" s="259">
        <f>IF(N244&gt;0,N244*I244/Z244,0)*VLOOKUP(B244,'2-Kosten per locatie'!$A$14:$C$28,3,FALSE)</f>
        <v>0</v>
      </c>
      <c r="U244" s="259" t="e">
        <f>IF(O244&gt;0,O244*I244/Y244,0)*VLOOKUP(B244,'2-Kosten per locatie'!$A$14:$C$28,3,FALSE)</f>
        <v>#DIV/0!</v>
      </c>
      <c r="V244" s="259">
        <f>IF(P244&gt;0,P244*I244/Z244,0)*VLOOKUP(B244,'2-Kosten per locatie'!$A$14:$C$28,3,FALSE)</f>
        <v>0</v>
      </c>
      <c r="W244" s="348">
        <f>IF(K244="nio",0,IF(K244&gt;0,VLOOKUP(G244,'3-Productie normen'!A:N,VLOOKUP(K244,'3-Productie normen'!$B$27:$C$38,2,FALSE),FALSE)))</f>
        <v>0</v>
      </c>
      <c r="X244" s="348">
        <f t="shared" si="18"/>
        <v>0</v>
      </c>
      <c r="Y244" s="348">
        <f t="shared" si="19"/>
        <v>0</v>
      </c>
      <c r="Z244" s="348">
        <f t="shared" si="20"/>
        <v>0</v>
      </c>
      <c r="AA244" s="349">
        <f>VLOOKUP(G244,'3-Productie normen'!A:Q,15,FALSE)</f>
        <v>24.734000000000002</v>
      </c>
      <c r="AB244" s="350">
        <f>VLOOKUP(G244,'3-Productie normen'!A:Q,16,FALSE)</f>
        <v>0</v>
      </c>
      <c r="AC244" s="349"/>
      <c r="AE244" s="351">
        <f t="shared" si="16"/>
        <v>1260</v>
      </c>
    </row>
    <row r="245" spans="1:31" ht="14.1" customHeight="1">
      <c r="A245" s="76">
        <v>245</v>
      </c>
      <c r="B245" s="496" t="s">
        <v>300</v>
      </c>
      <c r="C245" s="312" t="s">
        <v>301</v>
      </c>
      <c r="D245" s="88" t="s">
        <v>359</v>
      </c>
      <c r="E245" s="255">
        <v>36</v>
      </c>
      <c r="F245" s="88" t="s">
        <v>360</v>
      </c>
      <c r="G245" s="88" t="s">
        <v>83</v>
      </c>
      <c r="H245" s="88" t="s">
        <v>415</v>
      </c>
      <c r="I245" s="504">
        <v>115</v>
      </c>
      <c r="J245" s="347">
        <f t="shared" si="17"/>
        <v>360</v>
      </c>
      <c r="K245" s="260">
        <v>255</v>
      </c>
      <c r="L245" s="260"/>
      <c r="M245" s="260">
        <v>102</v>
      </c>
      <c r="N245" s="260"/>
      <c r="O245" s="260">
        <v>3</v>
      </c>
      <c r="P245" s="260"/>
      <c r="Q245" s="259" t="e">
        <f>IF(K245="nio",0,IF(K245&gt;0,K245*I245/W245,0))*VLOOKUP(B245,'2-Kosten per locatie'!$A$14:$C$28,3,FALSE)</f>
        <v>#DIV/0!</v>
      </c>
      <c r="R245" s="259">
        <f>IF(L245&gt;0,L245*I245/X245,0)*VLOOKUP(B245,'2-Kosten per locatie'!$A$14:$C$28,3,FALSE)</f>
        <v>0</v>
      </c>
      <c r="S245" s="259" t="e">
        <f>IF(M245&gt;0,M245*I245/Y245,0)*VLOOKUP(B245,'2-Kosten per locatie'!$A$14:$C$28,3,FALSE)</f>
        <v>#DIV/0!</v>
      </c>
      <c r="T245" s="259">
        <f>IF(N245&gt;0,N245*I245/Z245,0)*VLOOKUP(B245,'2-Kosten per locatie'!$A$14:$C$28,3,FALSE)</f>
        <v>0</v>
      </c>
      <c r="U245" s="259" t="e">
        <f>IF(O245&gt;0,O245*I245/Y245,0)*VLOOKUP(B245,'2-Kosten per locatie'!$A$14:$C$28,3,FALSE)</f>
        <v>#DIV/0!</v>
      </c>
      <c r="V245" s="259">
        <f>IF(P245&gt;0,P245*I245/Z245,0)*VLOOKUP(B245,'2-Kosten per locatie'!$A$14:$C$28,3,FALSE)</f>
        <v>0</v>
      </c>
      <c r="W245" s="348">
        <f>IF(K245="nio",0,IF(K245&gt;0,VLOOKUP(G245,'3-Productie normen'!A:N,VLOOKUP(K245,'3-Productie normen'!$B$27:$C$38,2,FALSE),FALSE)))</f>
        <v>0</v>
      </c>
      <c r="X245" s="348">
        <f t="shared" si="18"/>
        <v>0</v>
      </c>
      <c r="Y245" s="348">
        <f t="shared" si="19"/>
        <v>0</v>
      </c>
      <c r="Z245" s="348">
        <f t="shared" si="20"/>
        <v>0</v>
      </c>
      <c r="AA245" s="349">
        <f>VLOOKUP(G245,'3-Productie normen'!A:Q,15,FALSE)</f>
        <v>773.68459999999982</v>
      </c>
      <c r="AB245" s="350">
        <f>VLOOKUP(G245,'3-Productie normen'!A:Q,16,FALSE)</f>
        <v>0</v>
      </c>
      <c r="AC245" s="349"/>
      <c r="AE245" s="351">
        <f t="shared" si="16"/>
        <v>41400</v>
      </c>
    </row>
    <row r="246" spans="1:31" ht="14.1" customHeight="1">
      <c r="A246" s="76">
        <v>246</v>
      </c>
      <c r="B246" s="496" t="s">
        <v>302</v>
      </c>
      <c r="C246" s="312" t="s">
        <v>289</v>
      </c>
      <c r="D246" s="88" t="s">
        <v>307</v>
      </c>
      <c r="E246" s="255">
        <v>1</v>
      </c>
      <c r="F246" s="88" t="s">
        <v>380</v>
      </c>
      <c r="G246" s="88" t="s">
        <v>461</v>
      </c>
      <c r="H246" s="88" t="s">
        <v>330</v>
      </c>
      <c r="I246" s="504">
        <v>23.5</v>
      </c>
      <c r="J246" s="347">
        <f t="shared" si="17"/>
        <v>0</v>
      </c>
      <c r="K246" s="260" t="s">
        <v>460</v>
      </c>
      <c r="L246" s="260"/>
      <c r="M246" s="260"/>
      <c r="N246" s="260"/>
      <c r="O246" s="260"/>
      <c r="P246" s="260"/>
      <c r="Q246" s="259">
        <f>IF(K246="nio",0,IF(K246&gt;0,K246*I246/W246,0))*VLOOKUP(B246,'2-Kosten per locatie'!$A$14:$C$28,3,FALSE)</f>
        <v>0</v>
      </c>
      <c r="R246" s="259">
        <f>IF(L246&gt;0,L246*I246/X246,0)*VLOOKUP(B246,'2-Kosten per locatie'!$A$14:$C$28,3,FALSE)</f>
        <v>0</v>
      </c>
      <c r="S246" s="259">
        <f>IF(M246&gt;0,M246*I246/Y246,0)*VLOOKUP(B246,'2-Kosten per locatie'!$A$14:$C$28,3,FALSE)</f>
        <v>0</v>
      </c>
      <c r="T246" s="259">
        <f>IF(N246&gt;0,N246*I246/Z246,0)*VLOOKUP(B246,'2-Kosten per locatie'!$A$14:$C$28,3,FALSE)</f>
        <v>0</v>
      </c>
      <c r="U246" s="259">
        <f>IF(O246&gt;0,O246*I246/Y246,0)*VLOOKUP(B246,'2-Kosten per locatie'!$A$14:$C$28,3,FALSE)</f>
        <v>0</v>
      </c>
      <c r="V246" s="259">
        <f>IF(P246&gt;0,P246*I246/Z246,0)*VLOOKUP(B246,'2-Kosten per locatie'!$A$14:$C$28,3,FALSE)</f>
        <v>0</v>
      </c>
      <c r="W246" s="348">
        <f>IF(K246="nio",0,IF(K246&gt;0,VLOOKUP(G246,'3-Productie normen'!A:N,VLOOKUP(K246,'3-Productie normen'!$B$27:$C$38,2,FALSE),FALSE)))</f>
        <v>0</v>
      </c>
      <c r="X246" s="348">
        <f t="shared" si="18"/>
        <v>0</v>
      </c>
      <c r="Y246" s="348">
        <f t="shared" si="19"/>
        <v>0</v>
      </c>
      <c r="Z246" s="348">
        <f t="shared" si="20"/>
        <v>0</v>
      </c>
      <c r="AA246" s="349" t="e">
        <f>VLOOKUP(G246,'3-Productie normen'!A:Q,15,FALSE)</f>
        <v>#N/A</v>
      </c>
      <c r="AB246" s="350" t="e">
        <f>VLOOKUP(G246,'3-Productie normen'!A:Q,16,FALSE)</f>
        <v>#N/A</v>
      </c>
      <c r="AC246" s="349"/>
      <c r="AE246" s="351">
        <f t="shared" si="16"/>
        <v>0</v>
      </c>
    </row>
    <row r="247" spans="1:31" ht="14.1" customHeight="1">
      <c r="A247" s="76">
        <v>247</v>
      </c>
      <c r="B247" s="496" t="s">
        <v>302</v>
      </c>
      <c r="C247" s="312" t="s">
        <v>289</v>
      </c>
      <c r="D247" s="88" t="s">
        <v>307</v>
      </c>
      <c r="E247" s="255">
        <v>2</v>
      </c>
      <c r="F247" s="88" t="s">
        <v>336</v>
      </c>
      <c r="G247" s="88" t="s">
        <v>81</v>
      </c>
      <c r="H247" s="88" t="s">
        <v>311</v>
      </c>
      <c r="I247" s="504">
        <v>6.81</v>
      </c>
      <c r="J247" s="347">
        <f t="shared" si="17"/>
        <v>576</v>
      </c>
      <c r="K247" s="260">
        <v>240</v>
      </c>
      <c r="L247" s="260">
        <v>240</v>
      </c>
      <c r="M247" s="260">
        <v>96</v>
      </c>
      <c r="N247" s="260"/>
      <c r="O247" s="260"/>
      <c r="P247" s="260"/>
      <c r="Q247" s="259" t="e">
        <f>IF(K247="nio",0,IF(K247&gt;0,K247*I247/W247,0))*VLOOKUP(B247,'2-Kosten per locatie'!$A$14:$C$28,3,FALSE)</f>
        <v>#DIV/0!</v>
      </c>
      <c r="R247" s="259" t="e">
        <f>IF(L247&gt;0,L247*I247/X247,0)*VLOOKUP(B247,'2-Kosten per locatie'!$A$14:$C$28,3,FALSE)</f>
        <v>#DIV/0!</v>
      </c>
      <c r="S247" s="259" t="e">
        <f>IF(M247&gt;0,M247*I247/Y247,0)*VLOOKUP(B247,'2-Kosten per locatie'!$A$14:$C$28,3,FALSE)</f>
        <v>#DIV/0!</v>
      </c>
      <c r="T247" s="259">
        <f>IF(N247&gt;0,N247*I247/Z247,0)*VLOOKUP(B247,'2-Kosten per locatie'!$A$14:$C$28,3,FALSE)</f>
        <v>0</v>
      </c>
      <c r="U247" s="259">
        <f>IF(O247&gt;0,O247*I247/Y247,0)*VLOOKUP(B247,'2-Kosten per locatie'!$A$14:$C$28,3,FALSE)</f>
        <v>0</v>
      </c>
      <c r="V247" s="259">
        <f>IF(P247&gt;0,P247*I247/Z247,0)*VLOOKUP(B247,'2-Kosten per locatie'!$A$14:$C$28,3,FALSE)</f>
        <v>0</v>
      </c>
      <c r="W247" s="348">
        <f>IF(K247="nio",0,IF(K247&gt;0,VLOOKUP(G247,'3-Productie normen'!A:N,VLOOKUP(K247,'3-Productie normen'!$B$27:$C$38,2,FALSE),FALSE)))</f>
        <v>0</v>
      </c>
      <c r="X247" s="348">
        <f t="shared" si="18"/>
        <v>0</v>
      </c>
      <c r="Y247" s="348">
        <f t="shared" si="19"/>
        <v>0</v>
      </c>
      <c r="Z247" s="348">
        <f t="shared" si="20"/>
        <v>0</v>
      </c>
      <c r="AA247" s="349">
        <f>VLOOKUP(G247,'3-Productie normen'!A:Q,15,FALSE)</f>
        <v>235.06999999999988</v>
      </c>
      <c r="AB247" s="350">
        <f>VLOOKUP(G247,'3-Productie normen'!A:Q,16,FALSE)</f>
        <v>0</v>
      </c>
      <c r="AC247" s="349"/>
      <c r="AE247" s="351">
        <f t="shared" si="16"/>
        <v>3922.56</v>
      </c>
    </row>
    <row r="248" spans="1:31" ht="14.1" customHeight="1">
      <c r="A248" s="76">
        <v>248</v>
      </c>
      <c r="B248" s="496" t="s">
        <v>302</v>
      </c>
      <c r="C248" s="312" t="s">
        <v>289</v>
      </c>
      <c r="D248" s="88" t="s">
        <v>307</v>
      </c>
      <c r="E248" s="255">
        <v>3</v>
      </c>
      <c r="F248" s="88" t="s">
        <v>318</v>
      </c>
      <c r="G248" s="88" t="s">
        <v>89</v>
      </c>
      <c r="H248" s="88" t="s">
        <v>325</v>
      </c>
      <c r="I248" s="504">
        <v>10.84</v>
      </c>
      <c r="J248" s="347">
        <f t="shared" si="17"/>
        <v>576</v>
      </c>
      <c r="K248" s="260">
        <v>240</v>
      </c>
      <c r="L248" s="260">
        <v>240</v>
      </c>
      <c r="M248" s="260">
        <v>96</v>
      </c>
      <c r="N248" s="260"/>
      <c r="O248" s="260"/>
      <c r="P248" s="260"/>
      <c r="Q248" s="259" t="e">
        <f>IF(K248="nio",0,IF(K248&gt;0,K248*I248/W248,0))*VLOOKUP(B248,'2-Kosten per locatie'!$A$14:$C$28,3,FALSE)</f>
        <v>#DIV/0!</v>
      </c>
      <c r="R248" s="259" t="e">
        <f>IF(L248&gt;0,L248*I248/X248,0)*VLOOKUP(B248,'2-Kosten per locatie'!$A$14:$C$28,3,FALSE)</f>
        <v>#DIV/0!</v>
      </c>
      <c r="S248" s="259" t="e">
        <f>IF(M248&gt;0,M248*I248/Y248,0)*VLOOKUP(B248,'2-Kosten per locatie'!$A$14:$C$28,3,FALSE)</f>
        <v>#DIV/0!</v>
      </c>
      <c r="T248" s="259">
        <f>IF(N248&gt;0,N248*I248/Z248,0)*VLOOKUP(B248,'2-Kosten per locatie'!$A$14:$C$28,3,FALSE)</f>
        <v>0</v>
      </c>
      <c r="U248" s="259">
        <f>IF(O248&gt;0,O248*I248/Y248,0)*VLOOKUP(B248,'2-Kosten per locatie'!$A$14:$C$28,3,FALSE)</f>
        <v>0</v>
      </c>
      <c r="V248" s="259">
        <f>IF(P248&gt;0,P248*I248/Z248,0)*VLOOKUP(B248,'2-Kosten per locatie'!$A$14:$C$28,3,FALSE)</f>
        <v>0</v>
      </c>
      <c r="W248" s="348">
        <f>IF(K248="nio",0,IF(K248&gt;0,VLOOKUP(G248,'3-Productie normen'!A:N,VLOOKUP(K248,'3-Productie normen'!$B$27:$C$38,2,FALSE),FALSE)))</f>
        <v>0</v>
      </c>
      <c r="X248" s="348">
        <f t="shared" si="18"/>
        <v>0</v>
      </c>
      <c r="Y248" s="348">
        <f t="shared" si="19"/>
        <v>0</v>
      </c>
      <c r="Z248" s="348">
        <f t="shared" si="20"/>
        <v>0</v>
      </c>
      <c r="AA248" s="349">
        <f>VLOOKUP(G248,'3-Productie normen'!A:Q,15,FALSE)</f>
        <v>78.48</v>
      </c>
      <c r="AB248" s="350">
        <f>VLOOKUP(G248,'3-Productie normen'!A:Q,16,FALSE)</f>
        <v>0</v>
      </c>
      <c r="AC248" s="349"/>
      <c r="AE248" s="351">
        <f t="shared" si="16"/>
        <v>6243.84</v>
      </c>
    </row>
    <row r="249" spans="1:31" ht="14.1" customHeight="1">
      <c r="A249" s="76">
        <v>249</v>
      </c>
      <c r="B249" s="496" t="s">
        <v>302</v>
      </c>
      <c r="C249" s="312" t="s">
        <v>289</v>
      </c>
      <c r="D249" s="88" t="s">
        <v>307</v>
      </c>
      <c r="E249" s="255">
        <v>4</v>
      </c>
      <c r="F249" s="88" t="s">
        <v>409</v>
      </c>
      <c r="G249" s="88" t="s">
        <v>83</v>
      </c>
      <c r="H249" s="88" t="s">
        <v>311</v>
      </c>
      <c r="I249" s="504">
        <v>17.68</v>
      </c>
      <c r="J249" s="347">
        <f t="shared" si="17"/>
        <v>336</v>
      </c>
      <c r="K249" s="260">
        <v>240</v>
      </c>
      <c r="L249" s="260"/>
      <c r="M249" s="260">
        <v>96</v>
      </c>
      <c r="N249" s="260"/>
      <c r="O249" s="260"/>
      <c r="P249" s="260"/>
      <c r="Q249" s="259" t="e">
        <f>IF(K249="nio",0,IF(K249&gt;0,K249*I249/W249,0))*VLOOKUP(B249,'2-Kosten per locatie'!$A$14:$C$28,3,FALSE)</f>
        <v>#DIV/0!</v>
      </c>
      <c r="R249" s="259">
        <f>IF(L249&gt;0,L249*I249/X249,0)*VLOOKUP(B249,'2-Kosten per locatie'!$A$14:$C$28,3,FALSE)</f>
        <v>0</v>
      </c>
      <c r="S249" s="259" t="e">
        <f>IF(M249&gt;0,M249*I249/Y249,0)*VLOOKUP(B249,'2-Kosten per locatie'!$A$14:$C$28,3,FALSE)</f>
        <v>#DIV/0!</v>
      </c>
      <c r="T249" s="259">
        <f>IF(N249&gt;0,N249*I249/Z249,0)*VLOOKUP(B249,'2-Kosten per locatie'!$A$14:$C$28,3,FALSE)</f>
        <v>0</v>
      </c>
      <c r="U249" s="259">
        <f>IF(O249&gt;0,O249*I249/Y249,0)*VLOOKUP(B249,'2-Kosten per locatie'!$A$14:$C$28,3,FALSE)</f>
        <v>0</v>
      </c>
      <c r="V249" s="259">
        <f>IF(P249&gt;0,P249*I249/Z249,0)*VLOOKUP(B249,'2-Kosten per locatie'!$A$14:$C$28,3,FALSE)</f>
        <v>0</v>
      </c>
      <c r="W249" s="348">
        <f>IF(K249="nio",0,IF(K249&gt;0,VLOOKUP(G249,'3-Productie normen'!A:N,VLOOKUP(K249,'3-Productie normen'!$B$27:$C$38,2,FALSE),FALSE)))</f>
        <v>0</v>
      </c>
      <c r="X249" s="348">
        <f t="shared" si="18"/>
        <v>0</v>
      </c>
      <c r="Y249" s="348">
        <f t="shared" si="19"/>
        <v>0</v>
      </c>
      <c r="Z249" s="348">
        <f t="shared" si="20"/>
        <v>0</v>
      </c>
      <c r="AA249" s="349">
        <f>VLOOKUP(G249,'3-Productie normen'!A:Q,15,FALSE)</f>
        <v>773.68459999999982</v>
      </c>
      <c r="AB249" s="350">
        <f>VLOOKUP(G249,'3-Productie normen'!A:Q,16,FALSE)</f>
        <v>0</v>
      </c>
      <c r="AC249" s="349"/>
      <c r="AE249" s="351">
        <f t="shared" si="16"/>
        <v>5940.48</v>
      </c>
    </row>
    <row r="250" spans="1:31" ht="14.1" customHeight="1">
      <c r="A250" s="76">
        <v>250</v>
      </c>
      <c r="B250" s="496" t="s">
        <v>302</v>
      </c>
      <c r="C250" s="312" t="s">
        <v>289</v>
      </c>
      <c r="D250" s="88" t="s">
        <v>307</v>
      </c>
      <c r="E250" s="255">
        <v>5</v>
      </c>
      <c r="F250" s="88" t="s">
        <v>416</v>
      </c>
      <c r="G250" s="88" t="s">
        <v>83</v>
      </c>
      <c r="H250" s="88" t="s">
        <v>311</v>
      </c>
      <c r="I250" s="504">
        <v>16</v>
      </c>
      <c r="J250" s="347">
        <f t="shared" si="17"/>
        <v>336</v>
      </c>
      <c r="K250" s="260">
        <v>240</v>
      </c>
      <c r="L250" s="260"/>
      <c r="M250" s="260">
        <v>96</v>
      </c>
      <c r="N250" s="260"/>
      <c r="O250" s="260"/>
      <c r="P250" s="260"/>
      <c r="Q250" s="259" t="e">
        <f>IF(K250="nio",0,IF(K250&gt;0,K250*I250/W250,0))*VLOOKUP(B250,'2-Kosten per locatie'!$A$14:$C$28,3,FALSE)</f>
        <v>#DIV/0!</v>
      </c>
      <c r="R250" s="259">
        <f>IF(L250&gt;0,L250*I250/X250,0)*VLOOKUP(B250,'2-Kosten per locatie'!$A$14:$C$28,3,FALSE)</f>
        <v>0</v>
      </c>
      <c r="S250" s="259" t="e">
        <f>IF(M250&gt;0,M250*I250/Y250,0)*VLOOKUP(B250,'2-Kosten per locatie'!$A$14:$C$28,3,FALSE)</f>
        <v>#DIV/0!</v>
      </c>
      <c r="T250" s="259">
        <f>IF(N250&gt;0,N250*I250/Z250,0)*VLOOKUP(B250,'2-Kosten per locatie'!$A$14:$C$28,3,FALSE)</f>
        <v>0</v>
      </c>
      <c r="U250" s="259">
        <f>IF(O250&gt;0,O250*I250/Y250,0)*VLOOKUP(B250,'2-Kosten per locatie'!$A$14:$C$28,3,FALSE)</f>
        <v>0</v>
      </c>
      <c r="V250" s="259">
        <f>IF(P250&gt;0,P250*I250/Z250,0)*VLOOKUP(B250,'2-Kosten per locatie'!$A$14:$C$28,3,FALSE)</f>
        <v>0</v>
      </c>
      <c r="W250" s="348">
        <f>IF(K250="nio",0,IF(K250&gt;0,VLOOKUP(G250,'3-Productie normen'!A:N,VLOOKUP(K250,'3-Productie normen'!$B$27:$C$38,2,FALSE),FALSE)))</f>
        <v>0</v>
      </c>
      <c r="X250" s="348">
        <f t="shared" si="18"/>
        <v>0</v>
      </c>
      <c r="Y250" s="348">
        <f t="shared" si="19"/>
        <v>0</v>
      </c>
      <c r="Z250" s="348">
        <f t="shared" si="20"/>
        <v>0</v>
      </c>
      <c r="AA250" s="349">
        <f>VLOOKUP(G250,'3-Productie normen'!A:Q,15,FALSE)</f>
        <v>773.68459999999982</v>
      </c>
      <c r="AB250" s="350">
        <f>VLOOKUP(G250,'3-Productie normen'!A:Q,16,FALSE)</f>
        <v>0</v>
      </c>
      <c r="AC250" s="349"/>
      <c r="AE250" s="351">
        <f t="shared" si="16"/>
        <v>5376</v>
      </c>
    </row>
    <row r="251" spans="1:31" ht="14.1" customHeight="1">
      <c r="A251" s="76">
        <v>251</v>
      </c>
      <c r="B251" s="496" t="s">
        <v>302</v>
      </c>
      <c r="C251" s="312" t="s">
        <v>289</v>
      </c>
      <c r="D251" s="88" t="s">
        <v>307</v>
      </c>
      <c r="E251" s="255">
        <v>6</v>
      </c>
      <c r="F251" s="88" t="s">
        <v>417</v>
      </c>
      <c r="G251" s="88" t="s">
        <v>83</v>
      </c>
      <c r="H251" s="88" t="s">
        <v>311</v>
      </c>
      <c r="I251" s="504">
        <v>21.17</v>
      </c>
      <c r="J251" s="347">
        <f t="shared" si="17"/>
        <v>336</v>
      </c>
      <c r="K251" s="260">
        <v>240</v>
      </c>
      <c r="L251" s="260"/>
      <c r="M251" s="260">
        <v>96</v>
      </c>
      <c r="N251" s="260"/>
      <c r="O251" s="260"/>
      <c r="P251" s="260"/>
      <c r="Q251" s="259" t="e">
        <f>IF(K251="nio",0,IF(K251&gt;0,K251*I251/W251,0))*VLOOKUP(B251,'2-Kosten per locatie'!$A$14:$C$28,3,FALSE)</f>
        <v>#DIV/0!</v>
      </c>
      <c r="R251" s="259">
        <f>IF(L251&gt;0,L251*I251/X251,0)*VLOOKUP(B251,'2-Kosten per locatie'!$A$14:$C$28,3,FALSE)</f>
        <v>0</v>
      </c>
      <c r="S251" s="259" t="e">
        <f>IF(M251&gt;0,M251*I251/Y251,0)*VLOOKUP(B251,'2-Kosten per locatie'!$A$14:$C$28,3,FALSE)</f>
        <v>#DIV/0!</v>
      </c>
      <c r="T251" s="259">
        <f>IF(N251&gt;0,N251*I251/Z251,0)*VLOOKUP(B251,'2-Kosten per locatie'!$A$14:$C$28,3,FALSE)</f>
        <v>0</v>
      </c>
      <c r="U251" s="259">
        <f>IF(O251&gt;0,O251*I251/Y251,0)*VLOOKUP(B251,'2-Kosten per locatie'!$A$14:$C$28,3,FALSE)</f>
        <v>0</v>
      </c>
      <c r="V251" s="259">
        <f>IF(P251&gt;0,P251*I251/Z251,0)*VLOOKUP(B251,'2-Kosten per locatie'!$A$14:$C$28,3,FALSE)</f>
        <v>0</v>
      </c>
      <c r="W251" s="348">
        <f>IF(K251="nio",0,IF(K251&gt;0,VLOOKUP(G251,'3-Productie normen'!A:N,VLOOKUP(K251,'3-Productie normen'!$B$27:$C$38,2,FALSE),FALSE)))</f>
        <v>0</v>
      </c>
      <c r="X251" s="348">
        <f t="shared" si="18"/>
        <v>0</v>
      </c>
      <c r="Y251" s="348">
        <f t="shared" si="19"/>
        <v>0</v>
      </c>
      <c r="Z251" s="348">
        <f t="shared" si="20"/>
        <v>0</v>
      </c>
      <c r="AA251" s="349">
        <f>VLOOKUP(G251,'3-Productie normen'!A:Q,15,FALSE)</f>
        <v>773.68459999999982</v>
      </c>
      <c r="AB251" s="350">
        <f>VLOOKUP(G251,'3-Productie normen'!A:Q,16,FALSE)</f>
        <v>0</v>
      </c>
      <c r="AC251" s="349"/>
      <c r="AE251" s="351">
        <f t="shared" si="16"/>
        <v>7113.1200000000008</v>
      </c>
    </row>
    <row r="252" spans="1:31" ht="14.1" customHeight="1">
      <c r="A252" s="76">
        <v>252</v>
      </c>
      <c r="B252" s="496" t="s">
        <v>302</v>
      </c>
      <c r="C252" s="312" t="s">
        <v>289</v>
      </c>
      <c r="D252" s="88" t="s">
        <v>307</v>
      </c>
      <c r="E252" s="255">
        <v>7</v>
      </c>
      <c r="F252" s="88" t="s">
        <v>370</v>
      </c>
      <c r="G252" s="88" t="s">
        <v>85</v>
      </c>
      <c r="H252" s="88" t="s">
        <v>311</v>
      </c>
      <c r="I252" s="504">
        <v>30.3</v>
      </c>
      <c r="J252" s="347">
        <f t="shared" si="17"/>
        <v>336</v>
      </c>
      <c r="K252" s="260">
        <v>240</v>
      </c>
      <c r="L252" s="260"/>
      <c r="M252" s="260">
        <v>96</v>
      </c>
      <c r="N252" s="260"/>
      <c r="O252" s="260"/>
      <c r="P252" s="260"/>
      <c r="Q252" s="259" t="e">
        <f>IF(K252="nio",0,IF(K252&gt;0,K252*I252/W252,0))*VLOOKUP(B252,'2-Kosten per locatie'!$A$14:$C$28,3,FALSE)</f>
        <v>#DIV/0!</v>
      </c>
      <c r="R252" s="259">
        <f>IF(L252&gt;0,L252*I252/X252,0)*VLOOKUP(B252,'2-Kosten per locatie'!$A$14:$C$28,3,FALSE)</f>
        <v>0</v>
      </c>
      <c r="S252" s="259" t="e">
        <f>IF(M252&gt;0,M252*I252/Y252,0)*VLOOKUP(B252,'2-Kosten per locatie'!$A$14:$C$28,3,FALSE)</f>
        <v>#DIV/0!</v>
      </c>
      <c r="T252" s="259">
        <f>IF(N252&gt;0,N252*I252/Z252,0)*VLOOKUP(B252,'2-Kosten per locatie'!$A$14:$C$28,3,FALSE)</f>
        <v>0</v>
      </c>
      <c r="U252" s="259">
        <f>IF(O252&gt;0,O252*I252/Y252,0)*VLOOKUP(B252,'2-Kosten per locatie'!$A$14:$C$28,3,FALSE)</f>
        <v>0</v>
      </c>
      <c r="V252" s="259">
        <f>IF(P252&gt;0,P252*I252/Z252,0)*VLOOKUP(B252,'2-Kosten per locatie'!$A$14:$C$28,3,FALSE)</f>
        <v>0</v>
      </c>
      <c r="W252" s="348">
        <f>IF(K252="nio",0,IF(K252&gt;0,VLOOKUP(G252,'3-Productie normen'!A:N,VLOOKUP(K252,'3-Productie normen'!$B$27:$C$38,2,FALSE),FALSE)))</f>
        <v>0</v>
      </c>
      <c r="X252" s="348">
        <f t="shared" si="18"/>
        <v>0</v>
      </c>
      <c r="Y252" s="348">
        <f t="shared" si="19"/>
        <v>0</v>
      </c>
      <c r="Z252" s="348">
        <f t="shared" si="20"/>
        <v>0</v>
      </c>
      <c r="AA252" s="349">
        <f>VLOOKUP(G252,'3-Productie normen'!A:Q,15,FALSE)</f>
        <v>1367.5950000000007</v>
      </c>
      <c r="AB252" s="350">
        <f>VLOOKUP(G252,'3-Productie normen'!A:Q,16,FALSE)</f>
        <v>0</v>
      </c>
      <c r="AC252" s="349"/>
      <c r="AE252" s="351">
        <f t="shared" si="16"/>
        <v>10180.800000000001</v>
      </c>
    </row>
    <row r="253" spans="1:31" ht="14.1" customHeight="1">
      <c r="A253" s="76">
        <v>253</v>
      </c>
      <c r="B253" s="496" t="s">
        <v>302</v>
      </c>
      <c r="C253" s="312" t="s">
        <v>289</v>
      </c>
      <c r="D253" s="88" t="s">
        <v>307</v>
      </c>
      <c r="E253" s="255">
        <v>8</v>
      </c>
      <c r="F253" s="88" t="s">
        <v>418</v>
      </c>
      <c r="G253" s="88" t="s">
        <v>341</v>
      </c>
      <c r="H253" s="88" t="s">
        <v>311</v>
      </c>
      <c r="I253" s="504">
        <v>11.99</v>
      </c>
      <c r="J253" s="347">
        <f t="shared" si="17"/>
        <v>576</v>
      </c>
      <c r="K253" s="260">
        <v>240</v>
      </c>
      <c r="L253" s="260">
        <v>240</v>
      </c>
      <c r="M253" s="260">
        <v>96</v>
      </c>
      <c r="N253" s="260"/>
      <c r="O253" s="260"/>
      <c r="P253" s="260"/>
      <c r="Q253" s="259" t="e">
        <f>IF(K253="nio",0,IF(K253&gt;0,K253*I253/W253,0))*VLOOKUP(B253,'2-Kosten per locatie'!$A$14:$C$28,3,FALSE)</f>
        <v>#DIV/0!</v>
      </c>
      <c r="R253" s="259" t="e">
        <f>IF(L253&gt;0,L253*I253/X253,0)*VLOOKUP(B253,'2-Kosten per locatie'!$A$14:$C$28,3,FALSE)</f>
        <v>#DIV/0!</v>
      </c>
      <c r="S253" s="259" t="e">
        <f>IF(M253&gt;0,M253*I253/Y253,0)*VLOOKUP(B253,'2-Kosten per locatie'!$A$14:$C$28,3,FALSE)</f>
        <v>#DIV/0!</v>
      </c>
      <c r="T253" s="259">
        <f>IF(N253&gt;0,N253*I253/Z253,0)*VLOOKUP(B253,'2-Kosten per locatie'!$A$14:$C$28,3,FALSE)</f>
        <v>0</v>
      </c>
      <c r="U253" s="259">
        <f>IF(O253&gt;0,O253*I253/Y253,0)*VLOOKUP(B253,'2-Kosten per locatie'!$A$14:$C$28,3,FALSE)</f>
        <v>0</v>
      </c>
      <c r="V253" s="259">
        <f>IF(P253&gt;0,P253*I253/Z253,0)*VLOOKUP(B253,'2-Kosten per locatie'!$A$14:$C$28,3,FALSE)</f>
        <v>0</v>
      </c>
      <c r="W253" s="348">
        <f>IF(K253="nio",0,IF(K253&gt;0,VLOOKUP(G253,'3-Productie normen'!A:N,VLOOKUP(K253,'3-Productie normen'!$B$27:$C$38,2,FALSE),FALSE)))</f>
        <v>0</v>
      </c>
      <c r="X253" s="348">
        <f t="shared" si="18"/>
        <v>0</v>
      </c>
      <c r="Y253" s="348">
        <f t="shared" si="19"/>
        <v>0</v>
      </c>
      <c r="Z253" s="348">
        <f t="shared" si="20"/>
        <v>0</v>
      </c>
      <c r="AA253" s="349">
        <f>VLOOKUP(G253,'3-Productie normen'!A:Q,15,FALSE)</f>
        <v>452.79000000000019</v>
      </c>
      <c r="AB253" s="350">
        <f>VLOOKUP(G253,'3-Productie normen'!A:Q,16,FALSE)</f>
        <v>0</v>
      </c>
      <c r="AC253" s="349"/>
      <c r="AE253" s="351">
        <f t="shared" si="16"/>
        <v>6906.24</v>
      </c>
    </row>
    <row r="254" spans="1:31" ht="14.1" customHeight="1">
      <c r="A254" s="76">
        <v>254</v>
      </c>
      <c r="B254" s="496" t="s">
        <v>302</v>
      </c>
      <c r="C254" s="312" t="s">
        <v>289</v>
      </c>
      <c r="D254" s="88" t="s">
        <v>307</v>
      </c>
      <c r="E254" s="255">
        <v>9</v>
      </c>
      <c r="F254" s="88" t="s">
        <v>419</v>
      </c>
      <c r="G254" s="88" t="s">
        <v>341</v>
      </c>
      <c r="H254" s="88" t="s">
        <v>311</v>
      </c>
      <c r="I254" s="504">
        <v>11.18</v>
      </c>
      <c r="J254" s="347">
        <f t="shared" si="17"/>
        <v>576</v>
      </c>
      <c r="K254" s="260">
        <v>240</v>
      </c>
      <c r="L254" s="260">
        <v>240</v>
      </c>
      <c r="M254" s="260">
        <v>96</v>
      </c>
      <c r="N254" s="260"/>
      <c r="O254" s="260"/>
      <c r="P254" s="260"/>
      <c r="Q254" s="259" t="e">
        <f>IF(K254="nio",0,IF(K254&gt;0,K254*I254/W254,0))*VLOOKUP(B254,'2-Kosten per locatie'!$A$14:$C$28,3,FALSE)</f>
        <v>#DIV/0!</v>
      </c>
      <c r="R254" s="259" t="e">
        <f>IF(L254&gt;0,L254*I254/X254,0)*VLOOKUP(B254,'2-Kosten per locatie'!$A$14:$C$28,3,FALSE)</f>
        <v>#DIV/0!</v>
      </c>
      <c r="S254" s="259" t="e">
        <f>IF(M254&gt;0,M254*I254/Y254,0)*VLOOKUP(B254,'2-Kosten per locatie'!$A$14:$C$28,3,FALSE)</f>
        <v>#DIV/0!</v>
      </c>
      <c r="T254" s="259">
        <f>IF(N254&gt;0,N254*I254/Z254,0)*VLOOKUP(B254,'2-Kosten per locatie'!$A$14:$C$28,3,FALSE)</f>
        <v>0</v>
      </c>
      <c r="U254" s="259">
        <f>IF(O254&gt;0,O254*I254/Y254,0)*VLOOKUP(B254,'2-Kosten per locatie'!$A$14:$C$28,3,FALSE)</f>
        <v>0</v>
      </c>
      <c r="V254" s="259">
        <f>IF(P254&gt;0,P254*I254/Z254,0)*VLOOKUP(B254,'2-Kosten per locatie'!$A$14:$C$28,3,FALSE)</f>
        <v>0</v>
      </c>
      <c r="W254" s="348">
        <f>IF(K254="nio",0,IF(K254&gt;0,VLOOKUP(G254,'3-Productie normen'!A:N,VLOOKUP(K254,'3-Productie normen'!$B$27:$C$38,2,FALSE),FALSE)))</f>
        <v>0</v>
      </c>
      <c r="X254" s="348">
        <f t="shared" si="18"/>
        <v>0</v>
      </c>
      <c r="Y254" s="348">
        <f t="shared" si="19"/>
        <v>0</v>
      </c>
      <c r="Z254" s="348">
        <f t="shared" si="20"/>
        <v>0</v>
      </c>
      <c r="AA254" s="349">
        <f>VLOOKUP(G254,'3-Productie normen'!A:Q,15,FALSE)</f>
        <v>452.79000000000019</v>
      </c>
      <c r="AB254" s="350">
        <f>VLOOKUP(G254,'3-Productie normen'!A:Q,16,FALSE)</f>
        <v>0</v>
      </c>
      <c r="AC254" s="349"/>
      <c r="AE254" s="351">
        <f t="shared" si="16"/>
        <v>6439.68</v>
      </c>
    </row>
    <row r="255" spans="1:31" ht="14.1" customHeight="1">
      <c r="A255" s="76">
        <v>255</v>
      </c>
      <c r="B255" s="496" t="s">
        <v>302</v>
      </c>
      <c r="C255" s="312" t="s">
        <v>289</v>
      </c>
      <c r="D255" s="88" t="s">
        <v>307</v>
      </c>
      <c r="E255" s="255">
        <v>10</v>
      </c>
      <c r="F255" s="88" t="s">
        <v>367</v>
      </c>
      <c r="G255" s="88" t="s">
        <v>85</v>
      </c>
      <c r="H255" s="88" t="s">
        <v>311</v>
      </c>
      <c r="I255" s="504">
        <v>22.41</v>
      </c>
      <c r="J255" s="347">
        <f t="shared" si="17"/>
        <v>336</v>
      </c>
      <c r="K255" s="260">
        <v>240</v>
      </c>
      <c r="L255" s="260"/>
      <c r="M255" s="260">
        <v>96</v>
      </c>
      <c r="N255" s="260"/>
      <c r="O255" s="260"/>
      <c r="P255" s="260"/>
      <c r="Q255" s="259" t="e">
        <f>IF(K255="nio",0,IF(K255&gt;0,K255*I255/W255,0))*VLOOKUP(B255,'2-Kosten per locatie'!$A$14:$C$28,3,FALSE)</f>
        <v>#DIV/0!</v>
      </c>
      <c r="R255" s="259">
        <f>IF(L255&gt;0,L255*I255/X255,0)*VLOOKUP(B255,'2-Kosten per locatie'!$A$14:$C$28,3,FALSE)</f>
        <v>0</v>
      </c>
      <c r="S255" s="259" t="e">
        <f>IF(M255&gt;0,M255*I255/Y255,0)*VLOOKUP(B255,'2-Kosten per locatie'!$A$14:$C$28,3,FALSE)</f>
        <v>#DIV/0!</v>
      </c>
      <c r="T255" s="259">
        <f>IF(N255&gt;0,N255*I255/Z255,0)*VLOOKUP(B255,'2-Kosten per locatie'!$A$14:$C$28,3,FALSE)</f>
        <v>0</v>
      </c>
      <c r="U255" s="259">
        <f>IF(O255&gt;0,O255*I255/Y255,0)*VLOOKUP(B255,'2-Kosten per locatie'!$A$14:$C$28,3,FALSE)</f>
        <v>0</v>
      </c>
      <c r="V255" s="259">
        <f>IF(P255&gt;0,P255*I255/Z255,0)*VLOOKUP(B255,'2-Kosten per locatie'!$A$14:$C$28,3,FALSE)</f>
        <v>0</v>
      </c>
      <c r="W255" s="348">
        <f>IF(K255="nio",0,IF(K255&gt;0,VLOOKUP(G255,'3-Productie normen'!A:N,VLOOKUP(K255,'3-Productie normen'!$B$27:$C$38,2,FALSE),FALSE)))</f>
        <v>0</v>
      </c>
      <c r="X255" s="348">
        <f t="shared" si="18"/>
        <v>0</v>
      </c>
      <c r="Y255" s="348">
        <f t="shared" si="19"/>
        <v>0</v>
      </c>
      <c r="Z255" s="348">
        <f t="shared" si="20"/>
        <v>0</v>
      </c>
      <c r="AA255" s="349">
        <f>VLOOKUP(G255,'3-Productie normen'!A:Q,15,FALSE)</f>
        <v>1367.5950000000007</v>
      </c>
      <c r="AB255" s="350">
        <f>VLOOKUP(G255,'3-Productie normen'!A:Q,16,FALSE)</f>
        <v>0</v>
      </c>
      <c r="AC255" s="349"/>
      <c r="AE255" s="351">
        <f t="shared" si="16"/>
        <v>7529.76</v>
      </c>
    </row>
    <row r="256" spans="1:31" ht="14.1" customHeight="1">
      <c r="A256" s="76">
        <v>256</v>
      </c>
      <c r="B256" s="496" t="s">
        <v>302</v>
      </c>
      <c r="C256" s="312" t="s">
        <v>289</v>
      </c>
      <c r="D256" s="88" t="s">
        <v>307</v>
      </c>
      <c r="E256" s="255">
        <v>11</v>
      </c>
      <c r="F256" s="88" t="s">
        <v>420</v>
      </c>
      <c r="G256" s="88" t="s">
        <v>85</v>
      </c>
      <c r="H256" s="88" t="s">
        <v>311</v>
      </c>
      <c r="I256" s="504">
        <v>5</v>
      </c>
      <c r="J256" s="347">
        <f t="shared" si="17"/>
        <v>336</v>
      </c>
      <c r="K256" s="260">
        <v>240</v>
      </c>
      <c r="L256" s="260"/>
      <c r="M256" s="260">
        <v>96</v>
      </c>
      <c r="N256" s="260"/>
      <c r="O256" s="260"/>
      <c r="P256" s="260"/>
      <c r="Q256" s="259" t="e">
        <f>IF(K256="nio",0,IF(K256&gt;0,K256*I256/W256,0))*VLOOKUP(B256,'2-Kosten per locatie'!$A$14:$C$28,3,FALSE)</f>
        <v>#DIV/0!</v>
      </c>
      <c r="R256" s="259">
        <f>IF(L256&gt;0,L256*I256/X256,0)*VLOOKUP(B256,'2-Kosten per locatie'!$A$14:$C$28,3,FALSE)</f>
        <v>0</v>
      </c>
      <c r="S256" s="259" t="e">
        <f>IF(M256&gt;0,M256*I256/Y256,0)*VLOOKUP(B256,'2-Kosten per locatie'!$A$14:$C$28,3,FALSE)</f>
        <v>#DIV/0!</v>
      </c>
      <c r="T256" s="259">
        <f>IF(N256&gt;0,N256*I256/Z256,0)*VLOOKUP(B256,'2-Kosten per locatie'!$A$14:$C$28,3,FALSE)</f>
        <v>0</v>
      </c>
      <c r="U256" s="259">
        <f>IF(O256&gt;0,O256*I256/Y256,0)*VLOOKUP(B256,'2-Kosten per locatie'!$A$14:$C$28,3,FALSE)</f>
        <v>0</v>
      </c>
      <c r="V256" s="259">
        <f>IF(P256&gt;0,P256*I256/Z256,0)*VLOOKUP(B256,'2-Kosten per locatie'!$A$14:$C$28,3,FALSE)</f>
        <v>0</v>
      </c>
      <c r="W256" s="348">
        <f>IF(K256="nio",0,IF(K256&gt;0,VLOOKUP(G256,'3-Productie normen'!A:N,VLOOKUP(K256,'3-Productie normen'!$B$27:$C$38,2,FALSE),FALSE)))</f>
        <v>0</v>
      </c>
      <c r="X256" s="348">
        <f t="shared" si="18"/>
        <v>0</v>
      </c>
      <c r="Y256" s="348">
        <f t="shared" si="19"/>
        <v>0</v>
      </c>
      <c r="Z256" s="348">
        <f t="shared" si="20"/>
        <v>0</v>
      </c>
      <c r="AA256" s="349">
        <f>VLOOKUP(G256,'3-Productie normen'!A:Q,15,FALSE)</f>
        <v>1367.5950000000007</v>
      </c>
      <c r="AB256" s="350">
        <f>VLOOKUP(G256,'3-Productie normen'!A:Q,16,FALSE)</f>
        <v>0</v>
      </c>
      <c r="AC256" s="349"/>
      <c r="AE256" s="351">
        <f t="shared" si="16"/>
        <v>1680</v>
      </c>
    </row>
    <row r="257" spans="1:31" ht="14.1" customHeight="1">
      <c r="A257" s="76">
        <v>257</v>
      </c>
      <c r="B257" s="496" t="s">
        <v>302</v>
      </c>
      <c r="C257" s="312" t="s">
        <v>289</v>
      </c>
      <c r="D257" s="88" t="s">
        <v>307</v>
      </c>
      <c r="E257" s="255">
        <v>12</v>
      </c>
      <c r="F257" s="88" t="s">
        <v>421</v>
      </c>
      <c r="G257" s="88" t="s">
        <v>341</v>
      </c>
      <c r="H257" s="88" t="s">
        <v>311</v>
      </c>
      <c r="I257" s="504">
        <v>1.97</v>
      </c>
      <c r="J257" s="347">
        <f t="shared" si="17"/>
        <v>576</v>
      </c>
      <c r="K257" s="260">
        <v>240</v>
      </c>
      <c r="L257" s="260">
        <v>240</v>
      </c>
      <c r="M257" s="260">
        <v>96</v>
      </c>
      <c r="N257" s="260"/>
      <c r="O257" s="260"/>
      <c r="P257" s="260"/>
      <c r="Q257" s="259" t="e">
        <f>IF(K257="nio",0,IF(K257&gt;0,K257*I257/W257,0))*VLOOKUP(B257,'2-Kosten per locatie'!$A$14:$C$28,3,FALSE)</f>
        <v>#DIV/0!</v>
      </c>
      <c r="R257" s="259" t="e">
        <f>IF(L257&gt;0,L257*I257/X257,0)*VLOOKUP(B257,'2-Kosten per locatie'!$A$14:$C$28,3,FALSE)</f>
        <v>#DIV/0!</v>
      </c>
      <c r="S257" s="259" t="e">
        <f>IF(M257&gt;0,M257*I257/Y257,0)*VLOOKUP(B257,'2-Kosten per locatie'!$A$14:$C$28,3,FALSE)</f>
        <v>#DIV/0!</v>
      </c>
      <c r="T257" s="259">
        <f>IF(N257&gt;0,N257*I257/Z257,0)*VLOOKUP(B257,'2-Kosten per locatie'!$A$14:$C$28,3,FALSE)</f>
        <v>0</v>
      </c>
      <c r="U257" s="259">
        <f>IF(O257&gt;0,O257*I257/Y257,0)*VLOOKUP(B257,'2-Kosten per locatie'!$A$14:$C$28,3,FALSE)</f>
        <v>0</v>
      </c>
      <c r="V257" s="259">
        <f>IF(P257&gt;0,P257*I257/Z257,0)*VLOOKUP(B257,'2-Kosten per locatie'!$A$14:$C$28,3,FALSE)</f>
        <v>0</v>
      </c>
      <c r="W257" s="348">
        <f>IF(K257="nio",0,IF(K257&gt;0,VLOOKUP(G257,'3-Productie normen'!A:N,VLOOKUP(K257,'3-Productie normen'!$B$27:$C$38,2,FALSE),FALSE)))</f>
        <v>0</v>
      </c>
      <c r="X257" s="348">
        <f t="shared" si="18"/>
        <v>0</v>
      </c>
      <c r="Y257" s="348">
        <f t="shared" si="19"/>
        <v>0</v>
      </c>
      <c r="Z257" s="348">
        <f t="shared" si="20"/>
        <v>0</v>
      </c>
      <c r="AA257" s="349">
        <f>VLOOKUP(G257,'3-Productie normen'!A:Q,15,FALSE)</f>
        <v>452.79000000000019</v>
      </c>
      <c r="AB257" s="350">
        <f>VLOOKUP(G257,'3-Productie normen'!A:Q,16,FALSE)</f>
        <v>0</v>
      </c>
      <c r="AC257" s="349"/>
      <c r="AE257" s="351">
        <f t="shared" si="16"/>
        <v>1134.72</v>
      </c>
    </row>
    <row r="258" spans="1:31" ht="14.1" customHeight="1">
      <c r="A258" s="76">
        <v>258</v>
      </c>
      <c r="B258" s="496" t="s">
        <v>302</v>
      </c>
      <c r="C258" s="312" t="s">
        <v>289</v>
      </c>
      <c r="D258" s="88" t="s">
        <v>307</v>
      </c>
      <c r="E258" s="255">
        <v>13</v>
      </c>
      <c r="F258" s="88" t="s">
        <v>422</v>
      </c>
      <c r="G258" s="88" t="s">
        <v>85</v>
      </c>
      <c r="H258" s="88" t="s">
        <v>311</v>
      </c>
      <c r="I258" s="504">
        <v>5</v>
      </c>
      <c r="J258" s="347">
        <f t="shared" si="17"/>
        <v>336</v>
      </c>
      <c r="K258" s="260">
        <v>240</v>
      </c>
      <c r="L258" s="260"/>
      <c r="M258" s="260">
        <v>96</v>
      </c>
      <c r="N258" s="260"/>
      <c r="O258" s="260"/>
      <c r="P258" s="260"/>
      <c r="Q258" s="259" t="e">
        <f>IF(K258="nio",0,IF(K258&gt;0,K258*I258/W258,0))*VLOOKUP(B258,'2-Kosten per locatie'!$A$14:$C$28,3,FALSE)</f>
        <v>#DIV/0!</v>
      </c>
      <c r="R258" s="259">
        <f>IF(L258&gt;0,L258*I258/X258,0)*VLOOKUP(B258,'2-Kosten per locatie'!$A$14:$C$28,3,FALSE)</f>
        <v>0</v>
      </c>
      <c r="S258" s="259" t="e">
        <f>IF(M258&gt;0,M258*I258/Y258,0)*VLOOKUP(B258,'2-Kosten per locatie'!$A$14:$C$28,3,FALSE)</f>
        <v>#DIV/0!</v>
      </c>
      <c r="T258" s="259">
        <f>IF(N258&gt;0,N258*I258/Z258,0)*VLOOKUP(B258,'2-Kosten per locatie'!$A$14:$C$28,3,FALSE)</f>
        <v>0</v>
      </c>
      <c r="U258" s="259">
        <f>IF(O258&gt;0,O258*I258/Y258,0)*VLOOKUP(B258,'2-Kosten per locatie'!$A$14:$C$28,3,FALSE)</f>
        <v>0</v>
      </c>
      <c r="V258" s="259">
        <f>IF(P258&gt;0,P258*I258/Z258,0)*VLOOKUP(B258,'2-Kosten per locatie'!$A$14:$C$28,3,FALSE)</f>
        <v>0</v>
      </c>
      <c r="W258" s="348">
        <f>IF(K258="nio",0,IF(K258&gt;0,VLOOKUP(G258,'3-Productie normen'!A:N,VLOOKUP(K258,'3-Productie normen'!$B$27:$C$38,2,FALSE),FALSE)))</f>
        <v>0</v>
      </c>
      <c r="X258" s="348">
        <f t="shared" si="18"/>
        <v>0</v>
      </c>
      <c r="Y258" s="348">
        <f t="shared" si="19"/>
        <v>0</v>
      </c>
      <c r="Z258" s="348">
        <f t="shared" si="20"/>
        <v>0</v>
      </c>
      <c r="AA258" s="349">
        <f>VLOOKUP(G258,'3-Productie normen'!A:Q,15,FALSE)</f>
        <v>1367.5950000000007</v>
      </c>
      <c r="AB258" s="350">
        <f>VLOOKUP(G258,'3-Productie normen'!A:Q,16,FALSE)</f>
        <v>0</v>
      </c>
      <c r="AC258" s="349"/>
      <c r="AE258" s="351">
        <f t="shared" si="16"/>
        <v>1680</v>
      </c>
    </row>
    <row r="259" spans="1:31" ht="14.1" customHeight="1">
      <c r="A259" s="76">
        <v>259</v>
      </c>
      <c r="B259" s="496" t="s">
        <v>302</v>
      </c>
      <c r="C259" s="312" t="s">
        <v>289</v>
      </c>
      <c r="D259" s="88" t="s">
        <v>307</v>
      </c>
      <c r="E259" s="256">
        <v>14</v>
      </c>
      <c r="F259" s="90" t="s">
        <v>423</v>
      </c>
      <c r="G259" s="90" t="s">
        <v>341</v>
      </c>
      <c r="H259" s="88" t="s">
        <v>311</v>
      </c>
      <c r="I259" s="504">
        <v>1.97</v>
      </c>
      <c r="J259" s="347">
        <f t="shared" si="17"/>
        <v>576</v>
      </c>
      <c r="K259" s="260">
        <v>240</v>
      </c>
      <c r="L259" s="260">
        <v>240</v>
      </c>
      <c r="M259" s="260">
        <v>96</v>
      </c>
      <c r="N259" s="260"/>
      <c r="O259" s="260"/>
      <c r="P259" s="260"/>
      <c r="Q259" s="259" t="e">
        <f>IF(K259="nio",0,IF(K259&gt;0,K259*I259/W259,0))*VLOOKUP(B259,'2-Kosten per locatie'!$A$14:$C$28,3,FALSE)</f>
        <v>#DIV/0!</v>
      </c>
      <c r="R259" s="259" t="e">
        <f>IF(L259&gt;0,L259*I259/X259,0)*VLOOKUP(B259,'2-Kosten per locatie'!$A$14:$C$28,3,FALSE)</f>
        <v>#DIV/0!</v>
      </c>
      <c r="S259" s="259" t="e">
        <f>IF(M259&gt;0,M259*I259/Y259,0)*VLOOKUP(B259,'2-Kosten per locatie'!$A$14:$C$28,3,FALSE)</f>
        <v>#DIV/0!</v>
      </c>
      <c r="T259" s="259">
        <f>IF(N259&gt;0,N259*I259/Z259,0)*VLOOKUP(B259,'2-Kosten per locatie'!$A$14:$C$28,3,FALSE)</f>
        <v>0</v>
      </c>
      <c r="U259" s="259">
        <f>IF(O259&gt;0,O259*I259/Y259,0)*VLOOKUP(B259,'2-Kosten per locatie'!$A$14:$C$28,3,FALSE)</f>
        <v>0</v>
      </c>
      <c r="V259" s="259">
        <f>IF(P259&gt;0,P259*I259/Z259,0)*VLOOKUP(B259,'2-Kosten per locatie'!$A$14:$C$28,3,FALSE)</f>
        <v>0</v>
      </c>
      <c r="W259" s="348">
        <f>IF(K259="nio",0,IF(K259&gt;0,VLOOKUP(G259,'3-Productie normen'!A:N,VLOOKUP(K259,'3-Productie normen'!$B$27:$C$38,2,FALSE),FALSE)))</f>
        <v>0</v>
      </c>
      <c r="X259" s="348">
        <f t="shared" si="18"/>
        <v>0</v>
      </c>
      <c r="Y259" s="348">
        <f t="shared" si="19"/>
        <v>0</v>
      </c>
      <c r="Z259" s="348">
        <f t="shared" si="20"/>
        <v>0</v>
      </c>
      <c r="AA259" s="349">
        <f>VLOOKUP(G259,'3-Productie normen'!A:Q,15,FALSE)</f>
        <v>452.79000000000019</v>
      </c>
      <c r="AB259" s="350">
        <f>VLOOKUP(G259,'3-Productie normen'!A:Q,16,FALSE)</f>
        <v>0</v>
      </c>
      <c r="AC259" s="349"/>
      <c r="AE259" s="351">
        <f t="shared" si="16"/>
        <v>1134.72</v>
      </c>
    </row>
    <row r="260" spans="1:31" ht="14.1" customHeight="1">
      <c r="A260" s="76">
        <v>260</v>
      </c>
      <c r="B260" s="496" t="s">
        <v>302</v>
      </c>
      <c r="C260" s="312" t="s">
        <v>289</v>
      </c>
      <c r="D260" s="88" t="s">
        <v>307</v>
      </c>
      <c r="E260" s="255">
        <v>15</v>
      </c>
      <c r="F260" s="88" t="s">
        <v>401</v>
      </c>
      <c r="G260" s="88" t="s">
        <v>79</v>
      </c>
      <c r="H260" s="88" t="s">
        <v>330</v>
      </c>
      <c r="I260" s="504">
        <v>9.4</v>
      </c>
      <c r="J260" s="347">
        <f t="shared" si="17"/>
        <v>156</v>
      </c>
      <c r="K260" s="260">
        <v>156</v>
      </c>
      <c r="L260" s="260"/>
      <c r="M260" s="260"/>
      <c r="N260" s="260"/>
      <c r="O260" s="260"/>
      <c r="P260" s="260"/>
      <c r="Q260" s="259" t="e">
        <f>IF(K260="nio",0,IF(K260&gt;0,K260*I260/W260,0))*VLOOKUP(B260,'2-Kosten per locatie'!$A$14:$C$28,3,FALSE)</f>
        <v>#DIV/0!</v>
      </c>
      <c r="R260" s="259">
        <f>IF(L260&gt;0,L260*I260/X260,0)*VLOOKUP(B260,'2-Kosten per locatie'!$A$14:$C$28,3,FALSE)</f>
        <v>0</v>
      </c>
      <c r="S260" s="259">
        <f>IF(M260&gt;0,M260*I260/Y260,0)*VLOOKUP(B260,'2-Kosten per locatie'!$A$14:$C$28,3,FALSE)</f>
        <v>0</v>
      </c>
      <c r="T260" s="259">
        <f>IF(N260&gt;0,N260*I260/Z260,0)*VLOOKUP(B260,'2-Kosten per locatie'!$A$14:$C$28,3,FALSE)</f>
        <v>0</v>
      </c>
      <c r="U260" s="259">
        <f>IF(O260&gt;0,O260*I260/Y260,0)*VLOOKUP(B260,'2-Kosten per locatie'!$A$14:$C$28,3,FALSE)</f>
        <v>0</v>
      </c>
      <c r="V260" s="259">
        <f>IF(P260&gt;0,P260*I260/Z260,0)*VLOOKUP(B260,'2-Kosten per locatie'!$A$14:$C$28,3,FALSE)</f>
        <v>0</v>
      </c>
      <c r="W260" s="348">
        <f>IF(K260="nio",0,IF(K260&gt;0,VLOOKUP(G260,'3-Productie normen'!A:N,VLOOKUP(K260,'3-Productie normen'!$B$27:$C$38,2,FALSE),FALSE)))</f>
        <v>0</v>
      </c>
      <c r="X260" s="348">
        <f t="shared" si="18"/>
        <v>0</v>
      </c>
      <c r="Y260" s="348">
        <f t="shared" si="19"/>
        <v>0</v>
      </c>
      <c r="Z260" s="348">
        <f t="shared" si="20"/>
        <v>0</v>
      </c>
      <c r="AA260" s="349">
        <f>VLOOKUP(G260,'3-Productie normen'!A:Q,15,FALSE)</f>
        <v>78.010000000000005</v>
      </c>
      <c r="AB260" s="350">
        <f>VLOOKUP(G260,'3-Productie normen'!A:Q,16,FALSE)</f>
        <v>0</v>
      </c>
      <c r="AC260" s="349"/>
      <c r="AE260" s="351">
        <f t="shared" si="16"/>
        <v>1466.4</v>
      </c>
    </row>
    <row r="261" spans="1:31" ht="14.1" customHeight="1">
      <c r="A261" s="76">
        <v>261</v>
      </c>
      <c r="B261" s="496" t="s">
        <v>302</v>
      </c>
      <c r="C261" s="312" t="s">
        <v>289</v>
      </c>
      <c r="D261" s="88" t="s">
        <v>307</v>
      </c>
      <c r="E261" s="255">
        <v>16</v>
      </c>
      <c r="F261" s="88" t="s">
        <v>364</v>
      </c>
      <c r="G261" s="88" t="s">
        <v>85</v>
      </c>
      <c r="H261" s="88" t="s">
        <v>311</v>
      </c>
      <c r="I261" s="504">
        <v>22.41</v>
      </c>
      <c r="J261" s="347">
        <f t="shared" si="17"/>
        <v>336</v>
      </c>
      <c r="K261" s="260">
        <v>240</v>
      </c>
      <c r="L261" s="260"/>
      <c r="M261" s="260">
        <v>96</v>
      </c>
      <c r="N261" s="260"/>
      <c r="O261" s="260"/>
      <c r="P261" s="260"/>
      <c r="Q261" s="259" t="e">
        <f>IF(K261="nio",0,IF(K261&gt;0,K261*I261/W261,0))*VLOOKUP(B261,'2-Kosten per locatie'!$A$14:$C$28,3,FALSE)</f>
        <v>#DIV/0!</v>
      </c>
      <c r="R261" s="259">
        <f>IF(L261&gt;0,L261*I261/X261,0)*VLOOKUP(B261,'2-Kosten per locatie'!$A$14:$C$28,3,FALSE)</f>
        <v>0</v>
      </c>
      <c r="S261" s="259" t="e">
        <f>IF(M261&gt;0,M261*I261/Y261,0)*VLOOKUP(B261,'2-Kosten per locatie'!$A$14:$C$28,3,FALSE)</f>
        <v>#DIV/0!</v>
      </c>
      <c r="T261" s="259">
        <f>IF(N261&gt;0,N261*I261/Z261,0)*VLOOKUP(B261,'2-Kosten per locatie'!$A$14:$C$28,3,FALSE)</f>
        <v>0</v>
      </c>
      <c r="U261" s="259">
        <f>IF(O261&gt;0,O261*I261/Y261,0)*VLOOKUP(B261,'2-Kosten per locatie'!$A$14:$C$28,3,FALSE)</f>
        <v>0</v>
      </c>
      <c r="V261" s="259">
        <f>IF(P261&gt;0,P261*I261/Z261,0)*VLOOKUP(B261,'2-Kosten per locatie'!$A$14:$C$28,3,FALSE)</f>
        <v>0</v>
      </c>
      <c r="W261" s="348">
        <f>IF(K261="nio",0,IF(K261&gt;0,VLOOKUP(G261,'3-Productie normen'!A:N,VLOOKUP(K261,'3-Productie normen'!$B$27:$C$38,2,FALSE),FALSE)))</f>
        <v>0</v>
      </c>
      <c r="X261" s="348">
        <f t="shared" si="18"/>
        <v>0</v>
      </c>
      <c r="Y261" s="348">
        <f t="shared" si="19"/>
        <v>0</v>
      </c>
      <c r="Z261" s="348">
        <f t="shared" si="20"/>
        <v>0</v>
      </c>
      <c r="AA261" s="349">
        <f>VLOOKUP(G261,'3-Productie normen'!A:Q,15,FALSE)</f>
        <v>1367.5950000000007</v>
      </c>
      <c r="AB261" s="350">
        <f>VLOOKUP(G261,'3-Productie normen'!A:Q,16,FALSE)</f>
        <v>0</v>
      </c>
      <c r="AC261" s="349"/>
      <c r="AE261" s="351">
        <f t="shared" si="16"/>
        <v>7529.76</v>
      </c>
    </row>
    <row r="262" spans="1:31" ht="14.1" customHeight="1">
      <c r="A262" s="76">
        <v>262</v>
      </c>
      <c r="B262" s="496" t="s">
        <v>302</v>
      </c>
      <c r="C262" s="312" t="s">
        <v>289</v>
      </c>
      <c r="D262" s="88" t="s">
        <v>307</v>
      </c>
      <c r="E262" s="255">
        <v>17</v>
      </c>
      <c r="F262" s="88" t="s">
        <v>424</v>
      </c>
      <c r="G262" s="88" t="s">
        <v>341</v>
      </c>
      <c r="H262" s="88" t="s">
        <v>311</v>
      </c>
      <c r="I262" s="504">
        <v>11.18</v>
      </c>
      <c r="J262" s="347">
        <f t="shared" si="17"/>
        <v>576</v>
      </c>
      <c r="K262" s="260">
        <v>240</v>
      </c>
      <c r="L262" s="260">
        <v>240</v>
      </c>
      <c r="M262" s="260">
        <v>96</v>
      </c>
      <c r="N262" s="260"/>
      <c r="O262" s="260"/>
      <c r="P262" s="260"/>
      <c r="Q262" s="259" t="e">
        <f>IF(K262="nio",0,IF(K262&gt;0,K262*I262/W262,0))*VLOOKUP(B262,'2-Kosten per locatie'!$A$14:$C$28,3,FALSE)</f>
        <v>#DIV/0!</v>
      </c>
      <c r="R262" s="259" t="e">
        <f>IF(L262&gt;0,L262*I262/X262,0)*VLOOKUP(B262,'2-Kosten per locatie'!$A$14:$C$28,3,FALSE)</f>
        <v>#DIV/0!</v>
      </c>
      <c r="S262" s="259" t="e">
        <f>IF(M262&gt;0,M262*I262/Y262,0)*VLOOKUP(B262,'2-Kosten per locatie'!$A$14:$C$28,3,FALSE)</f>
        <v>#DIV/0!</v>
      </c>
      <c r="T262" s="259">
        <f>IF(N262&gt;0,N262*I262/Z262,0)*VLOOKUP(B262,'2-Kosten per locatie'!$A$14:$C$28,3,FALSE)</f>
        <v>0</v>
      </c>
      <c r="U262" s="259">
        <f>IF(O262&gt;0,O262*I262/Y262,0)*VLOOKUP(B262,'2-Kosten per locatie'!$A$14:$C$28,3,FALSE)</f>
        <v>0</v>
      </c>
      <c r="V262" s="259">
        <f>IF(P262&gt;0,P262*I262/Z262,0)*VLOOKUP(B262,'2-Kosten per locatie'!$A$14:$C$28,3,FALSE)</f>
        <v>0</v>
      </c>
      <c r="W262" s="348">
        <f>IF(K262="nio",0,IF(K262&gt;0,VLOOKUP(G262,'3-Productie normen'!A:N,VLOOKUP(K262,'3-Productie normen'!$B$27:$C$38,2,FALSE),FALSE)))</f>
        <v>0</v>
      </c>
      <c r="X262" s="348">
        <f t="shared" si="18"/>
        <v>0</v>
      </c>
      <c r="Y262" s="348">
        <f t="shared" si="19"/>
        <v>0</v>
      </c>
      <c r="Z262" s="348">
        <f t="shared" si="20"/>
        <v>0</v>
      </c>
      <c r="AA262" s="349">
        <f>VLOOKUP(G262,'3-Productie normen'!A:Q,15,FALSE)</f>
        <v>452.79000000000019</v>
      </c>
      <c r="AB262" s="350">
        <f>VLOOKUP(G262,'3-Productie normen'!A:Q,16,FALSE)</f>
        <v>0</v>
      </c>
      <c r="AC262" s="349"/>
      <c r="AE262" s="351">
        <f t="shared" si="16"/>
        <v>6439.68</v>
      </c>
    </row>
    <row r="263" spans="1:31" ht="14.1" customHeight="1">
      <c r="A263" s="76">
        <v>263</v>
      </c>
      <c r="B263" s="496" t="s">
        <v>302</v>
      </c>
      <c r="C263" s="312" t="s">
        <v>289</v>
      </c>
      <c r="D263" s="88" t="s">
        <v>307</v>
      </c>
      <c r="E263" s="255">
        <v>18</v>
      </c>
      <c r="F263" s="88" t="s">
        <v>425</v>
      </c>
      <c r="G263" s="88" t="s">
        <v>341</v>
      </c>
      <c r="H263" s="88" t="s">
        <v>311</v>
      </c>
      <c r="I263" s="504">
        <v>11.18</v>
      </c>
      <c r="J263" s="347">
        <f t="shared" si="17"/>
        <v>576</v>
      </c>
      <c r="K263" s="260">
        <v>240</v>
      </c>
      <c r="L263" s="260">
        <v>240</v>
      </c>
      <c r="M263" s="260">
        <v>96</v>
      </c>
      <c r="N263" s="260"/>
      <c r="O263" s="260"/>
      <c r="P263" s="260"/>
      <c r="Q263" s="259" t="e">
        <f>IF(K263="nio",0,IF(K263&gt;0,K263*I263/W263,0))*VLOOKUP(B263,'2-Kosten per locatie'!$A$14:$C$28,3,FALSE)</f>
        <v>#DIV/0!</v>
      </c>
      <c r="R263" s="259" t="e">
        <f>IF(L263&gt;0,L263*I263/X263,0)*VLOOKUP(B263,'2-Kosten per locatie'!$A$14:$C$28,3,FALSE)</f>
        <v>#DIV/0!</v>
      </c>
      <c r="S263" s="259" t="e">
        <f>IF(M263&gt;0,M263*I263/Y263,0)*VLOOKUP(B263,'2-Kosten per locatie'!$A$14:$C$28,3,FALSE)</f>
        <v>#DIV/0!</v>
      </c>
      <c r="T263" s="259">
        <f>IF(N263&gt;0,N263*I263/Z263,0)*VLOOKUP(B263,'2-Kosten per locatie'!$A$14:$C$28,3,FALSE)</f>
        <v>0</v>
      </c>
      <c r="U263" s="259">
        <f>IF(O263&gt;0,O263*I263/Y263,0)*VLOOKUP(B263,'2-Kosten per locatie'!$A$14:$C$28,3,FALSE)</f>
        <v>0</v>
      </c>
      <c r="V263" s="259">
        <f>IF(P263&gt;0,P263*I263/Z263,0)*VLOOKUP(B263,'2-Kosten per locatie'!$A$14:$C$28,3,FALSE)</f>
        <v>0</v>
      </c>
      <c r="W263" s="348">
        <f>IF(K263="nio",0,IF(K263&gt;0,VLOOKUP(G263,'3-Productie normen'!A:N,VLOOKUP(K263,'3-Productie normen'!$B$27:$C$38,2,FALSE),FALSE)))</f>
        <v>0</v>
      </c>
      <c r="X263" s="348">
        <f t="shared" si="18"/>
        <v>0</v>
      </c>
      <c r="Y263" s="348">
        <f t="shared" si="19"/>
        <v>0</v>
      </c>
      <c r="Z263" s="348">
        <f t="shared" si="20"/>
        <v>0</v>
      </c>
      <c r="AA263" s="349">
        <f>VLOOKUP(G263,'3-Productie normen'!A:Q,15,FALSE)</f>
        <v>452.79000000000019</v>
      </c>
      <c r="AB263" s="350">
        <f>VLOOKUP(G263,'3-Productie normen'!A:Q,16,FALSE)</f>
        <v>0</v>
      </c>
      <c r="AC263" s="349"/>
      <c r="AE263" s="351">
        <f t="shared" si="16"/>
        <v>6439.68</v>
      </c>
    </row>
    <row r="264" spans="1:31" ht="14.1" customHeight="1">
      <c r="A264" s="76">
        <v>264</v>
      </c>
      <c r="B264" s="496" t="s">
        <v>302</v>
      </c>
      <c r="C264" s="312" t="s">
        <v>289</v>
      </c>
      <c r="D264" s="88" t="s">
        <v>307</v>
      </c>
      <c r="E264" s="255">
        <v>19</v>
      </c>
      <c r="F264" s="88" t="s">
        <v>361</v>
      </c>
      <c r="G264" s="88" t="s">
        <v>85</v>
      </c>
      <c r="H264" s="88" t="s">
        <v>311</v>
      </c>
      <c r="I264" s="504">
        <v>22.41</v>
      </c>
      <c r="J264" s="347">
        <f t="shared" si="17"/>
        <v>336</v>
      </c>
      <c r="K264" s="260">
        <v>240</v>
      </c>
      <c r="L264" s="260"/>
      <c r="M264" s="260">
        <v>96</v>
      </c>
      <c r="N264" s="260"/>
      <c r="O264" s="260"/>
      <c r="P264" s="260"/>
      <c r="Q264" s="259" t="e">
        <f>IF(K264="nio",0,IF(K264&gt;0,K264*I264/W264,0))*VLOOKUP(B264,'2-Kosten per locatie'!$A$14:$C$28,3,FALSE)</f>
        <v>#DIV/0!</v>
      </c>
      <c r="R264" s="259">
        <f>IF(L264&gt;0,L264*I264/X264,0)*VLOOKUP(B264,'2-Kosten per locatie'!$A$14:$C$28,3,FALSE)</f>
        <v>0</v>
      </c>
      <c r="S264" s="259" t="e">
        <f>IF(M264&gt;0,M264*I264/Y264,0)*VLOOKUP(B264,'2-Kosten per locatie'!$A$14:$C$28,3,FALSE)</f>
        <v>#DIV/0!</v>
      </c>
      <c r="T264" s="259">
        <f>IF(N264&gt;0,N264*I264/Z264,0)*VLOOKUP(B264,'2-Kosten per locatie'!$A$14:$C$28,3,FALSE)</f>
        <v>0</v>
      </c>
      <c r="U264" s="259">
        <f>IF(O264&gt;0,O264*I264/Y264,0)*VLOOKUP(B264,'2-Kosten per locatie'!$A$14:$C$28,3,FALSE)</f>
        <v>0</v>
      </c>
      <c r="V264" s="259">
        <f>IF(P264&gt;0,P264*I264/Z264,0)*VLOOKUP(B264,'2-Kosten per locatie'!$A$14:$C$28,3,FALSE)</f>
        <v>0</v>
      </c>
      <c r="W264" s="348">
        <f>IF(K264="nio",0,IF(K264&gt;0,VLOOKUP(G264,'3-Productie normen'!A:N,VLOOKUP(K264,'3-Productie normen'!$B$27:$C$38,2,FALSE),FALSE)))</f>
        <v>0</v>
      </c>
      <c r="X264" s="348">
        <f t="shared" si="18"/>
        <v>0</v>
      </c>
      <c r="Y264" s="348">
        <f t="shared" si="19"/>
        <v>0</v>
      </c>
      <c r="Z264" s="348">
        <f t="shared" si="20"/>
        <v>0</v>
      </c>
      <c r="AA264" s="349">
        <f>VLOOKUP(G264,'3-Productie normen'!A:Q,15,FALSE)</f>
        <v>1367.5950000000007</v>
      </c>
      <c r="AB264" s="350">
        <f>VLOOKUP(G264,'3-Productie normen'!A:Q,16,FALSE)</f>
        <v>0</v>
      </c>
      <c r="AC264" s="349"/>
      <c r="AE264" s="351">
        <f t="shared" si="16"/>
        <v>7529.76</v>
      </c>
    </row>
    <row r="265" spans="1:31" ht="14.1" customHeight="1">
      <c r="A265" s="76">
        <v>265</v>
      </c>
      <c r="B265" s="496" t="s">
        <v>302</v>
      </c>
      <c r="C265" s="312" t="s">
        <v>289</v>
      </c>
      <c r="D265" s="88" t="s">
        <v>307</v>
      </c>
      <c r="E265" s="255">
        <v>20</v>
      </c>
      <c r="F265" s="88" t="s">
        <v>317</v>
      </c>
      <c r="G265" s="88" t="s">
        <v>88</v>
      </c>
      <c r="H265" s="88" t="s">
        <v>333</v>
      </c>
      <c r="I265" s="504">
        <v>1557</v>
      </c>
      <c r="J265" s="347">
        <f t="shared" si="17"/>
        <v>576</v>
      </c>
      <c r="K265" s="260">
        <v>240</v>
      </c>
      <c r="L265" s="260">
        <v>240</v>
      </c>
      <c r="M265" s="260">
        <v>96</v>
      </c>
      <c r="N265" s="260"/>
      <c r="O265" s="260"/>
      <c r="P265" s="260"/>
      <c r="Q265" s="259" t="e">
        <f>IF(K265="nio",0,IF(K265&gt;0,K265*I265/W265,0))*VLOOKUP(B265,'2-Kosten per locatie'!$A$14:$C$28,3,FALSE)</f>
        <v>#DIV/0!</v>
      </c>
      <c r="R265" s="259" t="e">
        <f>IF(L265&gt;0,L265*I265/X265,0)*VLOOKUP(B265,'2-Kosten per locatie'!$A$14:$C$28,3,FALSE)</f>
        <v>#DIV/0!</v>
      </c>
      <c r="S265" s="259" t="e">
        <f>IF(M265&gt;0,M265*I265/Y265,0)*VLOOKUP(B265,'2-Kosten per locatie'!$A$14:$C$28,3,FALSE)</f>
        <v>#DIV/0!</v>
      </c>
      <c r="T265" s="259">
        <f>IF(N265&gt;0,N265*I265/Z265,0)*VLOOKUP(B265,'2-Kosten per locatie'!$A$14:$C$28,3,FALSE)</f>
        <v>0</v>
      </c>
      <c r="U265" s="259">
        <f>IF(O265&gt;0,O265*I265/Y265,0)*VLOOKUP(B265,'2-Kosten per locatie'!$A$14:$C$28,3,FALSE)</f>
        <v>0</v>
      </c>
      <c r="V265" s="259">
        <f>IF(P265&gt;0,P265*I265/Z265,0)*VLOOKUP(B265,'2-Kosten per locatie'!$A$14:$C$28,3,FALSE)</f>
        <v>0</v>
      </c>
      <c r="W265" s="348">
        <f>IF(K265="nio",0,IF(K265&gt;0,VLOOKUP(G265,'3-Productie normen'!A:N,VLOOKUP(K265,'3-Productie normen'!$B$27:$C$38,2,FALSE),FALSE)))</f>
        <v>0</v>
      </c>
      <c r="X265" s="348">
        <f t="shared" si="18"/>
        <v>0</v>
      </c>
      <c r="Y265" s="348">
        <f t="shared" si="19"/>
        <v>0</v>
      </c>
      <c r="Z265" s="348">
        <f t="shared" si="20"/>
        <v>0</v>
      </c>
      <c r="AA265" s="349">
        <f>VLOOKUP(G265,'3-Productie normen'!A:Q,15,FALSE)</f>
        <v>6683.51</v>
      </c>
      <c r="AB265" s="350">
        <f>VLOOKUP(G265,'3-Productie normen'!A:Q,16,FALSE)</f>
        <v>0</v>
      </c>
      <c r="AC265" s="349"/>
      <c r="AE265" s="351">
        <f t="shared" si="16"/>
        <v>896832</v>
      </c>
    </row>
    <row r="266" spans="1:31" ht="14.1" customHeight="1">
      <c r="A266" s="76">
        <v>266</v>
      </c>
      <c r="B266" s="496" t="s">
        <v>302</v>
      </c>
      <c r="C266" s="312" t="s">
        <v>289</v>
      </c>
      <c r="D266" s="88" t="s">
        <v>307</v>
      </c>
      <c r="E266" s="255">
        <v>21</v>
      </c>
      <c r="F266" s="88" t="s">
        <v>315</v>
      </c>
      <c r="G266" s="88" t="s">
        <v>87</v>
      </c>
      <c r="H266" s="88" t="s">
        <v>330</v>
      </c>
      <c r="I266" s="504">
        <v>38</v>
      </c>
      <c r="J266" s="347">
        <f t="shared" si="17"/>
        <v>52</v>
      </c>
      <c r="K266" s="260">
        <v>52</v>
      </c>
      <c r="L266" s="260"/>
      <c r="M266" s="260"/>
      <c r="N266" s="260"/>
      <c r="O266" s="260"/>
      <c r="P266" s="260"/>
      <c r="Q266" s="259" t="e">
        <f>IF(K266="nio",0,IF(K266&gt;0,K266*I266/W266,0))*VLOOKUP(B266,'2-Kosten per locatie'!$A$14:$C$28,3,FALSE)</f>
        <v>#DIV/0!</v>
      </c>
      <c r="R266" s="259">
        <f>IF(L266&gt;0,L266*I266/X266,0)*VLOOKUP(B266,'2-Kosten per locatie'!$A$14:$C$28,3,FALSE)</f>
        <v>0</v>
      </c>
      <c r="S266" s="259">
        <f>IF(M266&gt;0,M266*I266/Y266,0)*VLOOKUP(B266,'2-Kosten per locatie'!$A$14:$C$28,3,FALSE)</f>
        <v>0</v>
      </c>
      <c r="T266" s="259">
        <f>IF(N266&gt;0,N266*I266/Z266,0)*VLOOKUP(B266,'2-Kosten per locatie'!$A$14:$C$28,3,FALSE)</f>
        <v>0</v>
      </c>
      <c r="U266" s="259">
        <f>IF(O266&gt;0,O266*I266/Y266,0)*VLOOKUP(B266,'2-Kosten per locatie'!$A$14:$C$28,3,FALSE)</f>
        <v>0</v>
      </c>
      <c r="V266" s="259">
        <f>IF(P266&gt;0,P266*I266/Z266,0)*VLOOKUP(B266,'2-Kosten per locatie'!$A$14:$C$28,3,FALSE)</f>
        <v>0</v>
      </c>
      <c r="W266" s="348">
        <f>IF(K266="nio",0,IF(K266&gt;0,VLOOKUP(G266,'3-Productie normen'!A:N,VLOOKUP(K266,'3-Productie normen'!$B$27:$C$38,2,FALSE),FALSE)))</f>
        <v>0</v>
      </c>
      <c r="X266" s="348">
        <f t="shared" si="18"/>
        <v>0</v>
      </c>
      <c r="Y266" s="348">
        <f t="shared" si="19"/>
        <v>0</v>
      </c>
      <c r="Z266" s="348">
        <f t="shared" si="20"/>
        <v>0</v>
      </c>
      <c r="AA266" s="349">
        <f>VLOOKUP(G266,'3-Productie normen'!A:Q,15,FALSE)</f>
        <v>661.27599999999984</v>
      </c>
      <c r="AB266" s="350">
        <f>VLOOKUP(G266,'3-Productie normen'!A:Q,16,FALSE)</f>
        <v>0</v>
      </c>
      <c r="AC266" s="349"/>
      <c r="AE266" s="351">
        <f t="shared" ref="AE266:AE329" si="21">J266*I266</f>
        <v>1976</v>
      </c>
    </row>
    <row r="267" spans="1:31" ht="14.1" customHeight="1">
      <c r="A267" s="76">
        <v>267</v>
      </c>
      <c r="B267" s="496" t="s">
        <v>302</v>
      </c>
      <c r="C267" s="312" t="s">
        <v>289</v>
      </c>
      <c r="D267" s="88" t="s">
        <v>307</v>
      </c>
      <c r="E267" s="255"/>
      <c r="F267" s="88" t="s">
        <v>315</v>
      </c>
      <c r="G267" s="88" t="s">
        <v>87</v>
      </c>
      <c r="H267" s="88" t="s">
        <v>330</v>
      </c>
      <c r="I267" s="504">
        <v>41.5</v>
      </c>
      <c r="J267" s="347">
        <f t="shared" ref="J267:J330" si="22">SUM(K267:P267)</f>
        <v>52</v>
      </c>
      <c r="K267" s="260">
        <v>52</v>
      </c>
      <c r="L267" s="260"/>
      <c r="M267" s="260"/>
      <c r="N267" s="260"/>
      <c r="O267" s="260"/>
      <c r="P267" s="260"/>
      <c r="Q267" s="259" t="e">
        <f>IF(K267="nio",0,IF(K267&gt;0,K267*I267/W267,0))*VLOOKUP(B267,'2-Kosten per locatie'!$A$14:$C$28,3,FALSE)</f>
        <v>#DIV/0!</v>
      </c>
      <c r="R267" s="259">
        <f>IF(L267&gt;0,L267*I267/X267,0)*VLOOKUP(B267,'2-Kosten per locatie'!$A$14:$C$28,3,FALSE)</f>
        <v>0</v>
      </c>
      <c r="S267" s="259">
        <f>IF(M267&gt;0,M267*I267/Y267,0)*VLOOKUP(B267,'2-Kosten per locatie'!$A$14:$C$28,3,FALSE)</f>
        <v>0</v>
      </c>
      <c r="T267" s="259">
        <f>IF(N267&gt;0,N267*I267/Z267,0)*VLOOKUP(B267,'2-Kosten per locatie'!$A$14:$C$28,3,FALSE)</f>
        <v>0</v>
      </c>
      <c r="U267" s="259">
        <f>IF(O267&gt;0,O267*I267/Y267,0)*VLOOKUP(B267,'2-Kosten per locatie'!$A$14:$C$28,3,FALSE)</f>
        <v>0</v>
      </c>
      <c r="V267" s="259">
        <f>IF(P267&gt;0,P267*I267/Z267,0)*VLOOKUP(B267,'2-Kosten per locatie'!$A$14:$C$28,3,FALSE)</f>
        <v>0</v>
      </c>
      <c r="W267" s="348">
        <f>IF(K267="nio",0,IF(K267&gt;0,VLOOKUP(G267,'3-Productie normen'!A:N,VLOOKUP(K267,'3-Productie normen'!$B$27:$C$38,2,FALSE),FALSE)))</f>
        <v>0</v>
      </c>
      <c r="X267" s="348">
        <f t="shared" ref="X267:X330" si="23">IF(L267&gt;0,W267*$X$8,0)</f>
        <v>0</v>
      </c>
      <c r="Y267" s="348">
        <f t="shared" ref="Y267:Y330" si="24">IF((OR(M267&gt;0,O267&gt;0)),W267*$Y$8,0)</f>
        <v>0</v>
      </c>
      <c r="Z267" s="348">
        <f t="shared" ref="Z267:Z330" si="25">IF((OR(N267&gt;0,P267&gt;0)),W267*$Z$8,0)</f>
        <v>0</v>
      </c>
      <c r="AA267" s="349">
        <f>VLOOKUP(G267,'3-Productie normen'!A:Q,15,FALSE)</f>
        <v>661.27599999999984</v>
      </c>
      <c r="AB267" s="350">
        <f>VLOOKUP(G267,'3-Productie normen'!A:Q,16,FALSE)</f>
        <v>0</v>
      </c>
      <c r="AC267" s="349"/>
      <c r="AE267" s="351">
        <f t="shared" si="21"/>
        <v>2158</v>
      </c>
    </row>
    <row r="268" spans="1:31" ht="14.1" customHeight="1">
      <c r="A268" s="76">
        <v>268</v>
      </c>
      <c r="B268" s="496" t="s">
        <v>302</v>
      </c>
      <c r="C268" s="312" t="s">
        <v>289</v>
      </c>
      <c r="D268" s="88" t="s">
        <v>307</v>
      </c>
      <c r="E268" s="255">
        <v>22</v>
      </c>
      <c r="F268" s="88" t="s">
        <v>315</v>
      </c>
      <c r="G268" s="88" t="s">
        <v>87</v>
      </c>
      <c r="H268" s="88" t="s">
        <v>330</v>
      </c>
      <c r="I268" s="504">
        <v>28.51</v>
      </c>
      <c r="J268" s="347">
        <f t="shared" si="22"/>
        <v>52</v>
      </c>
      <c r="K268" s="260">
        <v>52</v>
      </c>
      <c r="L268" s="260"/>
      <c r="M268" s="260"/>
      <c r="N268" s="260"/>
      <c r="O268" s="260"/>
      <c r="P268" s="260"/>
      <c r="Q268" s="259" t="e">
        <f>IF(K268="nio",0,IF(K268&gt;0,K268*I268/W268,0))*VLOOKUP(B268,'2-Kosten per locatie'!$A$14:$C$28,3,FALSE)</f>
        <v>#DIV/0!</v>
      </c>
      <c r="R268" s="259">
        <f>IF(L268&gt;0,L268*I268/X268,0)*VLOOKUP(B268,'2-Kosten per locatie'!$A$14:$C$28,3,FALSE)</f>
        <v>0</v>
      </c>
      <c r="S268" s="259">
        <f>IF(M268&gt;0,M268*I268/Y268,0)*VLOOKUP(B268,'2-Kosten per locatie'!$A$14:$C$28,3,FALSE)</f>
        <v>0</v>
      </c>
      <c r="T268" s="259">
        <f>IF(N268&gt;0,N268*I268/Z268,0)*VLOOKUP(B268,'2-Kosten per locatie'!$A$14:$C$28,3,FALSE)</f>
        <v>0</v>
      </c>
      <c r="U268" s="259">
        <f>IF(O268&gt;0,O268*I268/Y268,0)*VLOOKUP(B268,'2-Kosten per locatie'!$A$14:$C$28,3,FALSE)</f>
        <v>0</v>
      </c>
      <c r="V268" s="259">
        <f>IF(P268&gt;0,P268*I268/Z268,0)*VLOOKUP(B268,'2-Kosten per locatie'!$A$14:$C$28,3,FALSE)</f>
        <v>0</v>
      </c>
      <c r="W268" s="348">
        <f>IF(K268="nio",0,IF(K268&gt;0,VLOOKUP(G268,'3-Productie normen'!A:N,VLOOKUP(K268,'3-Productie normen'!$B$27:$C$38,2,FALSE),FALSE)))</f>
        <v>0</v>
      </c>
      <c r="X268" s="348">
        <f t="shared" si="23"/>
        <v>0</v>
      </c>
      <c r="Y268" s="348">
        <f t="shared" si="24"/>
        <v>0</v>
      </c>
      <c r="Z268" s="348">
        <f t="shared" si="25"/>
        <v>0</v>
      </c>
      <c r="AA268" s="349">
        <f>VLOOKUP(G268,'3-Productie normen'!A:Q,15,FALSE)</f>
        <v>661.27599999999984</v>
      </c>
      <c r="AB268" s="350">
        <f>VLOOKUP(G268,'3-Productie normen'!A:Q,16,FALSE)</f>
        <v>0</v>
      </c>
      <c r="AC268" s="349"/>
      <c r="AE268" s="351">
        <f t="shared" si="21"/>
        <v>1482.52</v>
      </c>
    </row>
    <row r="269" spans="1:31" ht="14.1" customHeight="1">
      <c r="A269" s="76">
        <v>269</v>
      </c>
      <c r="B269" s="496" t="s">
        <v>302</v>
      </c>
      <c r="C269" s="312" t="s">
        <v>289</v>
      </c>
      <c r="D269" s="88" t="s">
        <v>307</v>
      </c>
      <c r="E269" s="255">
        <v>23</v>
      </c>
      <c r="F269" s="88" t="s">
        <v>344</v>
      </c>
      <c r="G269" s="88" t="s">
        <v>461</v>
      </c>
      <c r="H269" s="88" t="s">
        <v>400</v>
      </c>
      <c r="I269" s="504">
        <v>15.86</v>
      </c>
      <c r="J269" s="347">
        <f t="shared" si="22"/>
        <v>0</v>
      </c>
      <c r="K269" s="260" t="s">
        <v>460</v>
      </c>
      <c r="L269" s="260"/>
      <c r="M269" s="260"/>
      <c r="N269" s="260"/>
      <c r="O269" s="260"/>
      <c r="P269" s="260"/>
      <c r="Q269" s="259">
        <f>IF(K269="nio",0,IF(K269&gt;0,K269*I269/W269,0))*VLOOKUP(B269,'2-Kosten per locatie'!$A$14:$C$28,3,FALSE)</f>
        <v>0</v>
      </c>
      <c r="R269" s="259">
        <f>IF(L269&gt;0,L269*I269/X269,0)*VLOOKUP(B269,'2-Kosten per locatie'!$A$14:$C$28,3,FALSE)</f>
        <v>0</v>
      </c>
      <c r="S269" s="259">
        <f>IF(M269&gt;0,M269*I269/Y269,0)*VLOOKUP(B269,'2-Kosten per locatie'!$A$14:$C$28,3,FALSE)</f>
        <v>0</v>
      </c>
      <c r="T269" s="259">
        <f>IF(N269&gt;0,N269*I269/Z269,0)*VLOOKUP(B269,'2-Kosten per locatie'!$A$14:$C$28,3,FALSE)</f>
        <v>0</v>
      </c>
      <c r="U269" s="259">
        <f>IF(O269&gt;0,O269*I269/Y269,0)*VLOOKUP(B269,'2-Kosten per locatie'!$A$14:$C$28,3,FALSE)</f>
        <v>0</v>
      </c>
      <c r="V269" s="259">
        <f>IF(P269&gt;0,P269*I269/Z269,0)*VLOOKUP(B269,'2-Kosten per locatie'!$A$14:$C$28,3,FALSE)</f>
        <v>0</v>
      </c>
      <c r="W269" s="348">
        <f>IF(K269="nio",0,IF(K269&gt;0,VLOOKUP(G269,'3-Productie normen'!A:N,VLOOKUP(K269,'3-Productie normen'!$B$27:$C$38,2,FALSE),FALSE)))</f>
        <v>0</v>
      </c>
      <c r="X269" s="348">
        <f t="shared" si="23"/>
        <v>0</v>
      </c>
      <c r="Y269" s="348">
        <f t="shared" si="24"/>
        <v>0</v>
      </c>
      <c r="Z269" s="348">
        <f t="shared" si="25"/>
        <v>0</v>
      </c>
      <c r="AA269" s="349" t="e">
        <f>VLOOKUP(G269,'3-Productie normen'!A:Q,15,FALSE)</f>
        <v>#N/A</v>
      </c>
      <c r="AB269" s="350" t="e">
        <f>VLOOKUP(G269,'3-Productie normen'!A:Q,16,FALSE)</f>
        <v>#N/A</v>
      </c>
      <c r="AC269" s="349"/>
      <c r="AE269" s="351">
        <f t="shared" si="21"/>
        <v>0</v>
      </c>
    </row>
    <row r="270" spans="1:31" ht="14.1" customHeight="1">
      <c r="A270" s="76">
        <v>270</v>
      </c>
      <c r="B270" s="496" t="s">
        <v>303</v>
      </c>
      <c r="C270" s="312" t="s">
        <v>304</v>
      </c>
      <c r="D270" s="88" t="s">
        <v>307</v>
      </c>
      <c r="E270" s="255">
        <v>1</v>
      </c>
      <c r="F270" s="88" t="s">
        <v>317</v>
      </c>
      <c r="G270" s="88" t="s">
        <v>88</v>
      </c>
      <c r="H270" s="88" t="s">
        <v>316</v>
      </c>
      <c r="I270" s="504">
        <v>448.44</v>
      </c>
      <c r="J270" s="347">
        <f t="shared" si="22"/>
        <v>310</v>
      </c>
      <c r="K270" s="260">
        <v>255</v>
      </c>
      <c r="L270" s="260"/>
      <c r="M270" s="260">
        <v>55</v>
      </c>
      <c r="N270" s="260"/>
      <c r="O270" s="260"/>
      <c r="P270" s="260"/>
      <c r="Q270" s="259" t="e">
        <f>IF(K270="nio",0,IF(K270&gt;0,K270*I270/W270,0))*VLOOKUP(B270,'2-Kosten per locatie'!$A$14:$C$28,3,FALSE)</f>
        <v>#DIV/0!</v>
      </c>
      <c r="R270" s="259">
        <f>IF(L270&gt;0,L270*I270/X270,0)*VLOOKUP(B270,'2-Kosten per locatie'!$A$14:$C$28,3,FALSE)</f>
        <v>0</v>
      </c>
      <c r="S270" s="259" t="e">
        <f>IF(M270&gt;0,M270*I270/Y270,0)*VLOOKUP(B270,'2-Kosten per locatie'!$A$14:$C$28,3,FALSE)</f>
        <v>#DIV/0!</v>
      </c>
      <c r="T270" s="259">
        <f>IF(N270&gt;0,N270*I270/Z270,0)*VLOOKUP(B270,'2-Kosten per locatie'!$A$14:$C$28,3,FALSE)</f>
        <v>0</v>
      </c>
      <c r="U270" s="259">
        <f>IF(O270&gt;0,O270*I270/Y270,0)*VLOOKUP(B270,'2-Kosten per locatie'!$A$14:$C$28,3,FALSE)</f>
        <v>0</v>
      </c>
      <c r="V270" s="259">
        <f>IF(P270&gt;0,P270*I270/Z270,0)*VLOOKUP(B270,'2-Kosten per locatie'!$A$14:$C$28,3,FALSE)</f>
        <v>0</v>
      </c>
      <c r="W270" s="348">
        <f>IF(K270="nio",0,IF(K270&gt;0,VLOOKUP(G270,'3-Productie normen'!A:N,VLOOKUP(K270,'3-Productie normen'!$B$27:$C$38,2,FALSE),FALSE)))</f>
        <v>0</v>
      </c>
      <c r="X270" s="348">
        <f t="shared" si="23"/>
        <v>0</v>
      </c>
      <c r="Y270" s="348">
        <f t="shared" si="24"/>
        <v>0</v>
      </c>
      <c r="Z270" s="348">
        <f t="shared" si="25"/>
        <v>0</v>
      </c>
      <c r="AA270" s="349">
        <f>VLOOKUP(G270,'3-Productie normen'!A:Q,15,FALSE)</f>
        <v>6683.51</v>
      </c>
      <c r="AB270" s="350">
        <f>VLOOKUP(G270,'3-Productie normen'!A:Q,16,FALSE)</f>
        <v>0</v>
      </c>
      <c r="AC270" s="349"/>
      <c r="AE270" s="351">
        <f t="shared" si="21"/>
        <v>139016.4</v>
      </c>
    </row>
    <row r="271" spans="1:31" ht="14.1" customHeight="1">
      <c r="A271" s="76">
        <v>271</v>
      </c>
      <c r="B271" s="496" t="s">
        <v>303</v>
      </c>
      <c r="C271" s="312" t="s">
        <v>304</v>
      </c>
      <c r="D271" s="88" t="s">
        <v>307</v>
      </c>
      <c r="E271" s="255">
        <v>2</v>
      </c>
      <c r="F271" s="88" t="s">
        <v>315</v>
      </c>
      <c r="G271" s="88" t="s">
        <v>87</v>
      </c>
      <c r="H271" s="88" t="s">
        <v>316</v>
      </c>
      <c r="I271" s="504">
        <v>41.006</v>
      </c>
      <c r="J271" s="347">
        <f t="shared" si="22"/>
        <v>52</v>
      </c>
      <c r="K271" s="260">
        <v>52</v>
      </c>
      <c r="L271" s="260"/>
      <c r="M271" s="260"/>
      <c r="N271" s="260"/>
      <c r="O271" s="260"/>
      <c r="P271" s="260"/>
      <c r="Q271" s="259" t="e">
        <f>IF(K271="nio",0,IF(K271&gt;0,K271*I271/W271,0))*VLOOKUP(B271,'2-Kosten per locatie'!$A$14:$C$28,3,FALSE)</f>
        <v>#DIV/0!</v>
      </c>
      <c r="R271" s="259">
        <f>IF(L271&gt;0,L271*I271/X271,0)*VLOOKUP(B271,'2-Kosten per locatie'!$A$14:$C$28,3,FALSE)</f>
        <v>0</v>
      </c>
      <c r="S271" s="259">
        <f>IF(M271&gt;0,M271*I271/Y271,0)*VLOOKUP(B271,'2-Kosten per locatie'!$A$14:$C$28,3,FALSE)</f>
        <v>0</v>
      </c>
      <c r="T271" s="259">
        <f>IF(N271&gt;0,N271*I271/Z271,0)*VLOOKUP(B271,'2-Kosten per locatie'!$A$14:$C$28,3,FALSE)</f>
        <v>0</v>
      </c>
      <c r="U271" s="259">
        <f>IF(O271&gt;0,O271*I271/Y271,0)*VLOOKUP(B271,'2-Kosten per locatie'!$A$14:$C$28,3,FALSE)</f>
        <v>0</v>
      </c>
      <c r="V271" s="259">
        <f>IF(P271&gt;0,P271*I271/Z271,0)*VLOOKUP(B271,'2-Kosten per locatie'!$A$14:$C$28,3,FALSE)</f>
        <v>0</v>
      </c>
      <c r="W271" s="348">
        <f>IF(K271="nio",0,IF(K271&gt;0,VLOOKUP(G271,'3-Productie normen'!A:N,VLOOKUP(K271,'3-Productie normen'!$B$27:$C$38,2,FALSE),FALSE)))</f>
        <v>0</v>
      </c>
      <c r="X271" s="348">
        <f t="shared" si="23"/>
        <v>0</v>
      </c>
      <c r="Y271" s="348">
        <f t="shared" si="24"/>
        <v>0</v>
      </c>
      <c r="Z271" s="348">
        <f t="shared" si="25"/>
        <v>0</v>
      </c>
      <c r="AA271" s="349">
        <f>VLOOKUP(G271,'3-Productie normen'!A:Q,15,FALSE)</f>
        <v>661.27599999999984</v>
      </c>
      <c r="AB271" s="350">
        <f>VLOOKUP(G271,'3-Productie normen'!A:Q,16,FALSE)</f>
        <v>0</v>
      </c>
      <c r="AC271" s="349"/>
      <c r="AE271" s="351">
        <f t="shared" si="21"/>
        <v>2132.3119999999999</v>
      </c>
    </row>
    <row r="272" spans="1:31" ht="14.1" customHeight="1">
      <c r="A272" s="76">
        <v>272</v>
      </c>
      <c r="B272" s="496" t="s">
        <v>303</v>
      </c>
      <c r="C272" s="312" t="s">
        <v>304</v>
      </c>
      <c r="D272" s="88" t="s">
        <v>307</v>
      </c>
      <c r="E272" s="255">
        <v>3</v>
      </c>
      <c r="F272" s="88" t="s">
        <v>313</v>
      </c>
      <c r="G272" s="88" t="s">
        <v>85</v>
      </c>
      <c r="H272" s="88" t="s">
        <v>311</v>
      </c>
      <c r="I272" s="504">
        <v>25.09</v>
      </c>
      <c r="J272" s="347">
        <f t="shared" si="22"/>
        <v>310</v>
      </c>
      <c r="K272" s="260">
        <v>255</v>
      </c>
      <c r="L272" s="260"/>
      <c r="M272" s="260">
        <v>55</v>
      </c>
      <c r="N272" s="260"/>
      <c r="O272" s="260"/>
      <c r="P272" s="260"/>
      <c r="Q272" s="259" t="e">
        <f>IF(K272="nio",0,IF(K272&gt;0,K272*I272/W272,0))*VLOOKUP(B272,'2-Kosten per locatie'!$A$14:$C$28,3,FALSE)</f>
        <v>#DIV/0!</v>
      </c>
      <c r="R272" s="259">
        <f>IF(L272&gt;0,L272*I272/X272,0)*VLOOKUP(B272,'2-Kosten per locatie'!$A$14:$C$28,3,FALSE)</f>
        <v>0</v>
      </c>
      <c r="S272" s="259" t="e">
        <f>IF(M272&gt;0,M272*I272/Y272,0)*VLOOKUP(B272,'2-Kosten per locatie'!$A$14:$C$28,3,FALSE)</f>
        <v>#DIV/0!</v>
      </c>
      <c r="T272" s="259">
        <f>IF(N272&gt;0,N272*I272/Z272,0)*VLOOKUP(B272,'2-Kosten per locatie'!$A$14:$C$28,3,FALSE)</f>
        <v>0</v>
      </c>
      <c r="U272" s="259">
        <f>IF(O272&gt;0,O272*I272/Y272,0)*VLOOKUP(B272,'2-Kosten per locatie'!$A$14:$C$28,3,FALSE)</f>
        <v>0</v>
      </c>
      <c r="V272" s="259">
        <f>IF(P272&gt;0,P272*I272/Z272,0)*VLOOKUP(B272,'2-Kosten per locatie'!$A$14:$C$28,3,FALSE)</f>
        <v>0</v>
      </c>
      <c r="W272" s="348">
        <f>IF(K272="nio",0,IF(K272&gt;0,VLOOKUP(G272,'3-Productie normen'!A:N,VLOOKUP(K272,'3-Productie normen'!$B$27:$C$38,2,FALSE),FALSE)))</f>
        <v>0</v>
      </c>
      <c r="X272" s="348">
        <f t="shared" si="23"/>
        <v>0</v>
      </c>
      <c r="Y272" s="348">
        <f t="shared" si="24"/>
        <v>0</v>
      </c>
      <c r="Z272" s="348">
        <f t="shared" si="25"/>
        <v>0</v>
      </c>
      <c r="AA272" s="349">
        <f>VLOOKUP(G272,'3-Productie normen'!A:Q,15,FALSE)</f>
        <v>1367.5950000000007</v>
      </c>
      <c r="AB272" s="350">
        <f>VLOOKUP(G272,'3-Productie normen'!A:Q,16,FALSE)</f>
        <v>0</v>
      </c>
      <c r="AC272" s="349"/>
      <c r="AE272" s="351">
        <f t="shared" si="21"/>
        <v>7777.9</v>
      </c>
    </row>
    <row r="273" spans="1:31" ht="14.1" customHeight="1">
      <c r="A273" s="76">
        <v>273</v>
      </c>
      <c r="B273" s="496" t="s">
        <v>303</v>
      </c>
      <c r="C273" s="312" t="s">
        <v>304</v>
      </c>
      <c r="D273" s="88" t="s">
        <v>307</v>
      </c>
      <c r="E273" s="255">
        <v>4</v>
      </c>
      <c r="F273" s="88" t="s">
        <v>322</v>
      </c>
      <c r="G273" s="88" t="s">
        <v>341</v>
      </c>
      <c r="H273" s="88" t="s">
        <v>311</v>
      </c>
      <c r="I273" s="504">
        <v>6.47</v>
      </c>
      <c r="J273" s="347">
        <f t="shared" si="22"/>
        <v>310</v>
      </c>
      <c r="K273" s="260">
        <v>255</v>
      </c>
      <c r="L273" s="260"/>
      <c r="M273" s="260">
        <v>55</v>
      </c>
      <c r="N273" s="260"/>
      <c r="O273" s="260"/>
      <c r="P273" s="260"/>
      <c r="Q273" s="259" t="e">
        <f>IF(K273="nio",0,IF(K273&gt;0,K273*I273/W273,0))*VLOOKUP(B273,'2-Kosten per locatie'!$A$14:$C$28,3,FALSE)</f>
        <v>#DIV/0!</v>
      </c>
      <c r="R273" s="259">
        <f>IF(L273&gt;0,L273*I273/X273,0)*VLOOKUP(B273,'2-Kosten per locatie'!$A$14:$C$28,3,FALSE)</f>
        <v>0</v>
      </c>
      <c r="S273" s="259" t="e">
        <f>IF(M273&gt;0,M273*I273/Y273,0)*VLOOKUP(B273,'2-Kosten per locatie'!$A$14:$C$28,3,FALSE)</f>
        <v>#DIV/0!</v>
      </c>
      <c r="T273" s="259">
        <f>IF(N273&gt;0,N273*I273/Z273,0)*VLOOKUP(B273,'2-Kosten per locatie'!$A$14:$C$28,3,FALSE)</f>
        <v>0</v>
      </c>
      <c r="U273" s="259">
        <f>IF(O273&gt;0,O273*I273/Y273,0)*VLOOKUP(B273,'2-Kosten per locatie'!$A$14:$C$28,3,FALSE)</f>
        <v>0</v>
      </c>
      <c r="V273" s="259">
        <f>IF(P273&gt;0,P273*I273/Z273,0)*VLOOKUP(B273,'2-Kosten per locatie'!$A$14:$C$28,3,FALSE)</f>
        <v>0</v>
      </c>
      <c r="W273" s="348">
        <f>IF(K273="nio",0,IF(K273&gt;0,VLOOKUP(G273,'3-Productie normen'!A:N,VLOOKUP(K273,'3-Productie normen'!$B$27:$C$38,2,FALSE),FALSE)))</f>
        <v>0</v>
      </c>
      <c r="X273" s="348">
        <f t="shared" si="23"/>
        <v>0</v>
      </c>
      <c r="Y273" s="348">
        <f t="shared" si="24"/>
        <v>0</v>
      </c>
      <c r="Z273" s="348">
        <f t="shared" si="25"/>
        <v>0</v>
      </c>
      <c r="AA273" s="349">
        <f>VLOOKUP(G273,'3-Productie normen'!A:Q,15,FALSE)</f>
        <v>452.79000000000019</v>
      </c>
      <c r="AB273" s="350">
        <f>VLOOKUP(G273,'3-Productie normen'!A:Q,16,FALSE)</f>
        <v>0</v>
      </c>
      <c r="AC273" s="349"/>
      <c r="AE273" s="351">
        <f t="shared" si="21"/>
        <v>2005.6999999999998</v>
      </c>
    </row>
    <row r="274" spans="1:31" ht="14.1" customHeight="1">
      <c r="A274" s="76">
        <v>274</v>
      </c>
      <c r="B274" s="496" t="s">
        <v>303</v>
      </c>
      <c r="C274" s="312" t="s">
        <v>304</v>
      </c>
      <c r="D274" s="88" t="s">
        <v>307</v>
      </c>
      <c r="E274" s="255">
        <v>5</v>
      </c>
      <c r="F274" s="88" t="s">
        <v>310</v>
      </c>
      <c r="G274" s="88" t="s">
        <v>81</v>
      </c>
      <c r="H274" s="88" t="s">
        <v>311</v>
      </c>
      <c r="I274" s="504">
        <v>0.91</v>
      </c>
      <c r="J274" s="347">
        <f t="shared" si="22"/>
        <v>310</v>
      </c>
      <c r="K274" s="260">
        <v>255</v>
      </c>
      <c r="L274" s="260"/>
      <c r="M274" s="260">
        <v>55</v>
      </c>
      <c r="N274" s="260"/>
      <c r="O274" s="260"/>
      <c r="P274" s="260"/>
      <c r="Q274" s="259" t="e">
        <f>IF(K274="nio",0,IF(K274&gt;0,K274*I274/W274,0))*VLOOKUP(B274,'2-Kosten per locatie'!$A$14:$C$28,3,FALSE)</f>
        <v>#DIV/0!</v>
      </c>
      <c r="R274" s="259">
        <f>IF(L274&gt;0,L274*I274/X274,0)*VLOOKUP(B274,'2-Kosten per locatie'!$A$14:$C$28,3,FALSE)</f>
        <v>0</v>
      </c>
      <c r="S274" s="259" t="e">
        <f>IF(M274&gt;0,M274*I274/Y274,0)*VLOOKUP(B274,'2-Kosten per locatie'!$A$14:$C$28,3,FALSE)</f>
        <v>#DIV/0!</v>
      </c>
      <c r="T274" s="259">
        <f>IF(N274&gt;0,N274*I274/Z274,0)*VLOOKUP(B274,'2-Kosten per locatie'!$A$14:$C$28,3,FALSE)</f>
        <v>0</v>
      </c>
      <c r="U274" s="259">
        <f>IF(O274&gt;0,O274*I274/Y274,0)*VLOOKUP(B274,'2-Kosten per locatie'!$A$14:$C$28,3,FALSE)</f>
        <v>0</v>
      </c>
      <c r="V274" s="259">
        <f>IF(P274&gt;0,P274*I274/Z274,0)*VLOOKUP(B274,'2-Kosten per locatie'!$A$14:$C$28,3,FALSE)</f>
        <v>0</v>
      </c>
      <c r="W274" s="348">
        <f>IF(K274="nio",0,IF(K274&gt;0,VLOOKUP(G274,'3-Productie normen'!A:N,VLOOKUP(K274,'3-Productie normen'!$B$27:$C$38,2,FALSE),FALSE)))</f>
        <v>0</v>
      </c>
      <c r="X274" s="348">
        <f t="shared" si="23"/>
        <v>0</v>
      </c>
      <c r="Y274" s="348">
        <f t="shared" si="24"/>
        <v>0</v>
      </c>
      <c r="Z274" s="348">
        <f t="shared" si="25"/>
        <v>0</v>
      </c>
      <c r="AA274" s="349">
        <f>VLOOKUP(G274,'3-Productie normen'!A:Q,15,FALSE)</f>
        <v>235.06999999999988</v>
      </c>
      <c r="AB274" s="350">
        <f>VLOOKUP(G274,'3-Productie normen'!A:Q,16,FALSE)</f>
        <v>0</v>
      </c>
      <c r="AC274" s="349"/>
      <c r="AE274" s="351">
        <f t="shared" si="21"/>
        <v>282.10000000000002</v>
      </c>
    </row>
    <row r="275" spans="1:31" ht="14.1" customHeight="1">
      <c r="A275" s="76">
        <v>275</v>
      </c>
      <c r="B275" s="496" t="s">
        <v>303</v>
      </c>
      <c r="C275" s="312" t="s">
        <v>304</v>
      </c>
      <c r="D275" s="88" t="s">
        <v>307</v>
      </c>
      <c r="E275" s="255">
        <v>6</v>
      </c>
      <c r="F275" s="88" t="s">
        <v>310</v>
      </c>
      <c r="G275" s="88" t="s">
        <v>81</v>
      </c>
      <c r="H275" s="88" t="s">
        <v>311</v>
      </c>
      <c r="I275" s="504">
        <v>6.23</v>
      </c>
      <c r="J275" s="347">
        <f t="shared" si="22"/>
        <v>310</v>
      </c>
      <c r="K275" s="260">
        <v>255</v>
      </c>
      <c r="L275" s="260"/>
      <c r="M275" s="260">
        <v>55</v>
      </c>
      <c r="N275" s="260"/>
      <c r="O275" s="260"/>
      <c r="P275" s="260"/>
      <c r="Q275" s="259" t="e">
        <f>IF(K275="nio",0,IF(K275&gt;0,K275*I275/W275,0))*VLOOKUP(B275,'2-Kosten per locatie'!$A$14:$C$28,3,FALSE)</f>
        <v>#DIV/0!</v>
      </c>
      <c r="R275" s="259">
        <f>IF(L275&gt;0,L275*I275/X275,0)*VLOOKUP(B275,'2-Kosten per locatie'!$A$14:$C$28,3,FALSE)</f>
        <v>0</v>
      </c>
      <c r="S275" s="259" t="e">
        <f>IF(M275&gt;0,M275*I275/Y275,0)*VLOOKUP(B275,'2-Kosten per locatie'!$A$14:$C$28,3,FALSE)</f>
        <v>#DIV/0!</v>
      </c>
      <c r="T275" s="259">
        <f>IF(N275&gt;0,N275*I275/Z275,0)*VLOOKUP(B275,'2-Kosten per locatie'!$A$14:$C$28,3,FALSE)</f>
        <v>0</v>
      </c>
      <c r="U275" s="259">
        <f>IF(O275&gt;0,O275*I275/Y275,0)*VLOOKUP(B275,'2-Kosten per locatie'!$A$14:$C$28,3,FALSE)</f>
        <v>0</v>
      </c>
      <c r="V275" s="259">
        <f>IF(P275&gt;0,P275*I275/Z275,0)*VLOOKUP(B275,'2-Kosten per locatie'!$A$14:$C$28,3,FALSE)</f>
        <v>0</v>
      </c>
      <c r="W275" s="348">
        <f>IF(K275="nio",0,IF(K275&gt;0,VLOOKUP(G275,'3-Productie normen'!A:N,VLOOKUP(K275,'3-Productie normen'!$B$27:$C$38,2,FALSE),FALSE)))</f>
        <v>0</v>
      </c>
      <c r="X275" s="348">
        <f t="shared" si="23"/>
        <v>0</v>
      </c>
      <c r="Y275" s="348">
        <f t="shared" si="24"/>
        <v>0</v>
      </c>
      <c r="Z275" s="348">
        <f t="shared" si="25"/>
        <v>0</v>
      </c>
      <c r="AA275" s="349">
        <f>VLOOKUP(G275,'3-Productie normen'!A:Q,15,FALSE)</f>
        <v>235.06999999999988</v>
      </c>
      <c r="AB275" s="350">
        <f>VLOOKUP(G275,'3-Productie normen'!A:Q,16,FALSE)</f>
        <v>0</v>
      </c>
      <c r="AC275" s="349"/>
      <c r="AE275" s="351">
        <f t="shared" si="21"/>
        <v>1931.3000000000002</v>
      </c>
    </row>
    <row r="276" spans="1:31" ht="14.1" customHeight="1">
      <c r="A276" s="76">
        <v>276</v>
      </c>
      <c r="B276" s="496" t="s">
        <v>303</v>
      </c>
      <c r="C276" s="312" t="s">
        <v>304</v>
      </c>
      <c r="D276" s="88" t="s">
        <v>307</v>
      </c>
      <c r="E276" s="255">
        <v>7</v>
      </c>
      <c r="F276" s="88" t="s">
        <v>310</v>
      </c>
      <c r="G276" s="88" t="s">
        <v>81</v>
      </c>
      <c r="H276" s="88" t="s">
        <v>311</v>
      </c>
      <c r="I276" s="504">
        <v>6.23</v>
      </c>
      <c r="J276" s="347">
        <f t="shared" si="22"/>
        <v>310</v>
      </c>
      <c r="K276" s="260">
        <v>255</v>
      </c>
      <c r="L276" s="260"/>
      <c r="M276" s="260">
        <v>55</v>
      </c>
      <c r="N276" s="260"/>
      <c r="O276" s="260"/>
      <c r="P276" s="260"/>
      <c r="Q276" s="259" t="e">
        <f>IF(K276="nio",0,IF(K276&gt;0,K276*I276/W276,0))*VLOOKUP(B276,'2-Kosten per locatie'!$A$14:$C$28,3,FALSE)</f>
        <v>#DIV/0!</v>
      </c>
      <c r="R276" s="259">
        <f>IF(L276&gt;0,L276*I276/X276,0)*VLOOKUP(B276,'2-Kosten per locatie'!$A$14:$C$28,3,FALSE)</f>
        <v>0</v>
      </c>
      <c r="S276" s="259" t="e">
        <f>IF(M276&gt;0,M276*I276/Y276,0)*VLOOKUP(B276,'2-Kosten per locatie'!$A$14:$C$28,3,FALSE)</f>
        <v>#DIV/0!</v>
      </c>
      <c r="T276" s="259">
        <f>IF(N276&gt;0,N276*I276/Z276,0)*VLOOKUP(B276,'2-Kosten per locatie'!$A$14:$C$28,3,FALSE)</f>
        <v>0</v>
      </c>
      <c r="U276" s="259">
        <f>IF(O276&gt;0,O276*I276/Y276,0)*VLOOKUP(B276,'2-Kosten per locatie'!$A$14:$C$28,3,FALSE)</f>
        <v>0</v>
      </c>
      <c r="V276" s="259">
        <f>IF(P276&gt;0,P276*I276/Z276,0)*VLOOKUP(B276,'2-Kosten per locatie'!$A$14:$C$28,3,FALSE)</f>
        <v>0</v>
      </c>
      <c r="W276" s="348">
        <f>IF(K276="nio",0,IF(K276&gt;0,VLOOKUP(G276,'3-Productie normen'!A:N,VLOOKUP(K276,'3-Productie normen'!$B$27:$C$38,2,FALSE),FALSE)))</f>
        <v>0</v>
      </c>
      <c r="X276" s="348">
        <f t="shared" si="23"/>
        <v>0</v>
      </c>
      <c r="Y276" s="348">
        <f t="shared" si="24"/>
        <v>0</v>
      </c>
      <c r="Z276" s="348">
        <f t="shared" si="25"/>
        <v>0</v>
      </c>
      <c r="AA276" s="349">
        <f>VLOOKUP(G276,'3-Productie normen'!A:Q,15,FALSE)</f>
        <v>235.06999999999988</v>
      </c>
      <c r="AB276" s="350">
        <f>VLOOKUP(G276,'3-Productie normen'!A:Q,16,FALSE)</f>
        <v>0</v>
      </c>
      <c r="AC276" s="349"/>
      <c r="AE276" s="351">
        <f t="shared" si="21"/>
        <v>1931.3000000000002</v>
      </c>
    </row>
    <row r="277" spans="1:31" ht="14.1" customHeight="1">
      <c r="A277" s="76">
        <v>277</v>
      </c>
      <c r="B277" s="496" t="s">
        <v>303</v>
      </c>
      <c r="C277" s="312" t="s">
        <v>304</v>
      </c>
      <c r="D277" s="88" t="s">
        <v>307</v>
      </c>
      <c r="E277" s="255">
        <v>8</v>
      </c>
      <c r="F277" s="88" t="s">
        <v>313</v>
      </c>
      <c r="G277" s="88" t="s">
        <v>85</v>
      </c>
      <c r="H277" s="88" t="s">
        <v>311</v>
      </c>
      <c r="I277" s="504">
        <v>25.07</v>
      </c>
      <c r="J277" s="347">
        <f t="shared" si="22"/>
        <v>310</v>
      </c>
      <c r="K277" s="260">
        <v>255</v>
      </c>
      <c r="L277" s="260"/>
      <c r="M277" s="260">
        <v>55</v>
      </c>
      <c r="N277" s="260"/>
      <c r="O277" s="260"/>
      <c r="P277" s="260"/>
      <c r="Q277" s="259" t="e">
        <f>IF(K277="nio",0,IF(K277&gt;0,K277*I277/W277,0))*VLOOKUP(B277,'2-Kosten per locatie'!$A$14:$C$28,3,FALSE)</f>
        <v>#DIV/0!</v>
      </c>
      <c r="R277" s="259">
        <f>IF(L277&gt;0,L277*I277/X277,0)*VLOOKUP(B277,'2-Kosten per locatie'!$A$14:$C$28,3,FALSE)</f>
        <v>0</v>
      </c>
      <c r="S277" s="259" t="e">
        <f>IF(M277&gt;0,M277*I277/Y277,0)*VLOOKUP(B277,'2-Kosten per locatie'!$A$14:$C$28,3,FALSE)</f>
        <v>#DIV/0!</v>
      </c>
      <c r="T277" s="259">
        <f>IF(N277&gt;0,N277*I277/Z277,0)*VLOOKUP(B277,'2-Kosten per locatie'!$A$14:$C$28,3,FALSE)</f>
        <v>0</v>
      </c>
      <c r="U277" s="259">
        <f>IF(O277&gt;0,O277*I277/Y277,0)*VLOOKUP(B277,'2-Kosten per locatie'!$A$14:$C$28,3,FALSE)</f>
        <v>0</v>
      </c>
      <c r="V277" s="259">
        <f>IF(P277&gt;0,P277*I277/Z277,0)*VLOOKUP(B277,'2-Kosten per locatie'!$A$14:$C$28,3,FALSE)</f>
        <v>0</v>
      </c>
      <c r="W277" s="348">
        <f>IF(K277="nio",0,IF(K277&gt;0,VLOOKUP(G277,'3-Productie normen'!A:N,VLOOKUP(K277,'3-Productie normen'!$B$27:$C$38,2,FALSE),FALSE)))</f>
        <v>0</v>
      </c>
      <c r="X277" s="348">
        <f t="shared" si="23"/>
        <v>0</v>
      </c>
      <c r="Y277" s="348">
        <f t="shared" si="24"/>
        <v>0</v>
      </c>
      <c r="Z277" s="348">
        <f t="shared" si="25"/>
        <v>0</v>
      </c>
      <c r="AA277" s="349">
        <f>VLOOKUP(G277,'3-Productie normen'!A:Q,15,FALSE)</f>
        <v>1367.5950000000007</v>
      </c>
      <c r="AB277" s="350">
        <f>VLOOKUP(G277,'3-Productie normen'!A:Q,16,FALSE)</f>
        <v>0</v>
      </c>
      <c r="AC277" s="349"/>
      <c r="AE277" s="351">
        <f t="shared" si="21"/>
        <v>7771.7</v>
      </c>
    </row>
    <row r="278" spans="1:31" ht="14.1" customHeight="1">
      <c r="A278" s="76">
        <v>278</v>
      </c>
      <c r="B278" s="496" t="s">
        <v>303</v>
      </c>
      <c r="C278" s="312" t="s">
        <v>304</v>
      </c>
      <c r="D278" s="88" t="s">
        <v>307</v>
      </c>
      <c r="E278" s="255">
        <v>9</v>
      </c>
      <c r="F278" s="88" t="s">
        <v>312</v>
      </c>
      <c r="G278" s="88" t="s">
        <v>83</v>
      </c>
      <c r="H278" s="88" t="s">
        <v>311</v>
      </c>
      <c r="I278" s="504">
        <v>2.0499999999999998</v>
      </c>
      <c r="J278" s="347">
        <f t="shared" si="22"/>
        <v>310</v>
      </c>
      <c r="K278" s="260">
        <v>255</v>
      </c>
      <c r="L278" s="260"/>
      <c r="M278" s="260">
        <v>55</v>
      </c>
      <c r="N278" s="260"/>
      <c r="O278" s="260"/>
      <c r="P278" s="260"/>
      <c r="Q278" s="259" t="e">
        <f>IF(K278="nio",0,IF(K278&gt;0,K278*I278/W278,0))*VLOOKUP(B278,'2-Kosten per locatie'!$A$14:$C$28,3,FALSE)</f>
        <v>#DIV/0!</v>
      </c>
      <c r="R278" s="259">
        <f>IF(L278&gt;0,L278*I278/X278,0)*VLOOKUP(B278,'2-Kosten per locatie'!$A$14:$C$28,3,FALSE)</f>
        <v>0</v>
      </c>
      <c r="S278" s="259" t="e">
        <f>IF(M278&gt;0,M278*I278/Y278,0)*VLOOKUP(B278,'2-Kosten per locatie'!$A$14:$C$28,3,FALSE)</f>
        <v>#DIV/0!</v>
      </c>
      <c r="T278" s="259">
        <f>IF(N278&gt;0,N278*I278/Z278,0)*VLOOKUP(B278,'2-Kosten per locatie'!$A$14:$C$28,3,FALSE)</f>
        <v>0</v>
      </c>
      <c r="U278" s="259">
        <f>IF(O278&gt;0,O278*I278/Y278,0)*VLOOKUP(B278,'2-Kosten per locatie'!$A$14:$C$28,3,FALSE)</f>
        <v>0</v>
      </c>
      <c r="V278" s="259">
        <f>IF(P278&gt;0,P278*I278/Z278,0)*VLOOKUP(B278,'2-Kosten per locatie'!$A$14:$C$28,3,FALSE)</f>
        <v>0</v>
      </c>
      <c r="W278" s="348">
        <f>IF(K278="nio",0,IF(K278&gt;0,VLOOKUP(G278,'3-Productie normen'!A:N,VLOOKUP(K278,'3-Productie normen'!$B$27:$C$38,2,FALSE),FALSE)))</f>
        <v>0</v>
      </c>
      <c r="X278" s="348">
        <f t="shared" si="23"/>
        <v>0</v>
      </c>
      <c r="Y278" s="348">
        <f t="shared" si="24"/>
        <v>0</v>
      </c>
      <c r="Z278" s="348">
        <f t="shared" si="25"/>
        <v>0</v>
      </c>
      <c r="AA278" s="349">
        <f>VLOOKUP(G278,'3-Productie normen'!A:Q,15,FALSE)</f>
        <v>773.68459999999982</v>
      </c>
      <c r="AB278" s="350">
        <f>VLOOKUP(G278,'3-Productie normen'!A:Q,16,FALSE)</f>
        <v>0</v>
      </c>
      <c r="AC278" s="349"/>
      <c r="AE278" s="351">
        <f t="shared" si="21"/>
        <v>635.5</v>
      </c>
    </row>
    <row r="279" spans="1:31" ht="14.1" customHeight="1">
      <c r="A279" s="76">
        <v>279</v>
      </c>
      <c r="B279" s="496" t="s">
        <v>303</v>
      </c>
      <c r="C279" s="312" t="s">
        <v>304</v>
      </c>
      <c r="D279" s="88" t="s">
        <v>307</v>
      </c>
      <c r="E279" s="255">
        <v>10</v>
      </c>
      <c r="F279" s="88" t="s">
        <v>380</v>
      </c>
      <c r="G279" s="88" t="s">
        <v>87</v>
      </c>
      <c r="H279" s="88" t="s">
        <v>311</v>
      </c>
      <c r="I279" s="504">
        <v>4.04</v>
      </c>
      <c r="J279" s="347">
        <f t="shared" si="22"/>
        <v>52</v>
      </c>
      <c r="K279" s="260">
        <v>52</v>
      </c>
      <c r="L279" s="260"/>
      <c r="M279" s="260"/>
      <c r="N279" s="260"/>
      <c r="O279" s="260"/>
      <c r="P279" s="260"/>
      <c r="Q279" s="259" t="e">
        <f>IF(K279="nio",0,IF(K279&gt;0,K279*I279/W279,0))*VLOOKUP(B279,'2-Kosten per locatie'!$A$14:$C$28,3,FALSE)</f>
        <v>#DIV/0!</v>
      </c>
      <c r="R279" s="259">
        <f>IF(L279&gt;0,L279*I279/X279,0)*VLOOKUP(B279,'2-Kosten per locatie'!$A$14:$C$28,3,FALSE)</f>
        <v>0</v>
      </c>
      <c r="S279" s="259">
        <f>IF(M279&gt;0,M279*I279/Y279,0)*VLOOKUP(B279,'2-Kosten per locatie'!$A$14:$C$28,3,FALSE)</f>
        <v>0</v>
      </c>
      <c r="T279" s="259">
        <f>IF(N279&gt;0,N279*I279/Z279,0)*VLOOKUP(B279,'2-Kosten per locatie'!$A$14:$C$28,3,FALSE)</f>
        <v>0</v>
      </c>
      <c r="U279" s="259">
        <f>IF(O279&gt;0,O279*I279/Y279,0)*VLOOKUP(B279,'2-Kosten per locatie'!$A$14:$C$28,3,FALSE)</f>
        <v>0</v>
      </c>
      <c r="V279" s="259">
        <f>IF(P279&gt;0,P279*I279/Z279,0)*VLOOKUP(B279,'2-Kosten per locatie'!$A$14:$C$28,3,FALSE)</f>
        <v>0</v>
      </c>
      <c r="W279" s="348">
        <f>IF(K279="nio",0,IF(K279&gt;0,VLOOKUP(G279,'3-Productie normen'!A:N,VLOOKUP(K279,'3-Productie normen'!$B$27:$C$38,2,FALSE),FALSE)))</f>
        <v>0</v>
      </c>
      <c r="X279" s="348">
        <f t="shared" si="23"/>
        <v>0</v>
      </c>
      <c r="Y279" s="348">
        <f t="shared" si="24"/>
        <v>0</v>
      </c>
      <c r="Z279" s="348">
        <f t="shared" si="25"/>
        <v>0</v>
      </c>
      <c r="AA279" s="349">
        <f>VLOOKUP(G279,'3-Productie normen'!A:Q,15,FALSE)</f>
        <v>661.27599999999984</v>
      </c>
      <c r="AB279" s="350">
        <f>VLOOKUP(G279,'3-Productie normen'!A:Q,16,FALSE)</f>
        <v>0</v>
      </c>
      <c r="AC279" s="349"/>
      <c r="AE279" s="351">
        <f t="shared" si="21"/>
        <v>210.08</v>
      </c>
    </row>
    <row r="280" spans="1:31" ht="14.1" customHeight="1">
      <c r="A280" s="76">
        <v>280</v>
      </c>
      <c r="B280" s="496" t="s">
        <v>303</v>
      </c>
      <c r="C280" s="312" t="s">
        <v>304</v>
      </c>
      <c r="D280" s="88" t="s">
        <v>307</v>
      </c>
      <c r="E280" s="255">
        <v>11</v>
      </c>
      <c r="F280" s="88" t="s">
        <v>426</v>
      </c>
      <c r="G280" s="88" t="s">
        <v>81</v>
      </c>
      <c r="H280" s="88" t="s">
        <v>311</v>
      </c>
      <c r="I280" s="504">
        <v>2.2400000000000002</v>
      </c>
      <c r="J280" s="347">
        <f t="shared" si="22"/>
        <v>310</v>
      </c>
      <c r="K280" s="260">
        <v>255</v>
      </c>
      <c r="L280" s="260"/>
      <c r="M280" s="260">
        <v>55</v>
      </c>
      <c r="N280" s="260"/>
      <c r="O280" s="260"/>
      <c r="P280" s="260"/>
      <c r="Q280" s="259" t="e">
        <f>IF(K280="nio",0,IF(K280&gt;0,K280*I280/W280,0))*VLOOKUP(B280,'2-Kosten per locatie'!$A$14:$C$28,3,FALSE)</f>
        <v>#DIV/0!</v>
      </c>
      <c r="R280" s="259">
        <f>IF(L280&gt;0,L280*I280/X280,0)*VLOOKUP(B280,'2-Kosten per locatie'!$A$14:$C$28,3,FALSE)</f>
        <v>0</v>
      </c>
      <c r="S280" s="259" t="e">
        <f>IF(M280&gt;0,M280*I280/Y280,0)*VLOOKUP(B280,'2-Kosten per locatie'!$A$14:$C$28,3,FALSE)</f>
        <v>#DIV/0!</v>
      </c>
      <c r="T280" s="259">
        <f>IF(N280&gt;0,N280*I280/Z280,0)*VLOOKUP(B280,'2-Kosten per locatie'!$A$14:$C$28,3,FALSE)</f>
        <v>0</v>
      </c>
      <c r="U280" s="259">
        <f>IF(O280&gt;0,O280*I280/Y280,0)*VLOOKUP(B280,'2-Kosten per locatie'!$A$14:$C$28,3,FALSE)</f>
        <v>0</v>
      </c>
      <c r="V280" s="259">
        <f>IF(P280&gt;0,P280*I280/Z280,0)*VLOOKUP(B280,'2-Kosten per locatie'!$A$14:$C$28,3,FALSE)</f>
        <v>0</v>
      </c>
      <c r="W280" s="348">
        <f>IF(K280="nio",0,IF(K280&gt;0,VLOOKUP(G280,'3-Productie normen'!A:N,VLOOKUP(K280,'3-Productie normen'!$B$27:$C$38,2,FALSE),FALSE)))</f>
        <v>0</v>
      </c>
      <c r="X280" s="348">
        <f t="shared" si="23"/>
        <v>0</v>
      </c>
      <c r="Y280" s="348">
        <f t="shared" si="24"/>
        <v>0</v>
      </c>
      <c r="Z280" s="348">
        <f t="shared" si="25"/>
        <v>0</v>
      </c>
      <c r="AA280" s="349">
        <f>VLOOKUP(G280,'3-Productie normen'!A:Q,15,FALSE)</f>
        <v>235.06999999999988</v>
      </c>
      <c r="AB280" s="350">
        <f>VLOOKUP(G280,'3-Productie normen'!A:Q,16,FALSE)</f>
        <v>0</v>
      </c>
      <c r="AC280" s="349"/>
      <c r="AE280" s="351">
        <f t="shared" si="21"/>
        <v>694.40000000000009</v>
      </c>
    </row>
    <row r="281" spans="1:31" ht="14.1" customHeight="1">
      <c r="A281" s="76">
        <v>281</v>
      </c>
      <c r="B281" s="496" t="s">
        <v>303</v>
      </c>
      <c r="C281" s="312" t="s">
        <v>304</v>
      </c>
      <c r="D281" s="88" t="s">
        <v>307</v>
      </c>
      <c r="E281" s="255">
        <v>12</v>
      </c>
      <c r="F281" s="88" t="s">
        <v>322</v>
      </c>
      <c r="G281" s="88" t="s">
        <v>341</v>
      </c>
      <c r="H281" s="88" t="s">
        <v>311</v>
      </c>
      <c r="I281" s="504">
        <v>6.5</v>
      </c>
      <c r="J281" s="347">
        <f t="shared" si="22"/>
        <v>310</v>
      </c>
      <c r="K281" s="260">
        <v>255</v>
      </c>
      <c r="L281" s="260"/>
      <c r="M281" s="260">
        <v>55</v>
      </c>
      <c r="N281" s="260"/>
      <c r="O281" s="260"/>
      <c r="P281" s="260"/>
      <c r="Q281" s="259" t="e">
        <f>IF(K281="nio",0,IF(K281&gt;0,K281*I281/W281,0))*VLOOKUP(B281,'2-Kosten per locatie'!$A$14:$C$28,3,FALSE)</f>
        <v>#DIV/0!</v>
      </c>
      <c r="R281" s="259">
        <f>IF(L281&gt;0,L281*I281/X281,0)*VLOOKUP(B281,'2-Kosten per locatie'!$A$14:$C$28,3,FALSE)</f>
        <v>0</v>
      </c>
      <c r="S281" s="259" t="e">
        <f>IF(M281&gt;0,M281*I281/Y281,0)*VLOOKUP(B281,'2-Kosten per locatie'!$A$14:$C$28,3,FALSE)</f>
        <v>#DIV/0!</v>
      </c>
      <c r="T281" s="259">
        <f>IF(N281&gt;0,N281*I281/Z281,0)*VLOOKUP(B281,'2-Kosten per locatie'!$A$14:$C$28,3,FALSE)</f>
        <v>0</v>
      </c>
      <c r="U281" s="259">
        <f>IF(O281&gt;0,O281*I281/Y281,0)*VLOOKUP(B281,'2-Kosten per locatie'!$A$14:$C$28,3,FALSE)</f>
        <v>0</v>
      </c>
      <c r="V281" s="259">
        <f>IF(P281&gt;0,P281*I281/Z281,0)*VLOOKUP(B281,'2-Kosten per locatie'!$A$14:$C$28,3,FALSE)</f>
        <v>0</v>
      </c>
      <c r="W281" s="348">
        <f>IF(K281="nio",0,IF(K281&gt;0,VLOOKUP(G281,'3-Productie normen'!A:N,VLOOKUP(K281,'3-Productie normen'!$B$27:$C$38,2,FALSE),FALSE)))</f>
        <v>0</v>
      </c>
      <c r="X281" s="348">
        <f t="shared" si="23"/>
        <v>0</v>
      </c>
      <c r="Y281" s="348">
        <f t="shared" si="24"/>
        <v>0</v>
      </c>
      <c r="Z281" s="348">
        <f t="shared" si="25"/>
        <v>0</v>
      </c>
      <c r="AA281" s="349">
        <f>VLOOKUP(G281,'3-Productie normen'!A:Q,15,FALSE)</f>
        <v>452.79000000000019</v>
      </c>
      <c r="AB281" s="350">
        <f>VLOOKUP(G281,'3-Productie normen'!A:Q,16,FALSE)</f>
        <v>0</v>
      </c>
      <c r="AC281" s="349"/>
      <c r="AE281" s="351">
        <f t="shared" si="21"/>
        <v>2015</v>
      </c>
    </row>
    <row r="282" spans="1:31" ht="14.1" customHeight="1">
      <c r="A282" s="76">
        <v>282</v>
      </c>
      <c r="B282" s="496" t="s">
        <v>303</v>
      </c>
      <c r="C282" s="312" t="s">
        <v>304</v>
      </c>
      <c r="D282" s="88" t="s">
        <v>307</v>
      </c>
      <c r="E282" s="255">
        <v>13</v>
      </c>
      <c r="F282" s="88" t="s">
        <v>310</v>
      </c>
      <c r="G282" s="88" t="s">
        <v>81</v>
      </c>
      <c r="H282" s="88" t="s">
        <v>311</v>
      </c>
      <c r="I282" s="504">
        <v>0.91</v>
      </c>
      <c r="J282" s="347">
        <f t="shared" si="22"/>
        <v>310</v>
      </c>
      <c r="K282" s="260">
        <v>255</v>
      </c>
      <c r="L282" s="260"/>
      <c r="M282" s="260">
        <v>55</v>
      </c>
      <c r="N282" s="260"/>
      <c r="O282" s="260"/>
      <c r="P282" s="260"/>
      <c r="Q282" s="259" t="e">
        <f>IF(K282="nio",0,IF(K282&gt;0,K282*I282/W282,0))*VLOOKUP(B282,'2-Kosten per locatie'!$A$14:$C$28,3,FALSE)</f>
        <v>#DIV/0!</v>
      </c>
      <c r="R282" s="259">
        <f>IF(L282&gt;0,L282*I282/X282,0)*VLOOKUP(B282,'2-Kosten per locatie'!$A$14:$C$28,3,FALSE)</f>
        <v>0</v>
      </c>
      <c r="S282" s="259" t="e">
        <f>IF(M282&gt;0,M282*I282/Y282,0)*VLOOKUP(B282,'2-Kosten per locatie'!$A$14:$C$28,3,FALSE)</f>
        <v>#DIV/0!</v>
      </c>
      <c r="T282" s="259">
        <f>IF(N282&gt;0,N282*I282/Z282,0)*VLOOKUP(B282,'2-Kosten per locatie'!$A$14:$C$28,3,FALSE)</f>
        <v>0</v>
      </c>
      <c r="U282" s="259">
        <f>IF(O282&gt;0,O282*I282/Y282,0)*VLOOKUP(B282,'2-Kosten per locatie'!$A$14:$C$28,3,FALSE)</f>
        <v>0</v>
      </c>
      <c r="V282" s="259">
        <f>IF(P282&gt;0,P282*I282/Z282,0)*VLOOKUP(B282,'2-Kosten per locatie'!$A$14:$C$28,3,FALSE)</f>
        <v>0</v>
      </c>
      <c r="W282" s="348">
        <f>IF(K282="nio",0,IF(K282&gt;0,VLOOKUP(G282,'3-Productie normen'!A:N,VLOOKUP(K282,'3-Productie normen'!$B$27:$C$38,2,FALSE),FALSE)))</f>
        <v>0</v>
      </c>
      <c r="X282" s="348">
        <f t="shared" si="23"/>
        <v>0</v>
      </c>
      <c r="Y282" s="348">
        <f t="shared" si="24"/>
        <v>0</v>
      </c>
      <c r="Z282" s="348">
        <f t="shared" si="25"/>
        <v>0</v>
      </c>
      <c r="AA282" s="349">
        <f>VLOOKUP(G282,'3-Productie normen'!A:Q,15,FALSE)</f>
        <v>235.06999999999988</v>
      </c>
      <c r="AB282" s="350">
        <f>VLOOKUP(G282,'3-Productie normen'!A:Q,16,FALSE)</f>
        <v>0</v>
      </c>
      <c r="AC282" s="349"/>
      <c r="AE282" s="351">
        <f t="shared" si="21"/>
        <v>282.10000000000002</v>
      </c>
    </row>
    <row r="283" spans="1:31" ht="14.1" customHeight="1">
      <c r="A283" s="76">
        <v>283</v>
      </c>
      <c r="B283" s="496" t="s">
        <v>303</v>
      </c>
      <c r="C283" s="312" t="s">
        <v>304</v>
      </c>
      <c r="D283" s="88" t="s">
        <v>307</v>
      </c>
      <c r="E283" s="255">
        <v>14</v>
      </c>
      <c r="F283" s="88" t="s">
        <v>312</v>
      </c>
      <c r="G283" s="88" t="s">
        <v>83</v>
      </c>
      <c r="H283" s="88" t="s">
        <v>311</v>
      </c>
      <c r="I283" s="504">
        <v>15.43</v>
      </c>
      <c r="J283" s="347">
        <f t="shared" si="22"/>
        <v>310</v>
      </c>
      <c r="K283" s="260">
        <v>255</v>
      </c>
      <c r="L283" s="260"/>
      <c r="M283" s="260">
        <v>55</v>
      </c>
      <c r="N283" s="260"/>
      <c r="O283" s="260"/>
      <c r="P283" s="260"/>
      <c r="Q283" s="259" t="e">
        <f>IF(K283="nio",0,IF(K283&gt;0,K283*I283/W283,0))*VLOOKUP(B283,'2-Kosten per locatie'!$A$14:$C$28,3,FALSE)</f>
        <v>#DIV/0!</v>
      </c>
      <c r="R283" s="259">
        <f>IF(L283&gt;0,L283*I283/X283,0)*VLOOKUP(B283,'2-Kosten per locatie'!$A$14:$C$28,3,FALSE)</f>
        <v>0</v>
      </c>
      <c r="S283" s="259" t="e">
        <f>IF(M283&gt;0,M283*I283/Y283,0)*VLOOKUP(B283,'2-Kosten per locatie'!$A$14:$C$28,3,FALSE)</f>
        <v>#DIV/0!</v>
      </c>
      <c r="T283" s="259">
        <f>IF(N283&gt;0,N283*I283/Z283,0)*VLOOKUP(B283,'2-Kosten per locatie'!$A$14:$C$28,3,FALSE)</f>
        <v>0</v>
      </c>
      <c r="U283" s="259">
        <f>IF(O283&gt;0,O283*I283/Y283,0)*VLOOKUP(B283,'2-Kosten per locatie'!$A$14:$C$28,3,FALSE)</f>
        <v>0</v>
      </c>
      <c r="V283" s="259">
        <f>IF(P283&gt;0,P283*I283/Z283,0)*VLOOKUP(B283,'2-Kosten per locatie'!$A$14:$C$28,3,FALSE)</f>
        <v>0</v>
      </c>
      <c r="W283" s="348">
        <f>IF(K283="nio",0,IF(K283&gt;0,VLOOKUP(G283,'3-Productie normen'!A:N,VLOOKUP(K283,'3-Productie normen'!$B$27:$C$38,2,FALSE),FALSE)))</f>
        <v>0</v>
      </c>
      <c r="X283" s="348">
        <f t="shared" si="23"/>
        <v>0</v>
      </c>
      <c r="Y283" s="348">
        <f t="shared" si="24"/>
        <v>0</v>
      </c>
      <c r="Z283" s="348">
        <f t="shared" si="25"/>
        <v>0</v>
      </c>
      <c r="AA283" s="349">
        <f>VLOOKUP(G283,'3-Productie normen'!A:Q,15,FALSE)</f>
        <v>773.68459999999982</v>
      </c>
      <c r="AB283" s="350">
        <f>VLOOKUP(G283,'3-Productie normen'!A:Q,16,FALSE)</f>
        <v>0</v>
      </c>
      <c r="AC283" s="349"/>
      <c r="AE283" s="351">
        <f t="shared" si="21"/>
        <v>4783.3</v>
      </c>
    </row>
    <row r="284" spans="1:31" ht="14.1" customHeight="1">
      <c r="A284" s="76">
        <v>284</v>
      </c>
      <c r="B284" s="496" t="s">
        <v>305</v>
      </c>
      <c r="C284" s="312" t="s">
        <v>306</v>
      </c>
      <c r="D284" s="88" t="s">
        <v>307</v>
      </c>
      <c r="E284" s="255">
        <v>1</v>
      </c>
      <c r="F284" s="88" t="s">
        <v>427</v>
      </c>
      <c r="G284" s="88" t="s">
        <v>461</v>
      </c>
      <c r="H284" s="88" t="s">
        <v>428</v>
      </c>
      <c r="I284" s="504">
        <v>120.9</v>
      </c>
      <c r="J284" s="347">
        <f t="shared" si="22"/>
        <v>0</v>
      </c>
      <c r="K284" s="260" t="s">
        <v>460</v>
      </c>
      <c r="L284" s="260"/>
      <c r="M284" s="260"/>
      <c r="N284" s="260"/>
      <c r="O284" s="260"/>
      <c r="P284" s="260"/>
      <c r="Q284" s="259">
        <f>IF(K284="nio",0,IF(K284&gt;0,K284*I284/W284,0))*VLOOKUP(B284,'2-Kosten per locatie'!$A$14:$C$28,3,FALSE)</f>
        <v>0</v>
      </c>
      <c r="R284" s="259">
        <f>IF(L284&gt;0,L284*I284/X284,0)*VLOOKUP(B284,'2-Kosten per locatie'!$A$14:$C$28,3,FALSE)</f>
        <v>0</v>
      </c>
      <c r="S284" s="259">
        <f>IF(M284&gt;0,M284*I284/Y284,0)*VLOOKUP(B284,'2-Kosten per locatie'!$A$14:$C$28,3,FALSE)</f>
        <v>0</v>
      </c>
      <c r="T284" s="259">
        <f>IF(N284&gt;0,N284*I284/Z284,0)*VLOOKUP(B284,'2-Kosten per locatie'!$A$14:$C$28,3,FALSE)</f>
        <v>0</v>
      </c>
      <c r="U284" s="259">
        <f>IF(O284&gt;0,O284*I284/Y284,0)*VLOOKUP(B284,'2-Kosten per locatie'!$A$14:$C$28,3,FALSE)</f>
        <v>0</v>
      </c>
      <c r="V284" s="259">
        <f>IF(P284&gt;0,P284*I284/Z284,0)*VLOOKUP(B284,'2-Kosten per locatie'!$A$14:$C$28,3,FALSE)</f>
        <v>0</v>
      </c>
      <c r="W284" s="348">
        <f>IF(K284="nio",0,IF(K284&gt;0,VLOOKUP(G284,'3-Productie normen'!A:N,VLOOKUP(K284,'3-Productie normen'!$B$27:$C$38,2,FALSE),FALSE)))</f>
        <v>0</v>
      </c>
      <c r="X284" s="348">
        <f t="shared" si="23"/>
        <v>0</v>
      </c>
      <c r="Y284" s="348">
        <f t="shared" si="24"/>
        <v>0</v>
      </c>
      <c r="Z284" s="348">
        <f t="shared" si="25"/>
        <v>0</v>
      </c>
      <c r="AA284" s="349" t="e">
        <f>VLOOKUP(G284,'3-Productie normen'!A:Q,15,FALSE)</f>
        <v>#N/A</v>
      </c>
      <c r="AB284" s="350" t="e">
        <f>VLOOKUP(G284,'3-Productie normen'!A:Q,16,FALSE)</f>
        <v>#N/A</v>
      </c>
      <c r="AC284" s="349"/>
      <c r="AE284" s="351">
        <f t="shared" si="21"/>
        <v>0</v>
      </c>
    </row>
    <row r="285" spans="1:31" ht="14.1" customHeight="1">
      <c r="A285" s="76">
        <v>285</v>
      </c>
      <c r="B285" s="496" t="s">
        <v>305</v>
      </c>
      <c r="C285" s="312" t="s">
        <v>306</v>
      </c>
      <c r="D285" s="88" t="s">
        <v>307</v>
      </c>
      <c r="E285" s="255">
        <v>2</v>
      </c>
      <c r="F285" s="88" t="s">
        <v>312</v>
      </c>
      <c r="G285" s="88" t="s">
        <v>83</v>
      </c>
      <c r="H285" s="88" t="s">
        <v>311</v>
      </c>
      <c r="I285" s="504">
        <v>7.33</v>
      </c>
      <c r="J285" s="347">
        <f t="shared" si="22"/>
        <v>130</v>
      </c>
      <c r="K285" s="260">
        <v>130</v>
      </c>
      <c r="L285" s="260"/>
      <c r="M285" s="260"/>
      <c r="N285" s="260"/>
      <c r="O285" s="260"/>
      <c r="P285" s="260"/>
      <c r="Q285" s="259" t="e">
        <f>IF(K285="nio",0,IF(K285&gt;0,K285*I285/W285,0))*VLOOKUP(B285,'2-Kosten per locatie'!$A$14:$C$28,3,FALSE)</f>
        <v>#DIV/0!</v>
      </c>
      <c r="R285" s="259">
        <f>IF(L285&gt;0,L285*I285/X285,0)*VLOOKUP(B285,'2-Kosten per locatie'!$A$14:$C$28,3,FALSE)</f>
        <v>0</v>
      </c>
      <c r="S285" s="259">
        <f>IF(M285&gt;0,M285*I285/Y285,0)*VLOOKUP(B285,'2-Kosten per locatie'!$A$14:$C$28,3,FALSE)</f>
        <v>0</v>
      </c>
      <c r="T285" s="259">
        <f>IF(N285&gt;0,N285*I285/Z285,0)*VLOOKUP(B285,'2-Kosten per locatie'!$A$14:$C$28,3,FALSE)</f>
        <v>0</v>
      </c>
      <c r="U285" s="259">
        <f>IF(O285&gt;0,O285*I285/Y285,0)*VLOOKUP(B285,'2-Kosten per locatie'!$A$14:$C$28,3,FALSE)</f>
        <v>0</v>
      </c>
      <c r="V285" s="259">
        <f>IF(P285&gt;0,P285*I285/Z285,0)*VLOOKUP(B285,'2-Kosten per locatie'!$A$14:$C$28,3,FALSE)</f>
        <v>0</v>
      </c>
      <c r="W285" s="348">
        <f>IF(K285="nio",0,IF(K285&gt;0,VLOOKUP(G285,'3-Productie normen'!A:N,VLOOKUP(K285,'3-Productie normen'!$B$27:$C$38,2,FALSE),FALSE)))</f>
        <v>0</v>
      </c>
      <c r="X285" s="348">
        <f t="shared" si="23"/>
        <v>0</v>
      </c>
      <c r="Y285" s="348">
        <f t="shared" si="24"/>
        <v>0</v>
      </c>
      <c r="Z285" s="348">
        <f t="shared" si="25"/>
        <v>0</v>
      </c>
      <c r="AA285" s="349">
        <f>VLOOKUP(G285,'3-Productie normen'!A:Q,15,FALSE)</f>
        <v>773.68459999999982</v>
      </c>
      <c r="AB285" s="350">
        <f>VLOOKUP(G285,'3-Productie normen'!A:Q,16,FALSE)</f>
        <v>0</v>
      </c>
      <c r="AC285" s="349"/>
      <c r="AE285" s="351">
        <f t="shared" si="21"/>
        <v>952.9</v>
      </c>
    </row>
    <row r="286" spans="1:31" ht="14.1" customHeight="1">
      <c r="A286" s="76">
        <v>286</v>
      </c>
      <c r="B286" s="496" t="s">
        <v>305</v>
      </c>
      <c r="C286" s="312" t="s">
        <v>306</v>
      </c>
      <c r="D286" s="88" t="s">
        <v>307</v>
      </c>
      <c r="E286" s="255">
        <v>3</v>
      </c>
      <c r="F286" s="88" t="s">
        <v>429</v>
      </c>
      <c r="G286" s="88" t="s">
        <v>85</v>
      </c>
      <c r="H286" s="88" t="s">
        <v>311</v>
      </c>
      <c r="I286" s="504">
        <v>14.64</v>
      </c>
      <c r="J286" s="347">
        <f t="shared" si="22"/>
        <v>130</v>
      </c>
      <c r="K286" s="260">
        <v>130</v>
      </c>
      <c r="L286" s="260"/>
      <c r="M286" s="260"/>
      <c r="N286" s="260"/>
      <c r="O286" s="260"/>
      <c r="P286" s="260"/>
      <c r="Q286" s="259" t="e">
        <f>IF(K286="nio",0,IF(K286&gt;0,K286*I286/W286,0))*VLOOKUP(B286,'2-Kosten per locatie'!$A$14:$C$28,3,FALSE)</f>
        <v>#DIV/0!</v>
      </c>
      <c r="R286" s="259">
        <f>IF(L286&gt;0,L286*I286/X286,0)*VLOOKUP(B286,'2-Kosten per locatie'!$A$14:$C$28,3,FALSE)</f>
        <v>0</v>
      </c>
      <c r="S286" s="259">
        <f>IF(M286&gt;0,M286*I286/Y286,0)*VLOOKUP(B286,'2-Kosten per locatie'!$A$14:$C$28,3,FALSE)</f>
        <v>0</v>
      </c>
      <c r="T286" s="259">
        <f>IF(N286&gt;0,N286*I286/Z286,0)*VLOOKUP(B286,'2-Kosten per locatie'!$A$14:$C$28,3,FALSE)</f>
        <v>0</v>
      </c>
      <c r="U286" s="259">
        <f>IF(O286&gt;0,O286*I286/Y286,0)*VLOOKUP(B286,'2-Kosten per locatie'!$A$14:$C$28,3,FALSE)</f>
        <v>0</v>
      </c>
      <c r="V286" s="259">
        <f>IF(P286&gt;0,P286*I286/Z286,0)*VLOOKUP(B286,'2-Kosten per locatie'!$A$14:$C$28,3,FALSE)</f>
        <v>0</v>
      </c>
      <c r="W286" s="348">
        <f>IF(K286="nio",0,IF(K286&gt;0,VLOOKUP(G286,'3-Productie normen'!A:N,VLOOKUP(K286,'3-Productie normen'!$B$27:$C$38,2,FALSE),FALSE)))</f>
        <v>0</v>
      </c>
      <c r="X286" s="348">
        <f t="shared" si="23"/>
        <v>0</v>
      </c>
      <c r="Y286" s="348">
        <f t="shared" si="24"/>
        <v>0</v>
      </c>
      <c r="Z286" s="348">
        <f t="shared" si="25"/>
        <v>0</v>
      </c>
      <c r="AA286" s="349">
        <f>VLOOKUP(G286,'3-Productie normen'!A:Q,15,FALSE)</f>
        <v>1367.5950000000007</v>
      </c>
      <c r="AB286" s="350">
        <f>VLOOKUP(G286,'3-Productie normen'!A:Q,16,FALSE)</f>
        <v>0</v>
      </c>
      <c r="AC286" s="349"/>
      <c r="AE286" s="351">
        <f t="shared" si="21"/>
        <v>1903.2</v>
      </c>
    </row>
    <row r="287" spans="1:31" ht="14.1" customHeight="1">
      <c r="A287" s="76">
        <v>287</v>
      </c>
      <c r="B287" s="496" t="s">
        <v>305</v>
      </c>
      <c r="C287" s="312" t="s">
        <v>306</v>
      </c>
      <c r="D287" s="88" t="s">
        <v>307</v>
      </c>
      <c r="E287" s="255">
        <v>4</v>
      </c>
      <c r="F287" s="88" t="s">
        <v>310</v>
      </c>
      <c r="G287" s="88" t="s">
        <v>81</v>
      </c>
      <c r="H287" s="88" t="s">
        <v>311</v>
      </c>
      <c r="I287" s="504">
        <v>0.81</v>
      </c>
      <c r="J287" s="347">
        <f t="shared" si="22"/>
        <v>130</v>
      </c>
      <c r="K287" s="260">
        <v>130</v>
      </c>
      <c r="L287" s="260"/>
      <c r="M287" s="260"/>
      <c r="N287" s="260"/>
      <c r="O287" s="260"/>
      <c r="P287" s="260"/>
      <c r="Q287" s="259" t="e">
        <f>IF(K287="nio",0,IF(K287&gt;0,K287*I287/W287,0))*VLOOKUP(B287,'2-Kosten per locatie'!$A$14:$C$28,3,FALSE)</f>
        <v>#DIV/0!</v>
      </c>
      <c r="R287" s="259">
        <f>IF(L287&gt;0,L287*I287/X287,0)*VLOOKUP(B287,'2-Kosten per locatie'!$A$14:$C$28,3,FALSE)</f>
        <v>0</v>
      </c>
      <c r="S287" s="259">
        <f>IF(M287&gt;0,M287*I287/Y287,0)*VLOOKUP(B287,'2-Kosten per locatie'!$A$14:$C$28,3,FALSE)</f>
        <v>0</v>
      </c>
      <c r="T287" s="259">
        <f>IF(N287&gt;0,N287*I287/Z287,0)*VLOOKUP(B287,'2-Kosten per locatie'!$A$14:$C$28,3,FALSE)</f>
        <v>0</v>
      </c>
      <c r="U287" s="259">
        <f>IF(O287&gt;0,O287*I287/Y287,0)*VLOOKUP(B287,'2-Kosten per locatie'!$A$14:$C$28,3,FALSE)</f>
        <v>0</v>
      </c>
      <c r="V287" s="259">
        <f>IF(P287&gt;0,P287*I287/Z287,0)*VLOOKUP(B287,'2-Kosten per locatie'!$A$14:$C$28,3,FALSE)</f>
        <v>0</v>
      </c>
      <c r="W287" s="348">
        <f>IF(K287="nio",0,IF(K287&gt;0,VLOOKUP(G287,'3-Productie normen'!A:N,VLOOKUP(K287,'3-Productie normen'!$B$27:$C$38,2,FALSE),FALSE)))</f>
        <v>0</v>
      </c>
      <c r="X287" s="348">
        <f t="shared" si="23"/>
        <v>0</v>
      </c>
      <c r="Y287" s="348">
        <f t="shared" si="24"/>
        <v>0</v>
      </c>
      <c r="Z287" s="348">
        <f t="shared" si="25"/>
        <v>0</v>
      </c>
      <c r="AA287" s="349">
        <f>VLOOKUP(G287,'3-Productie normen'!A:Q,15,FALSE)</f>
        <v>235.06999999999988</v>
      </c>
      <c r="AB287" s="350">
        <f>VLOOKUP(G287,'3-Productie normen'!A:Q,16,FALSE)</f>
        <v>0</v>
      </c>
      <c r="AC287" s="349"/>
      <c r="AE287" s="351">
        <f t="shared" si="21"/>
        <v>105.30000000000001</v>
      </c>
    </row>
    <row r="288" spans="1:31" ht="14.1" customHeight="1">
      <c r="A288" s="76">
        <v>288</v>
      </c>
      <c r="B288" s="496" t="s">
        <v>305</v>
      </c>
      <c r="C288" s="312" t="s">
        <v>306</v>
      </c>
      <c r="D288" s="88" t="s">
        <v>307</v>
      </c>
      <c r="E288" s="255">
        <v>5</v>
      </c>
      <c r="F288" s="88" t="s">
        <v>430</v>
      </c>
      <c r="G288" s="88" t="s">
        <v>81</v>
      </c>
      <c r="H288" s="88" t="s">
        <v>311</v>
      </c>
      <c r="I288" s="504">
        <v>6.2</v>
      </c>
      <c r="J288" s="347">
        <f t="shared" si="22"/>
        <v>12</v>
      </c>
      <c r="K288" s="260">
        <v>12</v>
      </c>
      <c r="L288" s="260"/>
      <c r="M288" s="260"/>
      <c r="N288" s="260"/>
      <c r="O288" s="260"/>
      <c r="P288" s="260"/>
      <c r="Q288" s="259" t="e">
        <f>IF(K288="nio",0,IF(K288&gt;0,K288*I288/W288,0))*VLOOKUP(B288,'2-Kosten per locatie'!$A$14:$C$28,3,FALSE)</f>
        <v>#DIV/0!</v>
      </c>
      <c r="R288" s="259">
        <f>IF(L288&gt;0,L288*I288/X288,0)*VLOOKUP(B288,'2-Kosten per locatie'!$A$14:$C$28,3,FALSE)</f>
        <v>0</v>
      </c>
      <c r="S288" s="259">
        <f>IF(M288&gt;0,M288*I288/Y288,0)*VLOOKUP(B288,'2-Kosten per locatie'!$A$14:$C$28,3,FALSE)</f>
        <v>0</v>
      </c>
      <c r="T288" s="259">
        <f>IF(N288&gt;0,N288*I288/Z288,0)*VLOOKUP(B288,'2-Kosten per locatie'!$A$14:$C$28,3,FALSE)</f>
        <v>0</v>
      </c>
      <c r="U288" s="259">
        <f>IF(O288&gt;0,O288*I288/Y288,0)*VLOOKUP(B288,'2-Kosten per locatie'!$A$14:$C$28,3,FALSE)</f>
        <v>0</v>
      </c>
      <c r="V288" s="259">
        <f>IF(P288&gt;0,P288*I288/Z288,0)*VLOOKUP(B288,'2-Kosten per locatie'!$A$14:$C$28,3,FALSE)</f>
        <v>0</v>
      </c>
      <c r="W288" s="348">
        <f>IF(K288="nio",0,IF(K288&gt;0,VLOOKUP(G288,'3-Productie normen'!A:N,VLOOKUP(K288,'3-Productie normen'!$B$27:$C$38,2,FALSE),FALSE)))</f>
        <v>0</v>
      </c>
      <c r="X288" s="348">
        <f t="shared" si="23"/>
        <v>0</v>
      </c>
      <c r="Y288" s="348">
        <f t="shared" si="24"/>
        <v>0</v>
      </c>
      <c r="Z288" s="348">
        <f t="shared" si="25"/>
        <v>0</v>
      </c>
      <c r="AA288" s="349">
        <f>VLOOKUP(G288,'3-Productie normen'!A:Q,15,FALSE)</f>
        <v>235.06999999999988</v>
      </c>
      <c r="AB288" s="350">
        <f>VLOOKUP(G288,'3-Productie normen'!A:Q,16,FALSE)</f>
        <v>0</v>
      </c>
      <c r="AC288" s="349"/>
      <c r="AE288" s="351">
        <f t="shared" si="21"/>
        <v>74.400000000000006</v>
      </c>
    </row>
    <row r="289" spans="1:31" ht="14.1" customHeight="1">
      <c r="A289" s="76">
        <v>289</v>
      </c>
      <c r="B289" s="496" t="s">
        <v>305</v>
      </c>
      <c r="C289" s="312" t="s">
        <v>306</v>
      </c>
      <c r="D289" s="88" t="s">
        <v>307</v>
      </c>
      <c r="E289" s="255">
        <v>6</v>
      </c>
      <c r="F289" s="88" t="s">
        <v>431</v>
      </c>
      <c r="G289" s="88" t="s">
        <v>85</v>
      </c>
      <c r="H289" s="88" t="s">
        <v>311</v>
      </c>
      <c r="I289" s="504">
        <v>14.64</v>
      </c>
      <c r="J289" s="347">
        <f t="shared" si="22"/>
        <v>130</v>
      </c>
      <c r="K289" s="260">
        <v>130</v>
      </c>
      <c r="L289" s="260"/>
      <c r="M289" s="260"/>
      <c r="N289" s="260"/>
      <c r="O289" s="260"/>
      <c r="P289" s="260"/>
      <c r="Q289" s="259" t="e">
        <f>IF(K289="nio",0,IF(K289&gt;0,K289*I289/W289,0))*VLOOKUP(B289,'2-Kosten per locatie'!$A$14:$C$28,3,FALSE)</f>
        <v>#DIV/0!</v>
      </c>
      <c r="R289" s="259">
        <f>IF(L289&gt;0,L289*I289/X289,0)*VLOOKUP(B289,'2-Kosten per locatie'!$A$14:$C$28,3,FALSE)</f>
        <v>0</v>
      </c>
      <c r="S289" s="259">
        <f>IF(M289&gt;0,M289*I289/Y289,0)*VLOOKUP(B289,'2-Kosten per locatie'!$A$14:$C$28,3,FALSE)</f>
        <v>0</v>
      </c>
      <c r="T289" s="259">
        <f>IF(N289&gt;0,N289*I289/Z289,0)*VLOOKUP(B289,'2-Kosten per locatie'!$A$14:$C$28,3,FALSE)</f>
        <v>0</v>
      </c>
      <c r="U289" s="259">
        <f>IF(O289&gt;0,O289*I289/Y289,0)*VLOOKUP(B289,'2-Kosten per locatie'!$A$14:$C$28,3,FALSE)</f>
        <v>0</v>
      </c>
      <c r="V289" s="259">
        <f>IF(P289&gt;0,P289*I289/Z289,0)*VLOOKUP(B289,'2-Kosten per locatie'!$A$14:$C$28,3,FALSE)</f>
        <v>0</v>
      </c>
      <c r="W289" s="348">
        <f>IF(K289="nio",0,IF(K289&gt;0,VLOOKUP(G289,'3-Productie normen'!A:N,VLOOKUP(K289,'3-Productie normen'!$B$27:$C$38,2,FALSE),FALSE)))</f>
        <v>0</v>
      </c>
      <c r="X289" s="348">
        <f t="shared" si="23"/>
        <v>0</v>
      </c>
      <c r="Y289" s="348">
        <f t="shared" si="24"/>
        <v>0</v>
      </c>
      <c r="Z289" s="348">
        <f t="shared" si="25"/>
        <v>0</v>
      </c>
      <c r="AA289" s="349">
        <f>VLOOKUP(G289,'3-Productie normen'!A:Q,15,FALSE)</f>
        <v>1367.5950000000007</v>
      </c>
      <c r="AB289" s="350">
        <f>VLOOKUP(G289,'3-Productie normen'!A:Q,16,FALSE)</f>
        <v>0</v>
      </c>
      <c r="AC289" s="349"/>
      <c r="AE289" s="351">
        <f t="shared" si="21"/>
        <v>1903.2</v>
      </c>
    </row>
    <row r="290" spans="1:31" ht="14.1" customHeight="1">
      <c r="A290" s="76">
        <v>290</v>
      </c>
      <c r="B290" s="496" t="s">
        <v>305</v>
      </c>
      <c r="C290" s="312" t="s">
        <v>306</v>
      </c>
      <c r="D290" s="88" t="s">
        <v>307</v>
      </c>
      <c r="E290" s="255">
        <v>7</v>
      </c>
      <c r="F290" s="88" t="s">
        <v>310</v>
      </c>
      <c r="G290" s="88" t="s">
        <v>81</v>
      </c>
      <c r="H290" s="88" t="s">
        <v>311</v>
      </c>
      <c r="I290" s="504">
        <v>0.81</v>
      </c>
      <c r="J290" s="347">
        <f t="shared" si="22"/>
        <v>130</v>
      </c>
      <c r="K290" s="260">
        <v>130</v>
      </c>
      <c r="L290" s="260"/>
      <c r="M290" s="260"/>
      <c r="N290" s="260"/>
      <c r="O290" s="260"/>
      <c r="P290" s="260"/>
      <c r="Q290" s="259" t="e">
        <f>IF(K290="nio",0,IF(K290&gt;0,K290*I290/W290,0))*VLOOKUP(B290,'2-Kosten per locatie'!$A$14:$C$28,3,FALSE)</f>
        <v>#DIV/0!</v>
      </c>
      <c r="R290" s="259">
        <f>IF(L290&gt;0,L290*I290/X290,0)*VLOOKUP(B290,'2-Kosten per locatie'!$A$14:$C$28,3,FALSE)</f>
        <v>0</v>
      </c>
      <c r="S290" s="259">
        <f>IF(M290&gt;0,M290*I290/Y290,0)*VLOOKUP(B290,'2-Kosten per locatie'!$A$14:$C$28,3,FALSE)</f>
        <v>0</v>
      </c>
      <c r="T290" s="259">
        <f>IF(N290&gt;0,N290*I290/Z290,0)*VLOOKUP(B290,'2-Kosten per locatie'!$A$14:$C$28,3,FALSE)</f>
        <v>0</v>
      </c>
      <c r="U290" s="259">
        <f>IF(O290&gt;0,O290*I290/Y290,0)*VLOOKUP(B290,'2-Kosten per locatie'!$A$14:$C$28,3,FALSE)</f>
        <v>0</v>
      </c>
      <c r="V290" s="259">
        <f>IF(P290&gt;0,P290*I290/Z290,0)*VLOOKUP(B290,'2-Kosten per locatie'!$A$14:$C$28,3,FALSE)</f>
        <v>0</v>
      </c>
      <c r="W290" s="348">
        <f>IF(K290="nio",0,IF(K290&gt;0,VLOOKUP(G290,'3-Productie normen'!A:N,VLOOKUP(K290,'3-Productie normen'!$B$27:$C$38,2,FALSE),FALSE)))</f>
        <v>0</v>
      </c>
      <c r="X290" s="348">
        <f t="shared" si="23"/>
        <v>0</v>
      </c>
      <c r="Y290" s="348">
        <f t="shared" si="24"/>
        <v>0</v>
      </c>
      <c r="Z290" s="348">
        <f t="shared" si="25"/>
        <v>0</v>
      </c>
      <c r="AA290" s="349">
        <f>VLOOKUP(G290,'3-Productie normen'!A:Q,15,FALSE)</f>
        <v>235.06999999999988</v>
      </c>
      <c r="AB290" s="350">
        <f>VLOOKUP(G290,'3-Productie normen'!A:Q,16,FALSE)</f>
        <v>0</v>
      </c>
      <c r="AC290" s="349"/>
      <c r="AE290" s="351">
        <f t="shared" si="21"/>
        <v>105.30000000000001</v>
      </c>
    </row>
    <row r="291" spans="1:31" ht="14.1" customHeight="1">
      <c r="A291" s="76">
        <v>291</v>
      </c>
      <c r="B291" s="496" t="s">
        <v>305</v>
      </c>
      <c r="C291" s="312" t="s">
        <v>306</v>
      </c>
      <c r="D291" s="88" t="s">
        <v>307</v>
      </c>
      <c r="E291" s="255">
        <v>8</v>
      </c>
      <c r="F291" s="88" t="s">
        <v>430</v>
      </c>
      <c r="G291" s="88" t="s">
        <v>81</v>
      </c>
      <c r="H291" s="88" t="s">
        <v>311</v>
      </c>
      <c r="I291" s="504">
        <v>6.2</v>
      </c>
      <c r="J291" s="347">
        <f t="shared" si="22"/>
        <v>12</v>
      </c>
      <c r="K291" s="260">
        <v>12</v>
      </c>
      <c r="L291" s="260"/>
      <c r="M291" s="260"/>
      <c r="N291" s="260"/>
      <c r="O291" s="260"/>
      <c r="P291" s="260"/>
      <c r="Q291" s="259" t="e">
        <f>IF(K291="nio",0,IF(K291&gt;0,K291*I291/W291,0))*VLOOKUP(B291,'2-Kosten per locatie'!$A$14:$C$28,3,FALSE)</f>
        <v>#DIV/0!</v>
      </c>
      <c r="R291" s="259">
        <f>IF(L291&gt;0,L291*I291/X291,0)*VLOOKUP(B291,'2-Kosten per locatie'!$A$14:$C$28,3,FALSE)</f>
        <v>0</v>
      </c>
      <c r="S291" s="259">
        <f>IF(M291&gt;0,M291*I291/Y291,0)*VLOOKUP(B291,'2-Kosten per locatie'!$A$14:$C$28,3,FALSE)</f>
        <v>0</v>
      </c>
      <c r="T291" s="259">
        <f>IF(N291&gt;0,N291*I291/Z291,0)*VLOOKUP(B291,'2-Kosten per locatie'!$A$14:$C$28,3,FALSE)</f>
        <v>0</v>
      </c>
      <c r="U291" s="259">
        <f>IF(O291&gt;0,O291*I291/Y291,0)*VLOOKUP(B291,'2-Kosten per locatie'!$A$14:$C$28,3,FALSE)</f>
        <v>0</v>
      </c>
      <c r="V291" s="259">
        <f>IF(P291&gt;0,P291*I291/Z291,0)*VLOOKUP(B291,'2-Kosten per locatie'!$A$14:$C$28,3,FALSE)</f>
        <v>0</v>
      </c>
      <c r="W291" s="348">
        <f>IF(K291="nio",0,IF(K291&gt;0,VLOOKUP(G291,'3-Productie normen'!A:N,VLOOKUP(K291,'3-Productie normen'!$B$27:$C$38,2,FALSE),FALSE)))</f>
        <v>0</v>
      </c>
      <c r="X291" s="348">
        <f t="shared" si="23"/>
        <v>0</v>
      </c>
      <c r="Y291" s="348">
        <f t="shared" si="24"/>
        <v>0</v>
      </c>
      <c r="Z291" s="348">
        <f t="shared" si="25"/>
        <v>0</v>
      </c>
      <c r="AA291" s="349">
        <f>VLOOKUP(G291,'3-Productie normen'!A:Q,15,FALSE)</f>
        <v>235.06999999999988</v>
      </c>
      <c r="AB291" s="350">
        <f>VLOOKUP(G291,'3-Productie normen'!A:Q,16,FALSE)</f>
        <v>0</v>
      </c>
      <c r="AC291" s="349"/>
      <c r="AE291" s="351">
        <f t="shared" si="21"/>
        <v>74.400000000000006</v>
      </c>
    </row>
    <row r="292" spans="1:31" ht="14.1" customHeight="1">
      <c r="A292" s="76">
        <v>292</v>
      </c>
      <c r="B292" s="496" t="s">
        <v>305</v>
      </c>
      <c r="C292" s="312" t="s">
        <v>306</v>
      </c>
      <c r="D292" s="88" t="s">
        <v>307</v>
      </c>
      <c r="E292" s="255">
        <v>9</v>
      </c>
      <c r="F292" s="88" t="s">
        <v>432</v>
      </c>
      <c r="G292" s="88" t="s">
        <v>85</v>
      </c>
      <c r="H292" s="88" t="s">
        <v>311</v>
      </c>
      <c r="I292" s="504">
        <v>14.64</v>
      </c>
      <c r="J292" s="347">
        <f t="shared" si="22"/>
        <v>130</v>
      </c>
      <c r="K292" s="260">
        <v>130</v>
      </c>
      <c r="L292" s="260"/>
      <c r="M292" s="260"/>
      <c r="N292" s="260"/>
      <c r="O292" s="260"/>
      <c r="P292" s="260"/>
      <c r="Q292" s="259" t="e">
        <f>IF(K292="nio",0,IF(K292&gt;0,K292*I292/W292,0))*VLOOKUP(B292,'2-Kosten per locatie'!$A$14:$C$28,3,FALSE)</f>
        <v>#DIV/0!</v>
      </c>
      <c r="R292" s="259">
        <f>IF(L292&gt;0,L292*I292/X292,0)*VLOOKUP(B292,'2-Kosten per locatie'!$A$14:$C$28,3,FALSE)</f>
        <v>0</v>
      </c>
      <c r="S292" s="259">
        <f>IF(M292&gt;0,M292*I292/Y292,0)*VLOOKUP(B292,'2-Kosten per locatie'!$A$14:$C$28,3,FALSE)</f>
        <v>0</v>
      </c>
      <c r="T292" s="259">
        <f>IF(N292&gt;0,N292*I292/Z292,0)*VLOOKUP(B292,'2-Kosten per locatie'!$A$14:$C$28,3,FALSE)</f>
        <v>0</v>
      </c>
      <c r="U292" s="259">
        <f>IF(O292&gt;0,O292*I292/Y292,0)*VLOOKUP(B292,'2-Kosten per locatie'!$A$14:$C$28,3,FALSE)</f>
        <v>0</v>
      </c>
      <c r="V292" s="259">
        <f>IF(P292&gt;0,P292*I292/Z292,0)*VLOOKUP(B292,'2-Kosten per locatie'!$A$14:$C$28,3,FALSE)</f>
        <v>0</v>
      </c>
      <c r="W292" s="348">
        <f>IF(K292="nio",0,IF(K292&gt;0,VLOOKUP(G292,'3-Productie normen'!A:N,VLOOKUP(K292,'3-Productie normen'!$B$27:$C$38,2,FALSE),FALSE)))</f>
        <v>0</v>
      </c>
      <c r="X292" s="348">
        <f t="shared" si="23"/>
        <v>0</v>
      </c>
      <c r="Y292" s="348">
        <f t="shared" si="24"/>
        <v>0</v>
      </c>
      <c r="Z292" s="348">
        <f t="shared" si="25"/>
        <v>0</v>
      </c>
      <c r="AA292" s="349">
        <f>VLOOKUP(G292,'3-Productie normen'!A:Q,15,FALSE)</f>
        <v>1367.5950000000007</v>
      </c>
      <c r="AB292" s="350">
        <f>VLOOKUP(G292,'3-Productie normen'!A:Q,16,FALSE)</f>
        <v>0</v>
      </c>
      <c r="AC292" s="349"/>
      <c r="AE292" s="351">
        <f t="shared" si="21"/>
        <v>1903.2</v>
      </c>
    </row>
    <row r="293" spans="1:31" ht="14.1" customHeight="1">
      <c r="A293" s="76">
        <v>293</v>
      </c>
      <c r="B293" s="496" t="s">
        <v>305</v>
      </c>
      <c r="C293" s="312" t="s">
        <v>306</v>
      </c>
      <c r="D293" s="88" t="s">
        <v>307</v>
      </c>
      <c r="E293" s="255">
        <v>10</v>
      </c>
      <c r="F293" s="88" t="s">
        <v>310</v>
      </c>
      <c r="G293" s="88" t="s">
        <v>81</v>
      </c>
      <c r="H293" s="88" t="s">
        <v>311</v>
      </c>
      <c r="I293" s="504">
        <v>0.81</v>
      </c>
      <c r="J293" s="347">
        <f t="shared" si="22"/>
        <v>130</v>
      </c>
      <c r="K293" s="260">
        <v>130</v>
      </c>
      <c r="L293" s="260"/>
      <c r="M293" s="260"/>
      <c r="N293" s="260"/>
      <c r="O293" s="260"/>
      <c r="P293" s="260"/>
      <c r="Q293" s="259" t="e">
        <f>IF(K293="nio",0,IF(K293&gt;0,K293*I293/W293,0))*VLOOKUP(B293,'2-Kosten per locatie'!$A$14:$C$28,3,FALSE)</f>
        <v>#DIV/0!</v>
      </c>
      <c r="R293" s="259">
        <f>IF(L293&gt;0,L293*I293/X293,0)*VLOOKUP(B293,'2-Kosten per locatie'!$A$14:$C$28,3,FALSE)</f>
        <v>0</v>
      </c>
      <c r="S293" s="259">
        <f>IF(M293&gt;0,M293*I293/Y293,0)*VLOOKUP(B293,'2-Kosten per locatie'!$A$14:$C$28,3,FALSE)</f>
        <v>0</v>
      </c>
      <c r="T293" s="259">
        <f>IF(N293&gt;0,N293*I293/Z293,0)*VLOOKUP(B293,'2-Kosten per locatie'!$A$14:$C$28,3,FALSE)</f>
        <v>0</v>
      </c>
      <c r="U293" s="259">
        <f>IF(O293&gt;0,O293*I293/Y293,0)*VLOOKUP(B293,'2-Kosten per locatie'!$A$14:$C$28,3,FALSE)</f>
        <v>0</v>
      </c>
      <c r="V293" s="259">
        <f>IF(P293&gt;0,P293*I293/Z293,0)*VLOOKUP(B293,'2-Kosten per locatie'!$A$14:$C$28,3,FALSE)</f>
        <v>0</v>
      </c>
      <c r="W293" s="348">
        <f>IF(K293="nio",0,IF(K293&gt;0,VLOOKUP(G293,'3-Productie normen'!A:N,VLOOKUP(K293,'3-Productie normen'!$B$27:$C$38,2,FALSE),FALSE)))</f>
        <v>0</v>
      </c>
      <c r="X293" s="348">
        <f t="shared" si="23"/>
        <v>0</v>
      </c>
      <c r="Y293" s="348">
        <f t="shared" si="24"/>
        <v>0</v>
      </c>
      <c r="Z293" s="348">
        <f t="shared" si="25"/>
        <v>0</v>
      </c>
      <c r="AA293" s="349">
        <f>VLOOKUP(G293,'3-Productie normen'!A:Q,15,FALSE)</f>
        <v>235.06999999999988</v>
      </c>
      <c r="AB293" s="350">
        <f>VLOOKUP(G293,'3-Productie normen'!A:Q,16,FALSE)</f>
        <v>0</v>
      </c>
      <c r="AC293" s="349"/>
      <c r="AE293" s="351">
        <f t="shared" si="21"/>
        <v>105.30000000000001</v>
      </c>
    </row>
    <row r="294" spans="1:31" ht="14.1" customHeight="1">
      <c r="A294" s="76">
        <v>294</v>
      </c>
      <c r="B294" s="496" t="s">
        <v>305</v>
      </c>
      <c r="C294" s="312" t="s">
        <v>306</v>
      </c>
      <c r="D294" s="88" t="s">
        <v>307</v>
      </c>
      <c r="E294" s="255">
        <v>11</v>
      </c>
      <c r="F294" s="88" t="s">
        <v>430</v>
      </c>
      <c r="G294" s="88" t="s">
        <v>81</v>
      </c>
      <c r="H294" s="88" t="s">
        <v>311</v>
      </c>
      <c r="I294" s="504">
        <v>6.2</v>
      </c>
      <c r="J294" s="347">
        <f t="shared" si="22"/>
        <v>12</v>
      </c>
      <c r="K294" s="260">
        <v>12</v>
      </c>
      <c r="L294" s="260"/>
      <c r="M294" s="260"/>
      <c r="N294" s="260"/>
      <c r="O294" s="260"/>
      <c r="P294" s="260"/>
      <c r="Q294" s="259" t="e">
        <f>IF(K294="nio",0,IF(K294&gt;0,K294*I294/W294,0))*VLOOKUP(B294,'2-Kosten per locatie'!$A$14:$C$28,3,FALSE)</f>
        <v>#DIV/0!</v>
      </c>
      <c r="R294" s="259">
        <f>IF(L294&gt;0,L294*I294/X294,0)*VLOOKUP(B294,'2-Kosten per locatie'!$A$14:$C$28,3,FALSE)</f>
        <v>0</v>
      </c>
      <c r="S294" s="259">
        <f>IF(M294&gt;0,M294*I294/Y294,0)*VLOOKUP(B294,'2-Kosten per locatie'!$A$14:$C$28,3,FALSE)</f>
        <v>0</v>
      </c>
      <c r="T294" s="259">
        <f>IF(N294&gt;0,N294*I294/Z294,0)*VLOOKUP(B294,'2-Kosten per locatie'!$A$14:$C$28,3,FALSE)</f>
        <v>0</v>
      </c>
      <c r="U294" s="259">
        <f>IF(O294&gt;0,O294*I294/Y294,0)*VLOOKUP(B294,'2-Kosten per locatie'!$A$14:$C$28,3,FALSE)</f>
        <v>0</v>
      </c>
      <c r="V294" s="259">
        <f>IF(P294&gt;0,P294*I294/Z294,0)*VLOOKUP(B294,'2-Kosten per locatie'!$A$14:$C$28,3,FALSE)</f>
        <v>0</v>
      </c>
      <c r="W294" s="348">
        <f>IF(K294="nio",0,IF(K294&gt;0,VLOOKUP(G294,'3-Productie normen'!A:N,VLOOKUP(K294,'3-Productie normen'!$B$27:$C$38,2,FALSE),FALSE)))</f>
        <v>0</v>
      </c>
      <c r="X294" s="348">
        <f t="shared" si="23"/>
        <v>0</v>
      </c>
      <c r="Y294" s="348">
        <f t="shared" si="24"/>
        <v>0</v>
      </c>
      <c r="Z294" s="348">
        <f t="shared" si="25"/>
        <v>0</v>
      </c>
      <c r="AA294" s="349">
        <f>VLOOKUP(G294,'3-Productie normen'!A:Q,15,FALSE)</f>
        <v>235.06999999999988</v>
      </c>
      <c r="AB294" s="350">
        <f>VLOOKUP(G294,'3-Productie normen'!A:Q,16,FALSE)</f>
        <v>0</v>
      </c>
      <c r="AC294" s="349"/>
      <c r="AE294" s="351">
        <f t="shared" si="21"/>
        <v>74.400000000000006</v>
      </c>
    </row>
    <row r="295" spans="1:31" ht="14.1" customHeight="1">
      <c r="A295" s="76">
        <v>295</v>
      </c>
      <c r="B295" s="496" t="s">
        <v>305</v>
      </c>
      <c r="C295" s="312" t="s">
        <v>306</v>
      </c>
      <c r="D295" s="88" t="s">
        <v>307</v>
      </c>
      <c r="E295" s="255">
        <v>12</v>
      </c>
      <c r="F295" s="88" t="s">
        <v>433</v>
      </c>
      <c r="G295" s="88" t="s">
        <v>85</v>
      </c>
      <c r="H295" s="88" t="s">
        <v>311</v>
      </c>
      <c r="I295" s="504">
        <v>14.64</v>
      </c>
      <c r="J295" s="347">
        <f t="shared" si="22"/>
        <v>130</v>
      </c>
      <c r="K295" s="260">
        <v>130</v>
      </c>
      <c r="L295" s="260"/>
      <c r="M295" s="260"/>
      <c r="N295" s="260"/>
      <c r="O295" s="260"/>
      <c r="P295" s="260"/>
      <c r="Q295" s="259" t="e">
        <f>IF(K295="nio",0,IF(K295&gt;0,K295*I295/W295,0))*VLOOKUP(B295,'2-Kosten per locatie'!$A$14:$C$28,3,FALSE)</f>
        <v>#DIV/0!</v>
      </c>
      <c r="R295" s="259">
        <f>IF(L295&gt;0,L295*I295/X295,0)*VLOOKUP(B295,'2-Kosten per locatie'!$A$14:$C$28,3,FALSE)</f>
        <v>0</v>
      </c>
      <c r="S295" s="259">
        <f>IF(M295&gt;0,M295*I295/Y295,0)*VLOOKUP(B295,'2-Kosten per locatie'!$A$14:$C$28,3,FALSE)</f>
        <v>0</v>
      </c>
      <c r="T295" s="259">
        <f>IF(N295&gt;0,N295*I295/Z295,0)*VLOOKUP(B295,'2-Kosten per locatie'!$A$14:$C$28,3,FALSE)</f>
        <v>0</v>
      </c>
      <c r="U295" s="259">
        <f>IF(O295&gt;0,O295*I295/Y295,0)*VLOOKUP(B295,'2-Kosten per locatie'!$A$14:$C$28,3,FALSE)</f>
        <v>0</v>
      </c>
      <c r="V295" s="259">
        <f>IF(P295&gt;0,P295*I295/Z295,0)*VLOOKUP(B295,'2-Kosten per locatie'!$A$14:$C$28,3,FALSE)</f>
        <v>0</v>
      </c>
      <c r="W295" s="348">
        <f>IF(K295="nio",0,IF(K295&gt;0,VLOOKUP(G295,'3-Productie normen'!A:N,VLOOKUP(K295,'3-Productie normen'!$B$27:$C$38,2,FALSE),FALSE)))</f>
        <v>0</v>
      </c>
      <c r="X295" s="348">
        <f t="shared" si="23"/>
        <v>0</v>
      </c>
      <c r="Y295" s="348">
        <f t="shared" si="24"/>
        <v>0</v>
      </c>
      <c r="Z295" s="348">
        <f t="shared" si="25"/>
        <v>0</v>
      </c>
      <c r="AA295" s="349">
        <f>VLOOKUP(G295,'3-Productie normen'!A:Q,15,FALSE)</f>
        <v>1367.5950000000007</v>
      </c>
      <c r="AB295" s="350">
        <f>VLOOKUP(G295,'3-Productie normen'!A:Q,16,FALSE)</f>
        <v>0</v>
      </c>
      <c r="AC295" s="349"/>
      <c r="AE295" s="351">
        <f t="shared" si="21"/>
        <v>1903.2</v>
      </c>
    </row>
    <row r="296" spans="1:31" ht="14.1" customHeight="1">
      <c r="A296" s="76">
        <v>296</v>
      </c>
      <c r="B296" s="496" t="s">
        <v>305</v>
      </c>
      <c r="C296" s="312" t="s">
        <v>306</v>
      </c>
      <c r="D296" s="88" t="s">
        <v>307</v>
      </c>
      <c r="E296" s="255">
        <v>13</v>
      </c>
      <c r="F296" s="88" t="s">
        <v>310</v>
      </c>
      <c r="G296" s="88" t="s">
        <v>81</v>
      </c>
      <c r="H296" s="88" t="s">
        <v>311</v>
      </c>
      <c r="I296" s="504">
        <v>0.81</v>
      </c>
      <c r="J296" s="347">
        <f t="shared" si="22"/>
        <v>130</v>
      </c>
      <c r="K296" s="260">
        <v>130</v>
      </c>
      <c r="L296" s="260"/>
      <c r="M296" s="260"/>
      <c r="N296" s="260"/>
      <c r="O296" s="260"/>
      <c r="P296" s="260"/>
      <c r="Q296" s="259" t="e">
        <f>IF(K296="nio",0,IF(K296&gt;0,K296*I296/W296,0))*VLOOKUP(B296,'2-Kosten per locatie'!$A$14:$C$28,3,FALSE)</f>
        <v>#DIV/0!</v>
      </c>
      <c r="R296" s="259">
        <f>IF(L296&gt;0,L296*I296/X296,0)*VLOOKUP(B296,'2-Kosten per locatie'!$A$14:$C$28,3,FALSE)</f>
        <v>0</v>
      </c>
      <c r="S296" s="259">
        <f>IF(M296&gt;0,M296*I296/Y296,0)*VLOOKUP(B296,'2-Kosten per locatie'!$A$14:$C$28,3,FALSE)</f>
        <v>0</v>
      </c>
      <c r="T296" s="259">
        <f>IF(N296&gt;0,N296*I296/Z296,0)*VLOOKUP(B296,'2-Kosten per locatie'!$A$14:$C$28,3,FALSE)</f>
        <v>0</v>
      </c>
      <c r="U296" s="259">
        <f>IF(O296&gt;0,O296*I296/Y296,0)*VLOOKUP(B296,'2-Kosten per locatie'!$A$14:$C$28,3,FALSE)</f>
        <v>0</v>
      </c>
      <c r="V296" s="259">
        <f>IF(P296&gt;0,P296*I296/Z296,0)*VLOOKUP(B296,'2-Kosten per locatie'!$A$14:$C$28,3,FALSE)</f>
        <v>0</v>
      </c>
      <c r="W296" s="348">
        <f>IF(K296="nio",0,IF(K296&gt;0,VLOOKUP(G296,'3-Productie normen'!A:N,VLOOKUP(K296,'3-Productie normen'!$B$27:$C$38,2,FALSE),FALSE)))</f>
        <v>0</v>
      </c>
      <c r="X296" s="348">
        <f t="shared" si="23"/>
        <v>0</v>
      </c>
      <c r="Y296" s="348">
        <f t="shared" si="24"/>
        <v>0</v>
      </c>
      <c r="Z296" s="348">
        <f t="shared" si="25"/>
        <v>0</v>
      </c>
      <c r="AA296" s="349">
        <f>VLOOKUP(G296,'3-Productie normen'!A:Q,15,FALSE)</f>
        <v>235.06999999999988</v>
      </c>
      <c r="AB296" s="350">
        <f>VLOOKUP(G296,'3-Productie normen'!A:Q,16,FALSE)</f>
        <v>0</v>
      </c>
      <c r="AC296" s="349"/>
      <c r="AE296" s="351">
        <f t="shared" si="21"/>
        <v>105.30000000000001</v>
      </c>
    </row>
    <row r="297" spans="1:31" ht="14.1" customHeight="1">
      <c r="A297" s="76">
        <v>297</v>
      </c>
      <c r="B297" s="496" t="s">
        <v>305</v>
      </c>
      <c r="C297" s="312" t="s">
        <v>306</v>
      </c>
      <c r="D297" s="88" t="s">
        <v>307</v>
      </c>
      <c r="E297" s="255">
        <v>14</v>
      </c>
      <c r="F297" s="88" t="s">
        <v>430</v>
      </c>
      <c r="G297" s="88" t="s">
        <v>81</v>
      </c>
      <c r="H297" s="88" t="s">
        <v>311</v>
      </c>
      <c r="I297" s="504">
        <v>6.2</v>
      </c>
      <c r="J297" s="347">
        <f t="shared" si="22"/>
        <v>12</v>
      </c>
      <c r="K297" s="260">
        <v>12</v>
      </c>
      <c r="L297" s="260"/>
      <c r="M297" s="260"/>
      <c r="N297" s="260"/>
      <c r="O297" s="260"/>
      <c r="P297" s="260"/>
      <c r="Q297" s="259" t="e">
        <f>IF(K297="nio",0,IF(K297&gt;0,K297*I297/W297,0))*VLOOKUP(B297,'2-Kosten per locatie'!$A$14:$C$28,3,FALSE)</f>
        <v>#DIV/0!</v>
      </c>
      <c r="R297" s="259">
        <f>IF(L297&gt;0,L297*I297/X297,0)*VLOOKUP(B297,'2-Kosten per locatie'!$A$14:$C$28,3,FALSE)</f>
        <v>0</v>
      </c>
      <c r="S297" s="259">
        <f>IF(M297&gt;0,M297*I297/Y297,0)*VLOOKUP(B297,'2-Kosten per locatie'!$A$14:$C$28,3,FALSE)</f>
        <v>0</v>
      </c>
      <c r="T297" s="259">
        <f>IF(N297&gt;0,N297*I297/Z297,0)*VLOOKUP(B297,'2-Kosten per locatie'!$A$14:$C$28,3,FALSE)</f>
        <v>0</v>
      </c>
      <c r="U297" s="259">
        <f>IF(O297&gt;0,O297*I297/Y297,0)*VLOOKUP(B297,'2-Kosten per locatie'!$A$14:$C$28,3,FALSE)</f>
        <v>0</v>
      </c>
      <c r="V297" s="259">
        <f>IF(P297&gt;0,P297*I297/Z297,0)*VLOOKUP(B297,'2-Kosten per locatie'!$A$14:$C$28,3,FALSE)</f>
        <v>0</v>
      </c>
      <c r="W297" s="348">
        <f>IF(K297="nio",0,IF(K297&gt;0,VLOOKUP(G297,'3-Productie normen'!A:N,VLOOKUP(K297,'3-Productie normen'!$B$27:$C$38,2,FALSE),FALSE)))</f>
        <v>0</v>
      </c>
      <c r="X297" s="348">
        <f t="shared" si="23"/>
        <v>0</v>
      </c>
      <c r="Y297" s="348">
        <f t="shared" si="24"/>
        <v>0</v>
      </c>
      <c r="Z297" s="348">
        <f t="shared" si="25"/>
        <v>0</v>
      </c>
      <c r="AA297" s="349">
        <f>VLOOKUP(G297,'3-Productie normen'!A:Q,15,FALSE)</f>
        <v>235.06999999999988</v>
      </c>
      <c r="AB297" s="350">
        <f>VLOOKUP(G297,'3-Productie normen'!A:Q,16,FALSE)</f>
        <v>0</v>
      </c>
      <c r="AC297" s="349"/>
      <c r="AE297" s="351">
        <f t="shared" si="21"/>
        <v>74.400000000000006</v>
      </c>
    </row>
    <row r="298" spans="1:31" ht="14.1" customHeight="1">
      <c r="A298" s="76">
        <v>298</v>
      </c>
      <c r="B298" s="496" t="s">
        <v>305</v>
      </c>
      <c r="C298" s="312" t="s">
        <v>306</v>
      </c>
      <c r="D298" s="88" t="s">
        <v>307</v>
      </c>
      <c r="E298" s="255">
        <v>15</v>
      </c>
      <c r="F298" s="88" t="s">
        <v>312</v>
      </c>
      <c r="G298" s="88" t="s">
        <v>83</v>
      </c>
      <c r="H298" s="88" t="s">
        <v>311</v>
      </c>
      <c r="I298" s="504">
        <v>10.16</v>
      </c>
      <c r="J298" s="347">
        <f t="shared" si="22"/>
        <v>130</v>
      </c>
      <c r="K298" s="260">
        <v>130</v>
      </c>
      <c r="L298" s="260"/>
      <c r="M298" s="260"/>
      <c r="N298" s="260"/>
      <c r="O298" s="260"/>
      <c r="P298" s="260"/>
      <c r="Q298" s="259" t="e">
        <f>IF(K298="nio",0,IF(K298&gt;0,K298*I298/W298,0))*VLOOKUP(B298,'2-Kosten per locatie'!$A$14:$C$28,3,FALSE)</f>
        <v>#DIV/0!</v>
      </c>
      <c r="R298" s="259">
        <f>IF(L298&gt;0,L298*I298/X298,0)*VLOOKUP(B298,'2-Kosten per locatie'!$A$14:$C$28,3,FALSE)</f>
        <v>0</v>
      </c>
      <c r="S298" s="259">
        <f>IF(M298&gt;0,M298*I298/Y298,0)*VLOOKUP(B298,'2-Kosten per locatie'!$A$14:$C$28,3,FALSE)</f>
        <v>0</v>
      </c>
      <c r="T298" s="259">
        <f>IF(N298&gt;0,N298*I298/Z298,0)*VLOOKUP(B298,'2-Kosten per locatie'!$A$14:$C$28,3,FALSE)</f>
        <v>0</v>
      </c>
      <c r="U298" s="259">
        <f>IF(O298&gt;0,O298*I298/Y298,0)*VLOOKUP(B298,'2-Kosten per locatie'!$A$14:$C$28,3,FALSE)</f>
        <v>0</v>
      </c>
      <c r="V298" s="259">
        <f>IF(P298&gt;0,P298*I298/Z298,0)*VLOOKUP(B298,'2-Kosten per locatie'!$A$14:$C$28,3,FALSE)</f>
        <v>0</v>
      </c>
      <c r="W298" s="348">
        <f>IF(K298="nio",0,IF(K298&gt;0,VLOOKUP(G298,'3-Productie normen'!A:N,VLOOKUP(K298,'3-Productie normen'!$B$27:$C$38,2,FALSE),FALSE)))</f>
        <v>0</v>
      </c>
      <c r="X298" s="348">
        <f t="shared" si="23"/>
        <v>0</v>
      </c>
      <c r="Y298" s="348">
        <f t="shared" si="24"/>
        <v>0</v>
      </c>
      <c r="Z298" s="348">
        <f t="shared" si="25"/>
        <v>0</v>
      </c>
      <c r="AA298" s="349">
        <f>VLOOKUP(G298,'3-Productie normen'!A:Q,15,FALSE)</f>
        <v>773.68459999999982</v>
      </c>
      <c r="AB298" s="350">
        <f>VLOOKUP(G298,'3-Productie normen'!A:Q,16,FALSE)</f>
        <v>0</v>
      </c>
      <c r="AC298" s="349"/>
      <c r="AE298" s="351">
        <f t="shared" si="21"/>
        <v>1320.8</v>
      </c>
    </row>
    <row r="299" spans="1:31" ht="14.1" customHeight="1">
      <c r="A299" s="76">
        <v>299</v>
      </c>
      <c r="B299" s="496" t="s">
        <v>305</v>
      </c>
      <c r="C299" s="312" t="s">
        <v>306</v>
      </c>
      <c r="D299" s="88" t="s">
        <v>307</v>
      </c>
      <c r="E299" s="255">
        <v>16</v>
      </c>
      <c r="F299" s="88" t="s">
        <v>312</v>
      </c>
      <c r="G299" s="88" t="s">
        <v>83</v>
      </c>
      <c r="H299" s="88" t="s">
        <v>311</v>
      </c>
      <c r="I299" s="504">
        <v>10.16</v>
      </c>
      <c r="J299" s="347">
        <f t="shared" si="22"/>
        <v>130</v>
      </c>
      <c r="K299" s="260">
        <v>130</v>
      </c>
      <c r="L299" s="260"/>
      <c r="M299" s="260"/>
      <c r="N299" s="260"/>
      <c r="O299" s="260"/>
      <c r="P299" s="260"/>
      <c r="Q299" s="259" t="e">
        <f>IF(K299="nio",0,IF(K299&gt;0,K299*I299/W299,0))*VLOOKUP(B299,'2-Kosten per locatie'!$A$14:$C$28,3,FALSE)</f>
        <v>#DIV/0!</v>
      </c>
      <c r="R299" s="259">
        <f>IF(L299&gt;0,L299*I299/X299,0)*VLOOKUP(B299,'2-Kosten per locatie'!$A$14:$C$28,3,FALSE)</f>
        <v>0</v>
      </c>
      <c r="S299" s="259">
        <f>IF(M299&gt;0,M299*I299/Y299,0)*VLOOKUP(B299,'2-Kosten per locatie'!$A$14:$C$28,3,FALSE)</f>
        <v>0</v>
      </c>
      <c r="T299" s="259">
        <f>IF(N299&gt;0,N299*I299/Z299,0)*VLOOKUP(B299,'2-Kosten per locatie'!$A$14:$C$28,3,FALSE)</f>
        <v>0</v>
      </c>
      <c r="U299" s="259">
        <f>IF(O299&gt;0,O299*I299/Y299,0)*VLOOKUP(B299,'2-Kosten per locatie'!$A$14:$C$28,3,FALSE)</f>
        <v>0</v>
      </c>
      <c r="V299" s="259">
        <f>IF(P299&gt;0,P299*I299/Z299,0)*VLOOKUP(B299,'2-Kosten per locatie'!$A$14:$C$28,3,FALSE)</f>
        <v>0</v>
      </c>
      <c r="W299" s="348">
        <f>IF(K299="nio",0,IF(K299&gt;0,VLOOKUP(G299,'3-Productie normen'!A:N,VLOOKUP(K299,'3-Productie normen'!$B$27:$C$38,2,FALSE),FALSE)))</f>
        <v>0</v>
      </c>
      <c r="X299" s="348">
        <f t="shared" si="23"/>
        <v>0</v>
      </c>
      <c r="Y299" s="348">
        <f t="shared" si="24"/>
        <v>0</v>
      </c>
      <c r="Z299" s="348">
        <f t="shared" si="25"/>
        <v>0</v>
      </c>
      <c r="AA299" s="349">
        <f>VLOOKUP(G299,'3-Productie normen'!A:Q,15,FALSE)</f>
        <v>773.68459999999982</v>
      </c>
      <c r="AB299" s="350">
        <f>VLOOKUP(G299,'3-Productie normen'!A:Q,16,FALSE)</f>
        <v>0</v>
      </c>
      <c r="AC299" s="349"/>
      <c r="AE299" s="351">
        <f t="shared" si="21"/>
        <v>1320.8</v>
      </c>
    </row>
    <row r="300" spans="1:31" ht="14.1" customHeight="1">
      <c r="A300" s="76">
        <v>300</v>
      </c>
      <c r="B300" s="496" t="s">
        <v>305</v>
      </c>
      <c r="C300" s="312" t="s">
        <v>306</v>
      </c>
      <c r="D300" s="88" t="s">
        <v>307</v>
      </c>
      <c r="E300" s="255">
        <v>17</v>
      </c>
      <c r="F300" s="88" t="s">
        <v>312</v>
      </c>
      <c r="G300" s="88" t="s">
        <v>83</v>
      </c>
      <c r="H300" s="88" t="s">
        <v>311</v>
      </c>
      <c r="I300" s="504">
        <v>41.69</v>
      </c>
      <c r="J300" s="347">
        <f t="shared" si="22"/>
        <v>130</v>
      </c>
      <c r="K300" s="260">
        <v>130</v>
      </c>
      <c r="L300" s="260"/>
      <c r="M300" s="260"/>
      <c r="N300" s="260"/>
      <c r="O300" s="260"/>
      <c r="P300" s="260"/>
      <c r="Q300" s="259" t="e">
        <f>IF(K300="nio",0,IF(K300&gt;0,K300*I300/W300,0))*VLOOKUP(B300,'2-Kosten per locatie'!$A$14:$C$28,3,FALSE)</f>
        <v>#DIV/0!</v>
      </c>
      <c r="R300" s="259">
        <f>IF(L300&gt;0,L300*I300/X300,0)*VLOOKUP(B300,'2-Kosten per locatie'!$A$14:$C$28,3,FALSE)</f>
        <v>0</v>
      </c>
      <c r="S300" s="259">
        <f>IF(M300&gt;0,M300*I300/Y300,0)*VLOOKUP(B300,'2-Kosten per locatie'!$A$14:$C$28,3,FALSE)</f>
        <v>0</v>
      </c>
      <c r="T300" s="259">
        <f>IF(N300&gt;0,N300*I300/Z300,0)*VLOOKUP(B300,'2-Kosten per locatie'!$A$14:$C$28,3,FALSE)</f>
        <v>0</v>
      </c>
      <c r="U300" s="259">
        <f>IF(O300&gt;0,O300*I300/Y300,0)*VLOOKUP(B300,'2-Kosten per locatie'!$A$14:$C$28,3,FALSE)</f>
        <v>0</v>
      </c>
      <c r="V300" s="259">
        <f>IF(P300&gt;0,P300*I300/Z300,0)*VLOOKUP(B300,'2-Kosten per locatie'!$A$14:$C$28,3,FALSE)</f>
        <v>0</v>
      </c>
      <c r="W300" s="348">
        <f>IF(K300="nio",0,IF(K300&gt;0,VLOOKUP(G300,'3-Productie normen'!A:N,VLOOKUP(K300,'3-Productie normen'!$B$27:$C$38,2,FALSE),FALSE)))</f>
        <v>0</v>
      </c>
      <c r="X300" s="348">
        <f t="shared" si="23"/>
        <v>0</v>
      </c>
      <c r="Y300" s="348">
        <f t="shared" si="24"/>
        <v>0</v>
      </c>
      <c r="Z300" s="348">
        <f t="shared" si="25"/>
        <v>0</v>
      </c>
      <c r="AA300" s="349">
        <f>VLOOKUP(G300,'3-Productie normen'!A:Q,15,FALSE)</f>
        <v>773.68459999999982</v>
      </c>
      <c r="AB300" s="350">
        <f>VLOOKUP(G300,'3-Productie normen'!A:Q,16,FALSE)</f>
        <v>0</v>
      </c>
      <c r="AC300" s="349"/>
      <c r="AE300" s="351">
        <f t="shared" si="21"/>
        <v>5419.7</v>
      </c>
    </row>
    <row r="301" spans="1:31" ht="14.1" customHeight="1">
      <c r="A301" s="76">
        <v>301</v>
      </c>
      <c r="B301" s="496" t="s">
        <v>305</v>
      </c>
      <c r="C301" s="312" t="s">
        <v>306</v>
      </c>
      <c r="D301" s="88" t="s">
        <v>307</v>
      </c>
      <c r="E301" s="255">
        <v>18</v>
      </c>
      <c r="F301" s="88" t="s">
        <v>434</v>
      </c>
      <c r="G301" s="88" t="s">
        <v>85</v>
      </c>
      <c r="H301" s="88" t="s">
        <v>311</v>
      </c>
      <c r="I301" s="504">
        <v>14.64</v>
      </c>
      <c r="J301" s="347">
        <f t="shared" si="22"/>
        <v>130</v>
      </c>
      <c r="K301" s="260">
        <v>130</v>
      </c>
      <c r="L301" s="260"/>
      <c r="M301" s="260"/>
      <c r="N301" s="260"/>
      <c r="O301" s="260"/>
      <c r="P301" s="260"/>
      <c r="Q301" s="259" t="e">
        <f>IF(K301="nio",0,IF(K301&gt;0,K301*I301/W301,0))*VLOOKUP(B301,'2-Kosten per locatie'!$A$14:$C$28,3,FALSE)</f>
        <v>#DIV/0!</v>
      </c>
      <c r="R301" s="259">
        <f>IF(L301&gt;0,L301*I301/X301,0)*VLOOKUP(B301,'2-Kosten per locatie'!$A$14:$C$28,3,FALSE)</f>
        <v>0</v>
      </c>
      <c r="S301" s="259">
        <f>IF(M301&gt;0,M301*I301/Y301,0)*VLOOKUP(B301,'2-Kosten per locatie'!$A$14:$C$28,3,FALSE)</f>
        <v>0</v>
      </c>
      <c r="T301" s="259">
        <f>IF(N301&gt;0,N301*I301/Z301,0)*VLOOKUP(B301,'2-Kosten per locatie'!$A$14:$C$28,3,FALSE)</f>
        <v>0</v>
      </c>
      <c r="U301" s="259">
        <f>IF(O301&gt;0,O301*I301/Y301,0)*VLOOKUP(B301,'2-Kosten per locatie'!$A$14:$C$28,3,FALSE)</f>
        <v>0</v>
      </c>
      <c r="V301" s="259">
        <f>IF(P301&gt;0,P301*I301/Z301,0)*VLOOKUP(B301,'2-Kosten per locatie'!$A$14:$C$28,3,FALSE)</f>
        <v>0</v>
      </c>
      <c r="W301" s="348">
        <f>IF(K301="nio",0,IF(K301&gt;0,VLOOKUP(G301,'3-Productie normen'!A:N,VLOOKUP(K301,'3-Productie normen'!$B$27:$C$38,2,FALSE),FALSE)))</f>
        <v>0</v>
      </c>
      <c r="X301" s="348">
        <f t="shared" si="23"/>
        <v>0</v>
      </c>
      <c r="Y301" s="348">
        <f t="shared" si="24"/>
        <v>0</v>
      </c>
      <c r="Z301" s="348">
        <f t="shared" si="25"/>
        <v>0</v>
      </c>
      <c r="AA301" s="349">
        <f>VLOOKUP(G301,'3-Productie normen'!A:Q,15,FALSE)</f>
        <v>1367.5950000000007</v>
      </c>
      <c r="AB301" s="350">
        <f>VLOOKUP(G301,'3-Productie normen'!A:Q,16,FALSE)</f>
        <v>0</v>
      </c>
      <c r="AC301" s="349"/>
      <c r="AE301" s="351">
        <f t="shared" si="21"/>
        <v>1903.2</v>
      </c>
    </row>
    <row r="302" spans="1:31" ht="14.1" customHeight="1">
      <c r="A302" s="76">
        <v>302</v>
      </c>
      <c r="B302" s="496" t="s">
        <v>305</v>
      </c>
      <c r="C302" s="312" t="s">
        <v>306</v>
      </c>
      <c r="D302" s="88" t="s">
        <v>307</v>
      </c>
      <c r="E302" s="255">
        <v>19</v>
      </c>
      <c r="F302" s="88" t="s">
        <v>310</v>
      </c>
      <c r="G302" s="88" t="s">
        <v>81</v>
      </c>
      <c r="H302" s="88" t="s">
        <v>311</v>
      </c>
      <c r="I302" s="504">
        <v>0.81</v>
      </c>
      <c r="J302" s="347">
        <f t="shared" si="22"/>
        <v>130</v>
      </c>
      <c r="K302" s="260">
        <v>130</v>
      </c>
      <c r="L302" s="260"/>
      <c r="M302" s="260"/>
      <c r="N302" s="260"/>
      <c r="O302" s="260"/>
      <c r="P302" s="260"/>
      <c r="Q302" s="259" t="e">
        <f>IF(K302="nio",0,IF(K302&gt;0,K302*I302/W302,0))*VLOOKUP(B302,'2-Kosten per locatie'!$A$14:$C$28,3,FALSE)</f>
        <v>#DIV/0!</v>
      </c>
      <c r="R302" s="259">
        <f>IF(L302&gt;0,L302*I302/X302,0)*VLOOKUP(B302,'2-Kosten per locatie'!$A$14:$C$28,3,FALSE)</f>
        <v>0</v>
      </c>
      <c r="S302" s="259">
        <f>IF(M302&gt;0,M302*I302/Y302,0)*VLOOKUP(B302,'2-Kosten per locatie'!$A$14:$C$28,3,FALSE)</f>
        <v>0</v>
      </c>
      <c r="T302" s="259">
        <f>IF(N302&gt;0,N302*I302/Z302,0)*VLOOKUP(B302,'2-Kosten per locatie'!$A$14:$C$28,3,FALSE)</f>
        <v>0</v>
      </c>
      <c r="U302" s="259">
        <f>IF(O302&gt;0,O302*I302/Y302,0)*VLOOKUP(B302,'2-Kosten per locatie'!$A$14:$C$28,3,FALSE)</f>
        <v>0</v>
      </c>
      <c r="V302" s="259">
        <f>IF(P302&gt;0,P302*I302/Z302,0)*VLOOKUP(B302,'2-Kosten per locatie'!$A$14:$C$28,3,FALSE)</f>
        <v>0</v>
      </c>
      <c r="W302" s="348">
        <f>IF(K302="nio",0,IF(K302&gt;0,VLOOKUP(G302,'3-Productie normen'!A:N,VLOOKUP(K302,'3-Productie normen'!$B$27:$C$38,2,FALSE),FALSE)))</f>
        <v>0</v>
      </c>
      <c r="X302" s="348">
        <f t="shared" si="23"/>
        <v>0</v>
      </c>
      <c r="Y302" s="348">
        <f t="shared" si="24"/>
        <v>0</v>
      </c>
      <c r="Z302" s="348">
        <f t="shared" si="25"/>
        <v>0</v>
      </c>
      <c r="AA302" s="349">
        <f>VLOOKUP(G302,'3-Productie normen'!A:Q,15,FALSE)</f>
        <v>235.06999999999988</v>
      </c>
      <c r="AB302" s="350">
        <f>VLOOKUP(G302,'3-Productie normen'!A:Q,16,FALSE)</f>
        <v>0</v>
      </c>
      <c r="AC302" s="349"/>
      <c r="AE302" s="351">
        <f t="shared" si="21"/>
        <v>105.30000000000001</v>
      </c>
    </row>
    <row r="303" spans="1:31" ht="14.1" customHeight="1">
      <c r="A303" s="76">
        <v>303</v>
      </c>
      <c r="B303" s="496" t="s">
        <v>305</v>
      </c>
      <c r="C303" s="312" t="s">
        <v>306</v>
      </c>
      <c r="D303" s="88" t="s">
        <v>307</v>
      </c>
      <c r="E303" s="255">
        <v>20</v>
      </c>
      <c r="F303" s="88" t="s">
        <v>430</v>
      </c>
      <c r="G303" s="88" t="s">
        <v>81</v>
      </c>
      <c r="H303" s="88" t="s">
        <v>311</v>
      </c>
      <c r="I303" s="504">
        <v>6.2</v>
      </c>
      <c r="J303" s="347">
        <f t="shared" si="22"/>
        <v>12</v>
      </c>
      <c r="K303" s="260">
        <v>12</v>
      </c>
      <c r="L303" s="260"/>
      <c r="M303" s="260"/>
      <c r="N303" s="260"/>
      <c r="O303" s="260"/>
      <c r="P303" s="260"/>
      <c r="Q303" s="259" t="e">
        <f>IF(K303="nio",0,IF(K303&gt;0,K303*I303/W303,0))*VLOOKUP(B303,'2-Kosten per locatie'!$A$14:$C$28,3,FALSE)</f>
        <v>#DIV/0!</v>
      </c>
      <c r="R303" s="259">
        <f>IF(L303&gt;0,L303*I303/X303,0)*VLOOKUP(B303,'2-Kosten per locatie'!$A$14:$C$28,3,FALSE)</f>
        <v>0</v>
      </c>
      <c r="S303" s="259">
        <f>IF(M303&gt;0,M303*I303/Y303,0)*VLOOKUP(B303,'2-Kosten per locatie'!$A$14:$C$28,3,FALSE)</f>
        <v>0</v>
      </c>
      <c r="T303" s="259">
        <f>IF(N303&gt;0,N303*I303/Z303,0)*VLOOKUP(B303,'2-Kosten per locatie'!$A$14:$C$28,3,FALSE)</f>
        <v>0</v>
      </c>
      <c r="U303" s="259">
        <f>IF(O303&gt;0,O303*I303/Y303,0)*VLOOKUP(B303,'2-Kosten per locatie'!$A$14:$C$28,3,FALSE)</f>
        <v>0</v>
      </c>
      <c r="V303" s="259">
        <f>IF(P303&gt;0,P303*I303/Z303,0)*VLOOKUP(B303,'2-Kosten per locatie'!$A$14:$C$28,3,FALSE)</f>
        <v>0</v>
      </c>
      <c r="W303" s="348">
        <f>IF(K303="nio",0,IF(K303&gt;0,VLOOKUP(G303,'3-Productie normen'!A:N,VLOOKUP(K303,'3-Productie normen'!$B$27:$C$38,2,FALSE),FALSE)))</f>
        <v>0</v>
      </c>
      <c r="X303" s="348">
        <f t="shared" si="23"/>
        <v>0</v>
      </c>
      <c r="Y303" s="348">
        <f t="shared" si="24"/>
        <v>0</v>
      </c>
      <c r="Z303" s="348">
        <f t="shared" si="25"/>
        <v>0</v>
      </c>
      <c r="AA303" s="349">
        <f>VLOOKUP(G303,'3-Productie normen'!A:Q,15,FALSE)</f>
        <v>235.06999999999988</v>
      </c>
      <c r="AB303" s="350">
        <f>VLOOKUP(G303,'3-Productie normen'!A:Q,16,FALSE)</f>
        <v>0</v>
      </c>
      <c r="AC303" s="349"/>
      <c r="AE303" s="351">
        <f t="shared" si="21"/>
        <v>74.400000000000006</v>
      </c>
    </row>
    <row r="304" spans="1:31" ht="14.1" customHeight="1">
      <c r="A304" s="76">
        <v>304</v>
      </c>
      <c r="B304" s="496" t="s">
        <v>305</v>
      </c>
      <c r="C304" s="312" t="s">
        <v>306</v>
      </c>
      <c r="D304" s="88" t="s">
        <v>307</v>
      </c>
      <c r="E304" s="255">
        <v>21</v>
      </c>
      <c r="F304" s="88" t="s">
        <v>435</v>
      </c>
      <c r="G304" s="88" t="s">
        <v>85</v>
      </c>
      <c r="H304" s="88" t="s">
        <v>311</v>
      </c>
      <c r="I304" s="504">
        <v>14.64</v>
      </c>
      <c r="J304" s="347">
        <f t="shared" si="22"/>
        <v>130</v>
      </c>
      <c r="K304" s="260">
        <v>130</v>
      </c>
      <c r="L304" s="260"/>
      <c r="M304" s="260"/>
      <c r="N304" s="260"/>
      <c r="O304" s="260"/>
      <c r="P304" s="260"/>
      <c r="Q304" s="259" t="e">
        <f>IF(K304="nio",0,IF(K304&gt;0,K304*I304/W304,0))*VLOOKUP(B304,'2-Kosten per locatie'!$A$14:$C$28,3,FALSE)</f>
        <v>#DIV/0!</v>
      </c>
      <c r="R304" s="259">
        <f>IF(L304&gt;0,L304*I304/X304,0)*VLOOKUP(B304,'2-Kosten per locatie'!$A$14:$C$28,3,FALSE)</f>
        <v>0</v>
      </c>
      <c r="S304" s="259">
        <f>IF(M304&gt;0,M304*I304/Y304,0)*VLOOKUP(B304,'2-Kosten per locatie'!$A$14:$C$28,3,FALSE)</f>
        <v>0</v>
      </c>
      <c r="T304" s="259">
        <f>IF(N304&gt;0,N304*I304/Z304,0)*VLOOKUP(B304,'2-Kosten per locatie'!$A$14:$C$28,3,FALSE)</f>
        <v>0</v>
      </c>
      <c r="U304" s="259">
        <f>IF(O304&gt;0,O304*I304/Y304,0)*VLOOKUP(B304,'2-Kosten per locatie'!$A$14:$C$28,3,FALSE)</f>
        <v>0</v>
      </c>
      <c r="V304" s="259">
        <f>IF(P304&gt;0,P304*I304/Z304,0)*VLOOKUP(B304,'2-Kosten per locatie'!$A$14:$C$28,3,FALSE)</f>
        <v>0</v>
      </c>
      <c r="W304" s="348">
        <f>IF(K304="nio",0,IF(K304&gt;0,VLOOKUP(G304,'3-Productie normen'!A:N,VLOOKUP(K304,'3-Productie normen'!$B$27:$C$38,2,FALSE),FALSE)))</f>
        <v>0</v>
      </c>
      <c r="X304" s="348">
        <f t="shared" si="23"/>
        <v>0</v>
      </c>
      <c r="Y304" s="348">
        <f t="shared" si="24"/>
        <v>0</v>
      </c>
      <c r="Z304" s="348">
        <f t="shared" si="25"/>
        <v>0</v>
      </c>
      <c r="AA304" s="349">
        <f>VLOOKUP(G304,'3-Productie normen'!A:Q,15,FALSE)</f>
        <v>1367.5950000000007</v>
      </c>
      <c r="AB304" s="350">
        <f>VLOOKUP(G304,'3-Productie normen'!A:Q,16,FALSE)</f>
        <v>0</v>
      </c>
      <c r="AC304" s="349"/>
      <c r="AE304" s="351">
        <f t="shared" si="21"/>
        <v>1903.2</v>
      </c>
    </row>
    <row r="305" spans="1:31" ht="14.1" customHeight="1">
      <c r="A305" s="76">
        <v>305</v>
      </c>
      <c r="B305" s="496" t="s">
        <v>305</v>
      </c>
      <c r="C305" s="312" t="s">
        <v>306</v>
      </c>
      <c r="D305" s="88" t="s">
        <v>307</v>
      </c>
      <c r="E305" s="255">
        <v>22</v>
      </c>
      <c r="F305" s="88" t="s">
        <v>310</v>
      </c>
      <c r="G305" s="88" t="s">
        <v>81</v>
      </c>
      <c r="H305" s="88" t="s">
        <v>311</v>
      </c>
      <c r="I305" s="504">
        <v>0.81</v>
      </c>
      <c r="J305" s="347">
        <f t="shared" si="22"/>
        <v>130</v>
      </c>
      <c r="K305" s="260">
        <v>130</v>
      </c>
      <c r="L305" s="260"/>
      <c r="M305" s="260"/>
      <c r="N305" s="260"/>
      <c r="O305" s="260"/>
      <c r="P305" s="260"/>
      <c r="Q305" s="259" t="e">
        <f>IF(K305="nio",0,IF(K305&gt;0,K305*I305/W305,0))*VLOOKUP(B305,'2-Kosten per locatie'!$A$14:$C$28,3,FALSE)</f>
        <v>#DIV/0!</v>
      </c>
      <c r="R305" s="259">
        <f>IF(L305&gt;0,L305*I305/X305,0)*VLOOKUP(B305,'2-Kosten per locatie'!$A$14:$C$28,3,FALSE)</f>
        <v>0</v>
      </c>
      <c r="S305" s="259">
        <f>IF(M305&gt;0,M305*I305/Y305,0)*VLOOKUP(B305,'2-Kosten per locatie'!$A$14:$C$28,3,FALSE)</f>
        <v>0</v>
      </c>
      <c r="T305" s="259">
        <f>IF(N305&gt;0,N305*I305/Z305,0)*VLOOKUP(B305,'2-Kosten per locatie'!$A$14:$C$28,3,FALSE)</f>
        <v>0</v>
      </c>
      <c r="U305" s="259">
        <f>IF(O305&gt;0,O305*I305/Y305,0)*VLOOKUP(B305,'2-Kosten per locatie'!$A$14:$C$28,3,FALSE)</f>
        <v>0</v>
      </c>
      <c r="V305" s="259">
        <f>IF(P305&gt;0,P305*I305/Z305,0)*VLOOKUP(B305,'2-Kosten per locatie'!$A$14:$C$28,3,FALSE)</f>
        <v>0</v>
      </c>
      <c r="W305" s="348">
        <f>IF(K305="nio",0,IF(K305&gt;0,VLOOKUP(G305,'3-Productie normen'!A:N,VLOOKUP(K305,'3-Productie normen'!$B$27:$C$38,2,FALSE),FALSE)))</f>
        <v>0</v>
      </c>
      <c r="X305" s="348">
        <f t="shared" si="23"/>
        <v>0</v>
      </c>
      <c r="Y305" s="348">
        <f t="shared" si="24"/>
        <v>0</v>
      </c>
      <c r="Z305" s="348">
        <f t="shared" si="25"/>
        <v>0</v>
      </c>
      <c r="AA305" s="349">
        <f>VLOOKUP(G305,'3-Productie normen'!A:Q,15,FALSE)</f>
        <v>235.06999999999988</v>
      </c>
      <c r="AB305" s="350">
        <f>VLOOKUP(G305,'3-Productie normen'!A:Q,16,FALSE)</f>
        <v>0</v>
      </c>
      <c r="AC305" s="349"/>
      <c r="AE305" s="351">
        <f t="shared" si="21"/>
        <v>105.30000000000001</v>
      </c>
    </row>
    <row r="306" spans="1:31" ht="14.1" customHeight="1">
      <c r="A306" s="76">
        <v>306</v>
      </c>
      <c r="B306" s="496" t="s">
        <v>305</v>
      </c>
      <c r="C306" s="312" t="s">
        <v>306</v>
      </c>
      <c r="D306" s="88" t="s">
        <v>307</v>
      </c>
      <c r="E306" s="255">
        <v>23</v>
      </c>
      <c r="F306" s="88" t="s">
        <v>430</v>
      </c>
      <c r="G306" s="88" t="s">
        <v>81</v>
      </c>
      <c r="H306" s="88" t="s">
        <v>311</v>
      </c>
      <c r="I306" s="504">
        <v>6.2</v>
      </c>
      <c r="J306" s="347">
        <f t="shared" si="22"/>
        <v>12</v>
      </c>
      <c r="K306" s="260">
        <v>12</v>
      </c>
      <c r="L306" s="260"/>
      <c r="M306" s="260"/>
      <c r="N306" s="260"/>
      <c r="O306" s="260"/>
      <c r="P306" s="260"/>
      <c r="Q306" s="259" t="e">
        <f>IF(K306="nio",0,IF(K306&gt;0,K306*I306/W306,0))*VLOOKUP(B306,'2-Kosten per locatie'!$A$14:$C$28,3,FALSE)</f>
        <v>#DIV/0!</v>
      </c>
      <c r="R306" s="259">
        <f>IF(L306&gt;0,L306*I306/X306,0)*VLOOKUP(B306,'2-Kosten per locatie'!$A$14:$C$28,3,FALSE)</f>
        <v>0</v>
      </c>
      <c r="S306" s="259">
        <f>IF(M306&gt;0,M306*I306/Y306,0)*VLOOKUP(B306,'2-Kosten per locatie'!$A$14:$C$28,3,FALSE)</f>
        <v>0</v>
      </c>
      <c r="T306" s="259">
        <f>IF(N306&gt;0,N306*I306/Z306,0)*VLOOKUP(B306,'2-Kosten per locatie'!$A$14:$C$28,3,FALSE)</f>
        <v>0</v>
      </c>
      <c r="U306" s="259">
        <f>IF(O306&gt;0,O306*I306/Y306,0)*VLOOKUP(B306,'2-Kosten per locatie'!$A$14:$C$28,3,FALSE)</f>
        <v>0</v>
      </c>
      <c r="V306" s="259">
        <f>IF(P306&gt;0,P306*I306/Z306,0)*VLOOKUP(B306,'2-Kosten per locatie'!$A$14:$C$28,3,FALSE)</f>
        <v>0</v>
      </c>
      <c r="W306" s="348">
        <f>IF(K306="nio",0,IF(K306&gt;0,VLOOKUP(G306,'3-Productie normen'!A:N,VLOOKUP(K306,'3-Productie normen'!$B$27:$C$38,2,FALSE),FALSE)))</f>
        <v>0</v>
      </c>
      <c r="X306" s="348">
        <f t="shared" si="23"/>
        <v>0</v>
      </c>
      <c r="Y306" s="348">
        <f t="shared" si="24"/>
        <v>0</v>
      </c>
      <c r="Z306" s="348">
        <f t="shared" si="25"/>
        <v>0</v>
      </c>
      <c r="AA306" s="349">
        <f>VLOOKUP(G306,'3-Productie normen'!A:Q,15,FALSE)</f>
        <v>235.06999999999988</v>
      </c>
      <c r="AB306" s="350">
        <f>VLOOKUP(G306,'3-Productie normen'!A:Q,16,FALSE)</f>
        <v>0</v>
      </c>
      <c r="AC306" s="349"/>
      <c r="AE306" s="351">
        <f t="shared" si="21"/>
        <v>74.400000000000006</v>
      </c>
    </row>
    <row r="307" spans="1:31" ht="14.1" customHeight="1">
      <c r="A307" s="76">
        <v>307</v>
      </c>
      <c r="B307" s="496" t="s">
        <v>305</v>
      </c>
      <c r="C307" s="312" t="s">
        <v>306</v>
      </c>
      <c r="D307" s="88" t="s">
        <v>307</v>
      </c>
      <c r="E307" s="255">
        <v>24</v>
      </c>
      <c r="F307" s="88" t="s">
        <v>436</v>
      </c>
      <c r="G307" s="88" t="s">
        <v>85</v>
      </c>
      <c r="H307" s="88" t="s">
        <v>311</v>
      </c>
      <c r="I307" s="504">
        <v>14.64</v>
      </c>
      <c r="J307" s="347">
        <f t="shared" si="22"/>
        <v>130</v>
      </c>
      <c r="K307" s="260">
        <v>130</v>
      </c>
      <c r="L307" s="260"/>
      <c r="M307" s="260"/>
      <c r="N307" s="260"/>
      <c r="O307" s="260"/>
      <c r="P307" s="260"/>
      <c r="Q307" s="259" t="e">
        <f>IF(K307="nio",0,IF(K307&gt;0,K307*I307/W307,0))*VLOOKUP(B307,'2-Kosten per locatie'!$A$14:$C$28,3,FALSE)</f>
        <v>#DIV/0!</v>
      </c>
      <c r="R307" s="259">
        <f>IF(L307&gt;0,L307*I307/X307,0)*VLOOKUP(B307,'2-Kosten per locatie'!$A$14:$C$28,3,FALSE)</f>
        <v>0</v>
      </c>
      <c r="S307" s="259">
        <f>IF(M307&gt;0,M307*I307/Y307,0)*VLOOKUP(B307,'2-Kosten per locatie'!$A$14:$C$28,3,FALSE)</f>
        <v>0</v>
      </c>
      <c r="T307" s="259">
        <f>IF(N307&gt;0,N307*I307/Z307,0)*VLOOKUP(B307,'2-Kosten per locatie'!$A$14:$C$28,3,FALSE)</f>
        <v>0</v>
      </c>
      <c r="U307" s="259">
        <f>IF(O307&gt;0,O307*I307/Y307,0)*VLOOKUP(B307,'2-Kosten per locatie'!$A$14:$C$28,3,FALSE)</f>
        <v>0</v>
      </c>
      <c r="V307" s="259">
        <f>IF(P307&gt;0,P307*I307/Z307,0)*VLOOKUP(B307,'2-Kosten per locatie'!$A$14:$C$28,3,FALSE)</f>
        <v>0</v>
      </c>
      <c r="W307" s="348">
        <f>IF(K307="nio",0,IF(K307&gt;0,VLOOKUP(G307,'3-Productie normen'!A:N,VLOOKUP(K307,'3-Productie normen'!$B$27:$C$38,2,FALSE),FALSE)))</f>
        <v>0</v>
      </c>
      <c r="X307" s="348">
        <f t="shared" si="23"/>
        <v>0</v>
      </c>
      <c r="Y307" s="348">
        <f t="shared" si="24"/>
        <v>0</v>
      </c>
      <c r="Z307" s="348">
        <f t="shared" si="25"/>
        <v>0</v>
      </c>
      <c r="AA307" s="349">
        <f>VLOOKUP(G307,'3-Productie normen'!A:Q,15,FALSE)</f>
        <v>1367.5950000000007</v>
      </c>
      <c r="AB307" s="350">
        <f>VLOOKUP(G307,'3-Productie normen'!A:Q,16,FALSE)</f>
        <v>0</v>
      </c>
      <c r="AC307" s="349"/>
      <c r="AE307" s="351">
        <f t="shared" si="21"/>
        <v>1903.2</v>
      </c>
    </row>
    <row r="308" spans="1:31" ht="14.1" customHeight="1">
      <c r="A308" s="76">
        <v>308</v>
      </c>
      <c r="B308" s="496" t="s">
        <v>305</v>
      </c>
      <c r="C308" s="312" t="s">
        <v>306</v>
      </c>
      <c r="D308" s="88" t="s">
        <v>307</v>
      </c>
      <c r="E308" s="255">
        <v>25</v>
      </c>
      <c r="F308" s="88" t="s">
        <v>310</v>
      </c>
      <c r="G308" s="88" t="s">
        <v>81</v>
      </c>
      <c r="H308" s="88" t="s">
        <v>311</v>
      </c>
      <c r="I308" s="504">
        <v>0.81</v>
      </c>
      <c r="J308" s="347">
        <f t="shared" si="22"/>
        <v>130</v>
      </c>
      <c r="K308" s="260">
        <v>130</v>
      </c>
      <c r="L308" s="260"/>
      <c r="M308" s="260"/>
      <c r="N308" s="260"/>
      <c r="O308" s="260"/>
      <c r="P308" s="260"/>
      <c r="Q308" s="259" t="e">
        <f>IF(K308="nio",0,IF(K308&gt;0,K308*I308/W308,0))*VLOOKUP(B308,'2-Kosten per locatie'!$A$14:$C$28,3,FALSE)</f>
        <v>#DIV/0!</v>
      </c>
      <c r="R308" s="259">
        <f>IF(L308&gt;0,L308*I308/X308,0)*VLOOKUP(B308,'2-Kosten per locatie'!$A$14:$C$28,3,FALSE)</f>
        <v>0</v>
      </c>
      <c r="S308" s="259">
        <f>IF(M308&gt;0,M308*I308/Y308,0)*VLOOKUP(B308,'2-Kosten per locatie'!$A$14:$C$28,3,FALSE)</f>
        <v>0</v>
      </c>
      <c r="T308" s="259">
        <f>IF(N308&gt;0,N308*I308/Z308,0)*VLOOKUP(B308,'2-Kosten per locatie'!$A$14:$C$28,3,FALSE)</f>
        <v>0</v>
      </c>
      <c r="U308" s="259">
        <f>IF(O308&gt;0,O308*I308/Y308,0)*VLOOKUP(B308,'2-Kosten per locatie'!$A$14:$C$28,3,FALSE)</f>
        <v>0</v>
      </c>
      <c r="V308" s="259">
        <f>IF(P308&gt;0,P308*I308/Z308,0)*VLOOKUP(B308,'2-Kosten per locatie'!$A$14:$C$28,3,FALSE)</f>
        <v>0</v>
      </c>
      <c r="W308" s="348">
        <f>IF(K308="nio",0,IF(K308&gt;0,VLOOKUP(G308,'3-Productie normen'!A:N,VLOOKUP(K308,'3-Productie normen'!$B$27:$C$38,2,FALSE),FALSE)))</f>
        <v>0</v>
      </c>
      <c r="X308" s="348">
        <f t="shared" si="23"/>
        <v>0</v>
      </c>
      <c r="Y308" s="348">
        <f t="shared" si="24"/>
        <v>0</v>
      </c>
      <c r="Z308" s="348">
        <f t="shared" si="25"/>
        <v>0</v>
      </c>
      <c r="AA308" s="349">
        <f>VLOOKUP(G308,'3-Productie normen'!A:Q,15,FALSE)</f>
        <v>235.06999999999988</v>
      </c>
      <c r="AB308" s="350">
        <f>VLOOKUP(G308,'3-Productie normen'!A:Q,16,FALSE)</f>
        <v>0</v>
      </c>
      <c r="AC308" s="349"/>
      <c r="AE308" s="351">
        <f t="shared" si="21"/>
        <v>105.30000000000001</v>
      </c>
    </row>
    <row r="309" spans="1:31" ht="14.1" customHeight="1">
      <c r="A309" s="76">
        <v>309</v>
      </c>
      <c r="B309" s="496" t="s">
        <v>305</v>
      </c>
      <c r="C309" s="312" t="s">
        <v>306</v>
      </c>
      <c r="D309" s="88" t="s">
        <v>307</v>
      </c>
      <c r="E309" s="255">
        <v>26</v>
      </c>
      <c r="F309" s="88" t="s">
        <v>430</v>
      </c>
      <c r="G309" s="88" t="s">
        <v>81</v>
      </c>
      <c r="H309" s="88" t="s">
        <v>311</v>
      </c>
      <c r="I309" s="504">
        <v>6.2</v>
      </c>
      <c r="J309" s="347">
        <f t="shared" si="22"/>
        <v>12</v>
      </c>
      <c r="K309" s="260">
        <v>12</v>
      </c>
      <c r="L309" s="260"/>
      <c r="M309" s="260"/>
      <c r="N309" s="260"/>
      <c r="O309" s="260"/>
      <c r="P309" s="260"/>
      <c r="Q309" s="259" t="e">
        <f>IF(K309="nio",0,IF(K309&gt;0,K309*I309/W309,0))*VLOOKUP(B309,'2-Kosten per locatie'!$A$14:$C$28,3,FALSE)</f>
        <v>#DIV/0!</v>
      </c>
      <c r="R309" s="259">
        <f>IF(L309&gt;0,L309*I309/X309,0)*VLOOKUP(B309,'2-Kosten per locatie'!$A$14:$C$28,3,FALSE)</f>
        <v>0</v>
      </c>
      <c r="S309" s="259">
        <f>IF(M309&gt;0,M309*I309/Y309,0)*VLOOKUP(B309,'2-Kosten per locatie'!$A$14:$C$28,3,FALSE)</f>
        <v>0</v>
      </c>
      <c r="T309" s="259">
        <f>IF(N309&gt;0,N309*I309/Z309,0)*VLOOKUP(B309,'2-Kosten per locatie'!$A$14:$C$28,3,FALSE)</f>
        <v>0</v>
      </c>
      <c r="U309" s="259">
        <f>IF(O309&gt;0,O309*I309/Y309,0)*VLOOKUP(B309,'2-Kosten per locatie'!$A$14:$C$28,3,FALSE)</f>
        <v>0</v>
      </c>
      <c r="V309" s="259">
        <f>IF(P309&gt;0,P309*I309/Z309,0)*VLOOKUP(B309,'2-Kosten per locatie'!$A$14:$C$28,3,FALSE)</f>
        <v>0</v>
      </c>
      <c r="W309" s="348">
        <f>IF(K309="nio",0,IF(K309&gt;0,VLOOKUP(G309,'3-Productie normen'!A:N,VLOOKUP(K309,'3-Productie normen'!$B$27:$C$38,2,FALSE),FALSE)))</f>
        <v>0</v>
      </c>
      <c r="X309" s="348">
        <f t="shared" si="23"/>
        <v>0</v>
      </c>
      <c r="Y309" s="348">
        <f t="shared" si="24"/>
        <v>0</v>
      </c>
      <c r="Z309" s="348">
        <f t="shared" si="25"/>
        <v>0</v>
      </c>
      <c r="AA309" s="349">
        <f>VLOOKUP(G309,'3-Productie normen'!A:Q,15,FALSE)</f>
        <v>235.06999999999988</v>
      </c>
      <c r="AB309" s="350">
        <f>VLOOKUP(G309,'3-Productie normen'!A:Q,16,FALSE)</f>
        <v>0</v>
      </c>
      <c r="AC309" s="349"/>
      <c r="AE309" s="351">
        <f t="shared" si="21"/>
        <v>74.400000000000006</v>
      </c>
    </row>
    <row r="310" spans="1:31" ht="14.1" customHeight="1">
      <c r="A310" s="76">
        <v>310</v>
      </c>
      <c r="B310" s="496" t="s">
        <v>305</v>
      </c>
      <c r="C310" s="312" t="s">
        <v>306</v>
      </c>
      <c r="D310" s="88" t="s">
        <v>307</v>
      </c>
      <c r="E310" s="255">
        <v>27</v>
      </c>
      <c r="F310" s="88" t="s">
        <v>437</v>
      </c>
      <c r="G310" s="88" t="s">
        <v>85</v>
      </c>
      <c r="H310" s="88" t="s">
        <v>311</v>
      </c>
      <c r="I310" s="504">
        <v>14.64</v>
      </c>
      <c r="J310" s="347">
        <f t="shared" si="22"/>
        <v>130</v>
      </c>
      <c r="K310" s="260">
        <v>130</v>
      </c>
      <c r="L310" s="260"/>
      <c r="M310" s="260"/>
      <c r="N310" s="260"/>
      <c r="O310" s="260"/>
      <c r="P310" s="260"/>
      <c r="Q310" s="259" t="e">
        <f>IF(K310="nio",0,IF(K310&gt;0,K310*I310/W310,0))*VLOOKUP(B310,'2-Kosten per locatie'!$A$14:$C$28,3,FALSE)</f>
        <v>#DIV/0!</v>
      </c>
      <c r="R310" s="259">
        <f>IF(L310&gt;0,L310*I310/X310,0)*VLOOKUP(B310,'2-Kosten per locatie'!$A$14:$C$28,3,FALSE)</f>
        <v>0</v>
      </c>
      <c r="S310" s="259">
        <f>IF(M310&gt;0,M310*I310/Y310,0)*VLOOKUP(B310,'2-Kosten per locatie'!$A$14:$C$28,3,FALSE)</f>
        <v>0</v>
      </c>
      <c r="T310" s="259">
        <f>IF(N310&gt;0,N310*I310/Z310,0)*VLOOKUP(B310,'2-Kosten per locatie'!$A$14:$C$28,3,FALSE)</f>
        <v>0</v>
      </c>
      <c r="U310" s="259">
        <f>IF(O310&gt;0,O310*I310/Y310,0)*VLOOKUP(B310,'2-Kosten per locatie'!$A$14:$C$28,3,FALSE)</f>
        <v>0</v>
      </c>
      <c r="V310" s="259">
        <f>IF(P310&gt;0,P310*I310/Z310,0)*VLOOKUP(B310,'2-Kosten per locatie'!$A$14:$C$28,3,FALSE)</f>
        <v>0</v>
      </c>
      <c r="W310" s="348">
        <f>IF(K310="nio",0,IF(K310&gt;0,VLOOKUP(G310,'3-Productie normen'!A:N,VLOOKUP(K310,'3-Productie normen'!$B$27:$C$38,2,FALSE),FALSE)))</f>
        <v>0</v>
      </c>
      <c r="X310" s="348">
        <f t="shared" si="23"/>
        <v>0</v>
      </c>
      <c r="Y310" s="348">
        <f t="shared" si="24"/>
        <v>0</v>
      </c>
      <c r="Z310" s="348">
        <f t="shared" si="25"/>
        <v>0</v>
      </c>
      <c r="AA310" s="349">
        <f>VLOOKUP(G310,'3-Productie normen'!A:Q,15,FALSE)</f>
        <v>1367.5950000000007</v>
      </c>
      <c r="AB310" s="350">
        <f>VLOOKUP(G310,'3-Productie normen'!A:Q,16,FALSE)</f>
        <v>0</v>
      </c>
      <c r="AC310" s="349"/>
      <c r="AE310" s="351">
        <f t="shared" si="21"/>
        <v>1903.2</v>
      </c>
    </row>
    <row r="311" spans="1:31" ht="14.1" customHeight="1">
      <c r="A311" s="76">
        <v>311</v>
      </c>
      <c r="B311" s="496" t="s">
        <v>305</v>
      </c>
      <c r="C311" s="312" t="s">
        <v>306</v>
      </c>
      <c r="D311" s="88" t="s">
        <v>307</v>
      </c>
      <c r="E311" s="255">
        <v>28</v>
      </c>
      <c r="F311" s="88" t="s">
        <v>310</v>
      </c>
      <c r="G311" s="88" t="s">
        <v>81</v>
      </c>
      <c r="H311" s="88" t="s">
        <v>311</v>
      </c>
      <c r="I311" s="504">
        <v>0.81</v>
      </c>
      <c r="J311" s="347">
        <f t="shared" si="22"/>
        <v>130</v>
      </c>
      <c r="K311" s="260">
        <v>130</v>
      </c>
      <c r="L311" s="260"/>
      <c r="M311" s="260"/>
      <c r="N311" s="260"/>
      <c r="O311" s="260"/>
      <c r="P311" s="260"/>
      <c r="Q311" s="259" t="e">
        <f>IF(K311="nio",0,IF(K311&gt;0,K311*I311/W311,0))*VLOOKUP(B311,'2-Kosten per locatie'!$A$14:$C$28,3,FALSE)</f>
        <v>#DIV/0!</v>
      </c>
      <c r="R311" s="259">
        <f>IF(L311&gt;0,L311*I311/X311,0)*VLOOKUP(B311,'2-Kosten per locatie'!$A$14:$C$28,3,FALSE)</f>
        <v>0</v>
      </c>
      <c r="S311" s="259">
        <f>IF(M311&gt;0,M311*I311/Y311,0)*VLOOKUP(B311,'2-Kosten per locatie'!$A$14:$C$28,3,FALSE)</f>
        <v>0</v>
      </c>
      <c r="T311" s="259">
        <f>IF(N311&gt;0,N311*I311/Z311,0)*VLOOKUP(B311,'2-Kosten per locatie'!$A$14:$C$28,3,FALSE)</f>
        <v>0</v>
      </c>
      <c r="U311" s="259">
        <f>IF(O311&gt;0,O311*I311/Y311,0)*VLOOKUP(B311,'2-Kosten per locatie'!$A$14:$C$28,3,FALSE)</f>
        <v>0</v>
      </c>
      <c r="V311" s="259">
        <f>IF(P311&gt;0,P311*I311/Z311,0)*VLOOKUP(B311,'2-Kosten per locatie'!$A$14:$C$28,3,FALSE)</f>
        <v>0</v>
      </c>
      <c r="W311" s="348">
        <f>IF(K311="nio",0,IF(K311&gt;0,VLOOKUP(G311,'3-Productie normen'!A:N,VLOOKUP(K311,'3-Productie normen'!$B$27:$C$38,2,FALSE),FALSE)))</f>
        <v>0</v>
      </c>
      <c r="X311" s="348">
        <f t="shared" si="23"/>
        <v>0</v>
      </c>
      <c r="Y311" s="348">
        <f t="shared" si="24"/>
        <v>0</v>
      </c>
      <c r="Z311" s="348">
        <f t="shared" si="25"/>
        <v>0</v>
      </c>
      <c r="AA311" s="349">
        <f>VLOOKUP(G311,'3-Productie normen'!A:Q,15,FALSE)</f>
        <v>235.06999999999988</v>
      </c>
      <c r="AB311" s="350">
        <f>VLOOKUP(G311,'3-Productie normen'!A:Q,16,FALSE)</f>
        <v>0</v>
      </c>
      <c r="AC311" s="349"/>
      <c r="AE311" s="351">
        <f t="shared" si="21"/>
        <v>105.30000000000001</v>
      </c>
    </row>
    <row r="312" spans="1:31" ht="14.1" customHeight="1">
      <c r="A312" s="76">
        <v>312</v>
      </c>
      <c r="B312" s="496" t="s">
        <v>305</v>
      </c>
      <c r="C312" s="312" t="s">
        <v>306</v>
      </c>
      <c r="D312" s="88" t="s">
        <v>307</v>
      </c>
      <c r="E312" s="255">
        <v>29</v>
      </c>
      <c r="F312" s="88" t="s">
        <v>430</v>
      </c>
      <c r="G312" s="88" t="s">
        <v>81</v>
      </c>
      <c r="H312" s="88" t="s">
        <v>311</v>
      </c>
      <c r="I312" s="504">
        <v>6.2</v>
      </c>
      <c r="J312" s="347">
        <f t="shared" si="22"/>
        <v>12</v>
      </c>
      <c r="K312" s="260">
        <v>12</v>
      </c>
      <c r="L312" s="260"/>
      <c r="M312" s="260"/>
      <c r="N312" s="260"/>
      <c r="O312" s="260"/>
      <c r="P312" s="260"/>
      <c r="Q312" s="259" t="e">
        <f>IF(K312="nio",0,IF(K312&gt;0,K312*I312/W312,0))*VLOOKUP(B312,'2-Kosten per locatie'!$A$14:$C$28,3,FALSE)</f>
        <v>#DIV/0!</v>
      </c>
      <c r="R312" s="259">
        <f>IF(L312&gt;0,L312*I312/X312,0)*VLOOKUP(B312,'2-Kosten per locatie'!$A$14:$C$28,3,FALSE)</f>
        <v>0</v>
      </c>
      <c r="S312" s="259">
        <f>IF(M312&gt;0,M312*I312/Y312,0)*VLOOKUP(B312,'2-Kosten per locatie'!$A$14:$C$28,3,FALSE)</f>
        <v>0</v>
      </c>
      <c r="T312" s="259">
        <f>IF(N312&gt;0,N312*I312/Z312,0)*VLOOKUP(B312,'2-Kosten per locatie'!$A$14:$C$28,3,FALSE)</f>
        <v>0</v>
      </c>
      <c r="U312" s="259">
        <f>IF(O312&gt;0,O312*I312/Y312,0)*VLOOKUP(B312,'2-Kosten per locatie'!$A$14:$C$28,3,FALSE)</f>
        <v>0</v>
      </c>
      <c r="V312" s="259">
        <f>IF(P312&gt;0,P312*I312/Z312,0)*VLOOKUP(B312,'2-Kosten per locatie'!$A$14:$C$28,3,FALSE)</f>
        <v>0</v>
      </c>
      <c r="W312" s="348">
        <f>IF(K312="nio",0,IF(K312&gt;0,VLOOKUP(G312,'3-Productie normen'!A:N,VLOOKUP(K312,'3-Productie normen'!$B$27:$C$38,2,FALSE),FALSE)))</f>
        <v>0</v>
      </c>
      <c r="X312" s="348">
        <f t="shared" si="23"/>
        <v>0</v>
      </c>
      <c r="Y312" s="348">
        <f t="shared" si="24"/>
        <v>0</v>
      </c>
      <c r="Z312" s="348">
        <f t="shared" si="25"/>
        <v>0</v>
      </c>
      <c r="AA312" s="349">
        <f>VLOOKUP(G312,'3-Productie normen'!A:Q,15,FALSE)</f>
        <v>235.06999999999988</v>
      </c>
      <c r="AB312" s="350">
        <f>VLOOKUP(G312,'3-Productie normen'!A:Q,16,FALSE)</f>
        <v>0</v>
      </c>
      <c r="AC312" s="349"/>
      <c r="AE312" s="351">
        <f t="shared" si="21"/>
        <v>74.400000000000006</v>
      </c>
    </row>
    <row r="313" spans="1:31" ht="14.1" customHeight="1">
      <c r="A313" s="76">
        <v>313</v>
      </c>
      <c r="B313" s="496" t="s">
        <v>305</v>
      </c>
      <c r="C313" s="312" t="s">
        <v>306</v>
      </c>
      <c r="D313" s="88" t="s">
        <v>307</v>
      </c>
      <c r="E313" s="255">
        <v>30</v>
      </c>
      <c r="F313" s="88" t="s">
        <v>438</v>
      </c>
      <c r="G313" s="88" t="s">
        <v>85</v>
      </c>
      <c r="H313" s="88" t="s">
        <v>311</v>
      </c>
      <c r="I313" s="504">
        <v>14.64</v>
      </c>
      <c r="J313" s="347">
        <f t="shared" si="22"/>
        <v>130</v>
      </c>
      <c r="K313" s="260">
        <v>130</v>
      </c>
      <c r="L313" s="260"/>
      <c r="M313" s="260"/>
      <c r="N313" s="260"/>
      <c r="O313" s="260"/>
      <c r="P313" s="260"/>
      <c r="Q313" s="259" t="e">
        <f>IF(K313="nio",0,IF(K313&gt;0,K313*I313/W313,0))*VLOOKUP(B313,'2-Kosten per locatie'!$A$14:$C$28,3,FALSE)</f>
        <v>#DIV/0!</v>
      </c>
      <c r="R313" s="259">
        <f>IF(L313&gt;0,L313*I313/X313,0)*VLOOKUP(B313,'2-Kosten per locatie'!$A$14:$C$28,3,FALSE)</f>
        <v>0</v>
      </c>
      <c r="S313" s="259">
        <f>IF(M313&gt;0,M313*I313/Y313,0)*VLOOKUP(B313,'2-Kosten per locatie'!$A$14:$C$28,3,FALSE)</f>
        <v>0</v>
      </c>
      <c r="T313" s="259">
        <f>IF(N313&gt;0,N313*I313/Z313,0)*VLOOKUP(B313,'2-Kosten per locatie'!$A$14:$C$28,3,FALSE)</f>
        <v>0</v>
      </c>
      <c r="U313" s="259">
        <f>IF(O313&gt;0,O313*I313/Y313,0)*VLOOKUP(B313,'2-Kosten per locatie'!$A$14:$C$28,3,FALSE)</f>
        <v>0</v>
      </c>
      <c r="V313" s="259">
        <f>IF(P313&gt;0,P313*I313/Z313,0)*VLOOKUP(B313,'2-Kosten per locatie'!$A$14:$C$28,3,FALSE)</f>
        <v>0</v>
      </c>
      <c r="W313" s="348">
        <f>IF(K313="nio",0,IF(K313&gt;0,VLOOKUP(G313,'3-Productie normen'!A:N,VLOOKUP(K313,'3-Productie normen'!$B$27:$C$38,2,FALSE),FALSE)))</f>
        <v>0</v>
      </c>
      <c r="X313" s="348">
        <f t="shared" si="23"/>
        <v>0</v>
      </c>
      <c r="Y313" s="348">
        <f t="shared" si="24"/>
        <v>0</v>
      </c>
      <c r="Z313" s="348">
        <f t="shared" si="25"/>
        <v>0</v>
      </c>
      <c r="AA313" s="349">
        <f>VLOOKUP(G313,'3-Productie normen'!A:Q,15,FALSE)</f>
        <v>1367.5950000000007</v>
      </c>
      <c r="AB313" s="350">
        <f>VLOOKUP(G313,'3-Productie normen'!A:Q,16,FALSE)</f>
        <v>0</v>
      </c>
      <c r="AC313" s="349"/>
      <c r="AE313" s="351">
        <f t="shared" si="21"/>
        <v>1903.2</v>
      </c>
    </row>
    <row r="314" spans="1:31" ht="14.1" customHeight="1">
      <c r="A314" s="76">
        <v>314</v>
      </c>
      <c r="B314" s="496" t="s">
        <v>305</v>
      </c>
      <c r="C314" s="312" t="s">
        <v>306</v>
      </c>
      <c r="D314" s="88" t="s">
        <v>307</v>
      </c>
      <c r="E314" s="255">
        <v>31</v>
      </c>
      <c r="F314" s="88" t="s">
        <v>310</v>
      </c>
      <c r="G314" s="88" t="s">
        <v>81</v>
      </c>
      <c r="H314" s="88" t="s">
        <v>311</v>
      </c>
      <c r="I314" s="504">
        <v>0.81</v>
      </c>
      <c r="J314" s="347">
        <f t="shared" si="22"/>
        <v>130</v>
      </c>
      <c r="K314" s="260">
        <v>130</v>
      </c>
      <c r="L314" s="260"/>
      <c r="M314" s="260"/>
      <c r="N314" s="260"/>
      <c r="O314" s="260"/>
      <c r="P314" s="260"/>
      <c r="Q314" s="259" t="e">
        <f>IF(K314="nio",0,IF(K314&gt;0,K314*I314/W314,0))*VLOOKUP(B314,'2-Kosten per locatie'!$A$14:$C$28,3,FALSE)</f>
        <v>#DIV/0!</v>
      </c>
      <c r="R314" s="259">
        <f>IF(L314&gt;0,L314*I314/X314,0)*VLOOKUP(B314,'2-Kosten per locatie'!$A$14:$C$28,3,FALSE)</f>
        <v>0</v>
      </c>
      <c r="S314" s="259">
        <f>IF(M314&gt;0,M314*I314/Y314,0)*VLOOKUP(B314,'2-Kosten per locatie'!$A$14:$C$28,3,FALSE)</f>
        <v>0</v>
      </c>
      <c r="T314" s="259">
        <f>IF(N314&gt;0,N314*I314/Z314,0)*VLOOKUP(B314,'2-Kosten per locatie'!$A$14:$C$28,3,FALSE)</f>
        <v>0</v>
      </c>
      <c r="U314" s="259">
        <f>IF(O314&gt;0,O314*I314/Y314,0)*VLOOKUP(B314,'2-Kosten per locatie'!$A$14:$C$28,3,FALSE)</f>
        <v>0</v>
      </c>
      <c r="V314" s="259">
        <f>IF(P314&gt;0,P314*I314/Z314,0)*VLOOKUP(B314,'2-Kosten per locatie'!$A$14:$C$28,3,FALSE)</f>
        <v>0</v>
      </c>
      <c r="W314" s="348">
        <f>IF(K314="nio",0,IF(K314&gt;0,VLOOKUP(G314,'3-Productie normen'!A:N,VLOOKUP(K314,'3-Productie normen'!$B$27:$C$38,2,FALSE),FALSE)))</f>
        <v>0</v>
      </c>
      <c r="X314" s="348">
        <f t="shared" si="23"/>
        <v>0</v>
      </c>
      <c r="Y314" s="348">
        <f t="shared" si="24"/>
        <v>0</v>
      </c>
      <c r="Z314" s="348">
        <f t="shared" si="25"/>
        <v>0</v>
      </c>
      <c r="AA314" s="349">
        <f>VLOOKUP(G314,'3-Productie normen'!A:Q,15,FALSE)</f>
        <v>235.06999999999988</v>
      </c>
      <c r="AB314" s="350">
        <f>VLOOKUP(G314,'3-Productie normen'!A:Q,16,FALSE)</f>
        <v>0</v>
      </c>
      <c r="AC314" s="349"/>
      <c r="AE314" s="351">
        <f t="shared" si="21"/>
        <v>105.30000000000001</v>
      </c>
    </row>
    <row r="315" spans="1:31" ht="14.1" customHeight="1">
      <c r="A315" s="76">
        <v>315</v>
      </c>
      <c r="B315" s="496" t="s">
        <v>305</v>
      </c>
      <c r="C315" s="312" t="s">
        <v>306</v>
      </c>
      <c r="D315" s="88" t="s">
        <v>307</v>
      </c>
      <c r="E315" s="255">
        <v>32</v>
      </c>
      <c r="F315" s="88" t="s">
        <v>430</v>
      </c>
      <c r="G315" s="88" t="s">
        <v>81</v>
      </c>
      <c r="H315" s="88" t="s">
        <v>311</v>
      </c>
      <c r="I315" s="504">
        <v>6.2</v>
      </c>
      <c r="J315" s="347">
        <f t="shared" si="22"/>
        <v>12</v>
      </c>
      <c r="K315" s="260">
        <v>12</v>
      </c>
      <c r="L315" s="260"/>
      <c r="M315" s="260"/>
      <c r="N315" s="260"/>
      <c r="O315" s="260"/>
      <c r="P315" s="260"/>
      <c r="Q315" s="259" t="e">
        <f>IF(K315="nio",0,IF(K315&gt;0,K315*I315/W315,0))*VLOOKUP(B315,'2-Kosten per locatie'!$A$14:$C$28,3,FALSE)</f>
        <v>#DIV/0!</v>
      </c>
      <c r="R315" s="259">
        <f>IF(L315&gt;0,L315*I315/X315,0)*VLOOKUP(B315,'2-Kosten per locatie'!$A$14:$C$28,3,FALSE)</f>
        <v>0</v>
      </c>
      <c r="S315" s="259">
        <f>IF(M315&gt;0,M315*I315/Y315,0)*VLOOKUP(B315,'2-Kosten per locatie'!$A$14:$C$28,3,FALSE)</f>
        <v>0</v>
      </c>
      <c r="T315" s="259">
        <f>IF(N315&gt;0,N315*I315/Z315,0)*VLOOKUP(B315,'2-Kosten per locatie'!$A$14:$C$28,3,FALSE)</f>
        <v>0</v>
      </c>
      <c r="U315" s="259">
        <f>IF(O315&gt;0,O315*I315/Y315,0)*VLOOKUP(B315,'2-Kosten per locatie'!$A$14:$C$28,3,FALSE)</f>
        <v>0</v>
      </c>
      <c r="V315" s="259">
        <f>IF(P315&gt;0,P315*I315/Z315,0)*VLOOKUP(B315,'2-Kosten per locatie'!$A$14:$C$28,3,FALSE)</f>
        <v>0</v>
      </c>
      <c r="W315" s="348">
        <f>IF(K315="nio",0,IF(K315&gt;0,VLOOKUP(G315,'3-Productie normen'!A:N,VLOOKUP(K315,'3-Productie normen'!$B$27:$C$38,2,FALSE),FALSE)))</f>
        <v>0</v>
      </c>
      <c r="X315" s="348">
        <f t="shared" si="23"/>
        <v>0</v>
      </c>
      <c r="Y315" s="348">
        <f t="shared" si="24"/>
        <v>0</v>
      </c>
      <c r="Z315" s="348">
        <f t="shared" si="25"/>
        <v>0</v>
      </c>
      <c r="AA315" s="349">
        <f>VLOOKUP(G315,'3-Productie normen'!A:Q,15,FALSE)</f>
        <v>235.06999999999988</v>
      </c>
      <c r="AB315" s="350">
        <f>VLOOKUP(G315,'3-Productie normen'!A:Q,16,FALSE)</f>
        <v>0</v>
      </c>
      <c r="AC315" s="349"/>
      <c r="AE315" s="351">
        <f t="shared" si="21"/>
        <v>74.400000000000006</v>
      </c>
    </row>
    <row r="316" spans="1:31" ht="14.1" customHeight="1">
      <c r="A316" s="76">
        <v>316</v>
      </c>
      <c r="B316" s="496" t="s">
        <v>305</v>
      </c>
      <c r="C316" s="312" t="s">
        <v>306</v>
      </c>
      <c r="D316" s="88" t="s">
        <v>307</v>
      </c>
      <c r="E316" s="255">
        <v>33</v>
      </c>
      <c r="F316" s="88" t="s">
        <v>439</v>
      </c>
      <c r="G316" s="88" t="s">
        <v>85</v>
      </c>
      <c r="H316" s="88" t="s">
        <v>311</v>
      </c>
      <c r="I316" s="504">
        <v>14.64</v>
      </c>
      <c r="J316" s="347">
        <f t="shared" si="22"/>
        <v>130</v>
      </c>
      <c r="K316" s="260">
        <v>130</v>
      </c>
      <c r="L316" s="260"/>
      <c r="M316" s="260"/>
      <c r="N316" s="260"/>
      <c r="O316" s="260"/>
      <c r="P316" s="260"/>
      <c r="Q316" s="259" t="e">
        <f>IF(K316="nio",0,IF(K316&gt;0,K316*I316/W316,0))*VLOOKUP(B316,'2-Kosten per locatie'!$A$14:$C$28,3,FALSE)</f>
        <v>#DIV/0!</v>
      </c>
      <c r="R316" s="259">
        <f>IF(L316&gt;0,L316*I316/X316,0)*VLOOKUP(B316,'2-Kosten per locatie'!$A$14:$C$28,3,FALSE)</f>
        <v>0</v>
      </c>
      <c r="S316" s="259">
        <f>IF(M316&gt;0,M316*I316/Y316,0)*VLOOKUP(B316,'2-Kosten per locatie'!$A$14:$C$28,3,FALSE)</f>
        <v>0</v>
      </c>
      <c r="T316" s="259">
        <f>IF(N316&gt;0,N316*I316/Z316,0)*VLOOKUP(B316,'2-Kosten per locatie'!$A$14:$C$28,3,FALSE)</f>
        <v>0</v>
      </c>
      <c r="U316" s="259">
        <f>IF(O316&gt;0,O316*I316/Y316,0)*VLOOKUP(B316,'2-Kosten per locatie'!$A$14:$C$28,3,FALSE)</f>
        <v>0</v>
      </c>
      <c r="V316" s="259">
        <f>IF(P316&gt;0,P316*I316/Z316,0)*VLOOKUP(B316,'2-Kosten per locatie'!$A$14:$C$28,3,FALSE)</f>
        <v>0</v>
      </c>
      <c r="W316" s="348">
        <f>IF(K316="nio",0,IF(K316&gt;0,VLOOKUP(G316,'3-Productie normen'!A:N,VLOOKUP(K316,'3-Productie normen'!$B$27:$C$38,2,FALSE),FALSE)))</f>
        <v>0</v>
      </c>
      <c r="X316" s="348">
        <f t="shared" si="23"/>
        <v>0</v>
      </c>
      <c r="Y316" s="348">
        <f t="shared" si="24"/>
        <v>0</v>
      </c>
      <c r="Z316" s="348">
        <f t="shared" si="25"/>
        <v>0</v>
      </c>
      <c r="AA316" s="349">
        <f>VLOOKUP(G316,'3-Productie normen'!A:Q,15,FALSE)</f>
        <v>1367.5950000000007</v>
      </c>
      <c r="AB316" s="350">
        <f>VLOOKUP(G316,'3-Productie normen'!A:Q,16,FALSE)</f>
        <v>0</v>
      </c>
      <c r="AC316" s="349"/>
      <c r="AE316" s="351">
        <f t="shared" si="21"/>
        <v>1903.2</v>
      </c>
    </row>
    <row r="317" spans="1:31" ht="14.1" customHeight="1">
      <c r="A317" s="76">
        <v>317</v>
      </c>
      <c r="B317" s="496" t="s">
        <v>305</v>
      </c>
      <c r="C317" s="312" t="s">
        <v>306</v>
      </c>
      <c r="D317" s="88" t="s">
        <v>307</v>
      </c>
      <c r="E317" s="255">
        <v>34</v>
      </c>
      <c r="F317" s="88" t="s">
        <v>310</v>
      </c>
      <c r="G317" s="88" t="s">
        <v>81</v>
      </c>
      <c r="H317" s="88" t="s">
        <v>311</v>
      </c>
      <c r="I317" s="504">
        <v>0.81</v>
      </c>
      <c r="J317" s="347">
        <f t="shared" si="22"/>
        <v>130</v>
      </c>
      <c r="K317" s="260">
        <v>130</v>
      </c>
      <c r="L317" s="260"/>
      <c r="M317" s="260"/>
      <c r="N317" s="260"/>
      <c r="O317" s="260"/>
      <c r="P317" s="260"/>
      <c r="Q317" s="259" t="e">
        <f>IF(K317="nio",0,IF(K317&gt;0,K317*I317/W317,0))*VLOOKUP(B317,'2-Kosten per locatie'!$A$14:$C$28,3,FALSE)</f>
        <v>#DIV/0!</v>
      </c>
      <c r="R317" s="259">
        <f>IF(L317&gt;0,L317*I317/X317,0)*VLOOKUP(B317,'2-Kosten per locatie'!$A$14:$C$28,3,FALSE)</f>
        <v>0</v>
      </c>
      <c r="S317" s="259">
        <f>IF(M317&gt;0,M317*I317/Y317,0)*VLOOKUP(B317,'2-Kosten per locatie'!$A$14:$C$28,3,FALSE)</f>
        <v>0</v>
      </c>
      <c r="T317" s="259">
        <f>IF(N317&gt;0,N317*I317/Z317,0)*VLOOKUP(B317,'2-Kosten per locatie'!$A$14:$C$28,3,FALSE)</f>
        <v>0</v>
      </c>
      <c r="U317" s="259">
        <f>IF(O317&gt;0,O317*I317/Y317,0)*VLOOKUP(B317,'2-Kosten per locatie'!$A$14:$C$28,3,FALSE)</f>
        <v>0</v>
      </c>
      <c r="V317" s="259">
        <f>IF(P317&gt;0,P317*I317/Z317,0)*VLOOKUP(B317,'2-Kosten per locatie'!$A$14:$C$28,3,FALSE)</f>
        <v>0</v>
      </c>
      <c r="W317" s="348">
        <f>IF(K317="nio",0,IF(K317&gt;0,VLOOKUP(G317,'3-Productie normen'!A:N,VLOOKUP(K317,'3-Productie normen'!$B$27:$C$38,2,FALSE),FALSE)))</f>
        <v>0</v>
      </c>
      <c r="X317" s="348">
        <f t="shared" si="23"/>
        <v>0</v>
      </c>
      <c r="Y317" s="348">
        <f t="shared" si="24"/>
        <v>0</v>
      </c>
      <c r="Z317" s="348">
        <f t="shared" si="25"/>
        <v>0</v>
      </c>
      <c r="AA317" s="349">
        <f>VLOOKUP(G317,'3-Productie normen'!A:Q,15,FALSE)</f>
        <v>235.06999999999988</v>
      </c>
      <c r="AB317" s="350">
        <f>VLOOKUP(G317,'3-Productie normen'!A:Q,16,FALSE)</f>
        <v>0</v>
      </c>
      <c r="AC317" s="349"/>
      <c r="AE317" s="351">
        <f t="shared" si="21"/>
        <v>105.30000000000001</v>
      </c>
    </row>
    <row r="318" spans="1:31" ht="14.1" customHeight="1">
      <c r="A318" s="76">
        <v>318</v>
      </c>
      <c r="B318" s="496" t="s">
        <v>305</v>
      </c>
      <c r="C318" s="312" t="s">
        <v>306</v>
      </c>
      <c r="D318" s="88" t="s">
        <v>307</v>
      </c>
      <c r="E318" s="255">
        <v>35</v>
      </c>
      <c r="F318" s="88" t="s">
        <v>430</v>
      </c>
      <c r="G318" s="88" t="s">
        <v>81</v>
      </c>
      <c r="H318" s="88" t="s">
        <v>311</v>
      </c>
      <c r="I318" s="504">
        <v>6.2</v>
      </c>
      <c r="J318" s="347">
        <f t="shared" si="22"/>
        <v>12</v>
      </c>
      <c r="K318" s="260">
        <v>12</v>
      </c>
      <c r="L318" s="260"/>
      <c r="M318" s="260"/>
      <c r="N318" s="260"/>
      <c r="O318" s="260"/>
      <c r="P318" s="260"/>
      <c r="Q318" s="259" t="e">
        <f>IF(K318="nio",0,IF(K318&gt;0,K318*I318/W318,0))*VLOOKUP(B318,'2-Kosten per locatie'!$A$14:$C$28,3,FALSE)</f>
        <v>#DIV/0!</v>
      </c>
      <c r="R318" s="259">
        <f>IF(L318&gt;0,L318*I318/X318,0)*VLOOKUP(B318,'2-Kosten per locatie'!$A$14:$C$28,3,FALSE)</f>
        <v>0</v>
      </c>
      <c r="S318" s="259">
        <f>IF(M318&gt;0,M318*I318/Y318,0)*VLOOKUP(B318,'2-Kosten per locatie'!$A$14:$C$28,3,FALSE)</f>
        <v>0</v>
      </c>
      <c r="T318" s="259">
        <f>IF(N318&gt;0,N318*I318/Z318,0)*VLOOKUP(B318,'2-Kosten per locatie'!$A$14:$C$28,3,FALSE)</f>
        <v>0</v>
      </c>
      <c r="U318" s="259">
        <f>IF(O318&gt;0,O318*I318/Y318,0)*VLOOKUP(B318,'2-Kosten per locatie'!$A$14:$C$28,3,FALSE)</f>
        <v>0</v>
      </c>
      <c r="V318" s="259">
        <f>IF(P318&gt;0,P318*I318/Z318,0)*VLOOKUP(B318,'2-Kosten per locatie'!$A$14:$C$28,3,FALSE)</f>
        <v>0</v>
      </c>
      <c r="W318" s="348">
        <f>IF(K318="nio",0,IF(K318&gt;0,VLOOKUP(G318,'3-Productie normen'!A:N,VLOOKUP(K318,'3-Productie normen'!$B$27:$C$38,2,FALSE),FALSE)))</f>
        <v>0</v>
      </c>
      <c r="X318" s="348">
        <f t="shared" si="23"/>
        <v>0</v>
      </c>
      <c r="Y318" s="348">
        <f t="shared" si="24"/>
        <v>0</v>
      </c>
      <c r="Z318" s="348">
        <f t="shared" si="25"/>
        <v>0</v>
      </c>
      <c r="AA318" s="349">
        <f>VLOOKUP(G318,'3-Productie normen'!A:Q,15,FALSE)</f>
        <v>235.06999999999988</v>
      </c>
      <c r="AB318" s="350">
        <f>VLOOKUP(G318,'3-Productie normen'!A:Q,16,FALSE)</f>
        <v>0</v>
      </c>
      <c r="AC318" s="349"/>
      <c r="AE318" s="351">
        <f t="shared" si="21"/>
        <v>74.400000000000006</v>
      </c>
    </row>
    <row r="319" spans="1:31" ht="14.1" customHeight="1">
      <c r="A319" s="76">
        <v>319</v>
      </c>
      <c r="B319" s="496" t="s">
        <v>305</v>
      </c>
      <c r="C319" s="312" t="s">
        <v>306</v>
      </c>
      <c r="D319" s="88" t="s">
        <v>307</v>
      </c>
      <c r="E319" s="255">
        <v>36</v>
      </c>
      <c r="F319" s="88" t="s">
        <v>440</v>
      </c>
      <c r="G319" s="88" t="s">
        <v>85</v>
      </c>
      <c r="H319" s="88" t="s">
        <v>311</v>
      </c>
      <c r="I319" s="504">
        <v>4.78</v>
      </c>
      <c r="J319" s="347">
        <f t="shared" si="22"/>
        <v>130</v>
      </c>
      <c r="K319" s="260">
        <v>130</v>
      </c>
      <c r="L319" s="260"/>
      <c r="M319" s="260"/>
      <c r="N319" s="260"/>
      <c r="O319" s="260"/>
      <c r="P319" s="260"/>
      <c r="Q319" s="259" t="e">
        <f>IF(K319="nio",0,IF(K319&gt;0,K319*I319/W319,0))*VLOOKUP(B319,'2-Kosten per locatie'!$A$14:$C$28,3,FALSE)</f>
        <v>#DIV/0!</v>
      </c>
      <c r="R319" s="259">
        <f>IF(L319&gt;0,L319*I319/X319,0)*VLOOKUP(B319,'2-Kosten per locatie'!$A$14:$C$28,3,FALSE)</f>
        <v>0</v>
      </c>
      <c r="S319" s="259">
        <f>IF(M319&gt;0,M319*I319/Y319,0)*VLOOKUP(B319,'2-Kosten per locatie'!$A$14:$C$28,3,FALSE)</f>
        <v>0</v>
      </c>
      <c r="T319" s="259">
        <f>IF(N319&gt;0,N319*I319/Z319,0)*VLOOKUP(B319,'2-Kosten per locatie'!$A$14:$C$28,3,FALSE)</f>
        <v>0</v>
      </c>
      <c r="U319" s="259">
        <f>IF(O319&gt;0,O319*I319/Y319,0)*VLOOKUP(B319,'2-Kosten per locatie'!$A$14:$C$28,3,FALSE)</f>
        <v>0</v>
      </c>
      <c r="V319" s="259">
        <f>IF(P319&gt;0,P319*I319/Z319,0)*VLOOKUP(B319,'2-Kosten per locatie'!$A$14:$C$28,3,FALSE)</f>
        <v>0</v>
      </c>
      <c r="W319" s="348">
        <f>IF(K319="nio",0,IF(K319&gt;0,VLOOKUP(G319,'3-Productie normen'!A:N,VLOOKUP(K319,'3-Productie normen'!$B$27:$C$38,2,FALSE),FALSE)))</f>
        <v>0</v>
      </c>
      <c r="X319" s="348">
        <f t="shared" si="23"/>
        <v>0</v>
      </c>
      <c r="Y319" s="348">
        <f t="shared" si="24"/>
        <v>0</v>
      </c>
      <c r="Z319" s="348">
        <f t="shared" si="25"/>
        <v>0</v>
      </c>
      <c r="AA319" s="349">
        <f>VLOOKUP(G319,'3-Productie normen'!A:Q,15,FALSE)</f>
        <v>1367.5950000000007</v>
      </c>
      <c r="AB319" s="350">
        <f>VLOOKUP(G319,'3-Productie normen'!A:Q,16,FALSE)</f>
        <v>0</v>
      </c>
      <c r="AC319" s="349"/>
      <c r="AE319" s="351">
        <f t="shared" si="21"/>
        <v>621.4</v>
      </c>
    </row>
    <row r="320" spans="1:31" ht="14.1" customHeight="1">
      <c r="A320" s="76">
        <v>320</v>
      </c>
      <c r="B320" s="496" t="s">
        <v>305</v>
      </c>
      <c r="C320" s="312" t="s">
        <v>306</v>
      </c>
      <c r="D320" s="88" t="s">
        <v>307</v>
      </c>
      <c r="E320" s="255">
        <v>37</v>
      </c>
      <c r="F320" s="88" t="s">
        <v>310</v>
      </c>
      <c r="G320" s="88" t="s">
        <v>81</v>
      </c>
      <c r="H320" s="88" t="s">
        <v>321</v>
      </c>
      <c r="I320" s="504">
        <v>0.8</v>
      </c>
      <c r="J320" s="347">
        <f t="shared" si="22"/>
        <v>130</v>
      </c>
      <c r="K320" s="260">
        <v>130</v>
      </c>
      <c r="L320" s="260"/>
      <c r="M320" s="260"/>
      <c r="N320" s="260"/>
      <c r="O320" s="260"/>
      <c r="P320" s="260"/>
      <c r="Q320" s="259" t="e">
        <f>IF(K320="nio",0,IF(K320&gt;0,K320*I320/W320,0))*VLOOKUP(B320,'2-Kosten per locatie'!$A$14:$C$28,3,FALSE)</f>
        <v>#DIV/0!</v>
      </c>
      <c r="R320" s="259">
        <f>IF(L320&gt;0,L320*I320/X320,0)*VLOOKUP(B320,'2-Kosten per locatie'!$A$14:$C$28,3,FALSE)</f>
        <v>0</v>
      </c>
      <c r="S320" s="259">
        <f>IF(M320&gt;0,M320*I320/Y320,0)*VLOOKUP(B320,'2-Kosten per locatie'!$A$14:$C$28,3,FALSE)</f>
        <v>0</v>
      </c>
      <c r="T320" s="259">
        <f>IF(N320&gt;0,N320*I320/Z320,0)*VLOOKUP(B320,'2-Kosten per locatie'!$A$14:$C$28,3,FALSE)</f>
        <v>0</v>
      </c>
      <c r="U320" s="259">
        <f>IF(O320&gt;0,O320*I320/Y320,0)*VLOOKUP(B320,'2-Kosten per locatie'!$A$14:$C$28,3,FALSE)</f>
        <v>0</v>
      </c>
      <c r="V320" s="259">
        <f>IF(P320&gt;0,P320*I320/Z320,0)*VLOOKUP(B320,'2-Kosten per locatie'!$A$14:$C$28,3,FALSE)</f>
        <v>0</v>
      </c>
      <c r="W320" s="348">
        <f>IF(K320="nio",0,IF(K320&gt;0,VLOOKUP(G320,'3-Productie normen'!A:N,VLOOKUP(K320,'3-Productie normen'!$B$27:$C$38,2,FALSE),FALSE)))</f>
        <v>0</v>
      </c>
      <c r="X320" s="348">
        <f t="shared" si="23"/>
        <v>0</v>
      </c>
      <c r="Y320" s="348">
        <f t="shared" si="24"/>
        <v>0</v>
      </c>
      <c r="Z320" s="348">
        <f t="shared" si="25"/>
        <v>0</v>
      </c>
      <c r="AA320" s="349">
        <f>VLOOKUP(G320,'3-Productie normen'!A:Q,15,FALSE)</f>
        <v>235.06999999999988</v>
      </c>
      <c r="AB320" s="350">
        <f>VLOOKUP(G320,'3-Productie normen'!A:Q,16,FALSE)</f>
        <v>0</v>
      </c>
      <c r="AC320" s="349"/>
      <c r="AE320" s="351">
        <f t="shared" si="21"/>
        <v>104</v>
      </c>
    </row>
    <row r="321" spans="1:31" ht="14.1" customHeight="1">
      <c r="A321" s="76">
        <v>321</v>
      </c>
      <c r="B321" s="496" t="s">
        <v>305</v>
      </c>
      <c r="C321" s="312" t="s">
        <v>306</v>
      </c>
      <c r="D321" s="88" t="s">
        <v>307</v>
      </c>
      <c r="E321" s="255">
        <v>38</v>
      </c>
      <c r="F321" s="88" t="s">
        <v>398</v>
      </c>
      <c r="G321" s="88" t="s">
        <v>461</v>
      </c>
      <c r="H321" s="88" t="s">
        <v>321</v>
      </c>
      <c r="I321" s="504">
        <v>1.5</v>
      </c>
      <c r="J321" s="347">
        <f t="shared" si="22"/>
        <v>0</v>
      </c>
      <c r="K321" s="260" t="s">
        <v>460</v>
      </c>
      <c r="L321" s="260"/>
      <c r="M321" s="260"/>
      <c r="N321" s="260"/>
      <c r="O321" s="260"/>
      <c r="P321" s="260"/>
      <c r="Q321" s="259">
        <f>IF(K321="nio",0,IF(K321&gt;0,K321*I321/W321,0))*VLOOKUP(B321,'2-Kosten per locatie'!$A$14:$C$28,3,FALSE)</f>
        <v>0</v>
      </c>
      <c r="R321" s="259">
        <f>IF(L321&gt;0,L321*I321/X321,0)*VLOOKUP(B321,'2-Kosten per locatie'!$A$14:$C$28,3,FALSE)</f>
        <v>0</v>
      </c>
      <c r="S321" s="259">
        <f>IF(M321&gt;0,M321*I321/Y321,0)*VLOOKUP(B321,'2-Kosten per locatie'!$A$14:$C$28,3,FALSE)</f>
        <v>0</v>
      </c>
      <c r="T321" s="259">
        <f>IF(N321&gt;0,N321*I321/Z321,0)*VLOOKUP(B321,'2-Kosten per locatie'!$A$14:$C$28,3,FALSE)</f>
        <v>0</v>
      </c>
      <c r="U321" s="259">
        <f>IF(O321&gt;0,O321*I321/Y321,0)*VLOOKUP(B321,'2-Kosten per locatie'!$A$14:$C$28,3,FALSE)</f>
        <v>0</v>
      </c>
      <c r="V321" s="259">
        <f>IF(P321&gt;0,P321*I321/Z321,0)*VLOOKUP(B321,'2-Kosten per locatie'!$A$14:$C$28,3,FALSE)</f>
        <v>0</v>
      </c>
      <c r="W321" s="348">
        <f>IF(K321="nio",0,IF(K321&gt;0,VLOOKUP(G321,'3-Productie normen'!A:N,VLOOKUP(K321,'3-Productie normen'!$B$27:$C$38,2,FALSE),FALSE)))</f>
        <v>0</v>
      </c>
      <c r="X321" s="348">
        <f t="shared" si="23"/>
        <v>0</v>
      </c>
      <c r="Y321" s="348">
        <f t="shared" si="24"/>
        <v>0</v>
      </c>
      <c r="Z321" s="348">
        <f t="shared" si="25"/>
        <v>0</v>
      </c>
      <c r="AA321" s="349" t="e">
        <f>VLOOKUP(G321,'3-Productie normen'!A:Q,15,FALSE)</f>
        <v>#N/A</v>
      </c>
      <c r="AB321" s="350" t="e">
        <f>VLOOKUP(G321,'3-Productie normen'!A:Q,16,FALSE)</f>
        <v>#N/A</v>
      </c>
      <c r="AC321" s="349"/>
      <c r="AE321" s="351">
        <f t="shared" si="21"/>
        <v>0</v>
      </c>
    </row>
    <row r="322" spans="1:31" ht="14.1" customHeight="1">
      <c r="A322" s="76">
        <v>322</v>
      </c>
      <c r="B322" s="496" t="s">
        <v>305</v>
      </c>
      <c r="C322" s="312" t="s">
        <v>306</v>
      </c>
      <c r="D322" s="88" t="s">
        <v>307</v>
      </c>
      <c r="E322" s="255">
        <v>39</v>
      </c>
      <c r="F322" s="88" t="s">
        <v>401</v>
      </c>
      <c r="G322" s="88" t="s">
        <v>461</v>
      </c>
      <c r="H322" s="88" t="s">
        <v>311</v>
      </c>
      <c r="I322" s="504">
        <v>6.86</v>
      </c>
      <c r="J322" s="347">
        <f t="shared" si="22"/>
        <v>0</v>
      </c>
      <c r="K322" s="260" t="s">
        <v>460</v>
      </c>
      <c r="L322" s="260"/>
      <c r="M322" s="260"/>
      <c r="N322" s="260"/>
      <c r="O322" s="260"/>
      <c r="P322" s="260"/>
      <c r="Q322" s="259">
        <f>IF(K322="nio",0,IF(K322&gt;0,K322*I322/W322,0))*VLOOKUP(B322,'2-Kosten per locatie'!$A$14:$C$28,3,FALSE)</f>
        <v>0</v>
      </c>
      <c r="R322" s="259">
        <f>IF(L322&gt;0,L322*I322/X322,0)*VLOOKUP(B322,'2-Kosten per locatie'!$A$14:$C$28,3,FALSE)</f>
        <v>0</v>
      </c>
      <c r="S322" s="259">
        <f>IF(M322&gt;0,M322*I322/Y322,0)*VLOOKUP(B322,'2-Kosten per locatie'!$A$14:$C$28,3,FALSE)</f>
        <v>0</v>
      </c>
      <c r="T322" s="259">
        <f>IF(N322&gt;0,N322*I322/Z322,0)*VLOOKUP(B322,'2-Kosten per locatie'!$A$14:$C$28,3,FALSE)</f>
        <v>0</v>
      </c>
      <c r="U322" s="259">
        <f>IF(O322&gt;0,O322*I322/Y322,0)*VLOOKUP(B322,'2-Kosten per locatie'!$A$14:$C$28,3,FALSE)</f>
        <v>0</v>
      </c>
      <c r="V322" s="259">
        <f>IF(P322&gt;0,P322*I322/Z322,0)*VLOOKUP(B322,'2-Kosten per locatie'!$A$14:$C$28,3,FALSE)</f>
        <v>0</v>
      </c>
      <c r="W322" s="348">
        <f>IF(K322="nio",0,IF(K322&gt;0,VLOOKUP(G322,'3-Productie normen'!A:N,VLOOKUP(K322,'3-Productie normen'!$B$27:$C$38,2,FALSE),FALSE)))</f>
        <v>0</v>
      </c>
      <c r="X322" s="348">
        <f t="shared" si="23"/>
        <v>0</v>
      </c>
      <c r="Y322" s="348">
        <f t="shared" si="24"/>
        <v>0</v>
      </c>
      <c r="Z322" s="348">
        <f t="shared" si="25"/>
        <v>0</v>
      </c>
      <c r="AA322" s="349" t="e">
        <f>VLOOKUP(G322,'3-Productie normen'!A:Q,15,FALSE)</f>
        <v>#N/A</v>
      </c>
      <c r="AB322" s="350" t="e">
        <f>VLOOKUP(G322,'3-Productie normen'!A:Q,16,FALSE)</f>
        <v>#N/A</v>
      </c>
      <c r="AC322" s="349"/>
      <c r="AE322" s="351">
        <f t="shared" si="21"/>
        <v>0</v>
      </c>
    </row>
    <row r="323" spans="1:31" ht="14.1" customHeight="1">
      <c r="A323" s="76">
        <v>323</v>
      </c>
      <c r="B323" s="496" t="s">
        <v>305</v>
      </c>
      <c r="C323" s="312" t="s">
        <v>306</v>
      </c>
      <c r="D323" s="88" t="s">
        <v>307</v>
      </c>
      <c r="E323" s="255">
        <v>40</v>
      </c>
      <c r="F323" s="88" t="s">
        <v>441</v>
      </c>
      <c r="G323" s="88" t="s">
        <v>461</v>
      </c>
      <c r="H323" s="88"/>
      <c r="I323" s="504"/>
      <c r="J323" s="347">
        <f t="shared" si="22"/>
        <v>0</v>
      </c>
      <c r="K323" s="260" t="s">
        <v>460</v>
      </c>
      <c r="L323" s="260"/>
      <c r="M323" s="260"/>
      <c r="N323" s="260"/>
      <c r="O323" s="260"/>
      <c r="P323" s="260"/>
      <c r="Q323" s="259">
        <f>IF(K323="nio",0,IF(K323&gt;0,K323*I323/W323,0))*VLOOKUP(B323,'2-Kosten per locatie'!$A$14:$C$28,3,FALSE)</f>
        <v>0</v>
      </c>
      <c r="R323" s="259">
        <f>IF(L323&gt;0,L323*I323/X323,0)*VLOOKUP(B323,'2-Kosten per locatie'!$A$14:$C$28,3,FALSE)</f>
        <v>0</v>
      </c>
      <c r="S323" s="259">
        <f>IF(M323&gt;0,M323*I323/Y323,0)*VLOOKUP(B323,'2-Kosten per locatie'!$A$14:$C$28,3,FALSE)</f>
        <v>0</v>
      </c>
      <c r="T323" s="259">
        <f>IF(N323&gt;0,N323*I323/Z323,0)*VLOOKUP(B323,'2-Kosten per locatie'!$A$14:$C$28,3,FALSE)</f>
        <v>0</v>
      </c>
      <c r="U323" s="259">
        <f>IF(O323&gt;0,O323*I323/Y323,0)*VLOOKUP(B323,'2-Kosten per locatie'!$A$14:$C$28,3,FALSE)</f>
        <v>0</v>
      </c>
      <c r="V323" s="259">
        <f>IF(P323&gt;0,P323*I323/Z323,0)*VLOOKUP(B323,'2-Kosten per locatie'!$A$14:$C$28,3,FALSE)</f>
        <v>0</v>
      </c>
      <c r="W323" s="348">
        <f>IF(K323="nio",0,IF(K323&gt;0,VLOOKUP(G323,'3-Productie normen'!A:N,VLOOKUP(K323,'3-Productie normen'!$B$27:$C$38,2,FALSE),FALSE)))</f>
        <v>0</v>
      </c>
      <c r="X323" s="348">
        <f t="shared" si="23"/>
        <v>0</v>
      </c>
      <c r="Y323" s="348">
        <f t="shared" si="24"/>
        <v>0</v>
      </c>
      <c r="Z323" s="348">
        <f t="shared" si="25"/>
        <v>0</v>
      </c>
      <c r="AA323" s="349" t="e">
        <f>VLOOKUP(G323,'3-Productie normen'!A:Q,15,FALSE)</f>
        <v>#N/A</v>
      </c>
      <c r="AB323" s="350" t="e">
        <f>VLOOKUP(G323,'3-Productie normen'!A:Q,16,FALSE)</f>
        <v>#N/A</v>
      </c>
      <c r="AC323" s="349"/>
      <c r="AE323" s="351">
        <f t="shared" si="21"/>
        <v>0</v>
      </c>
    </row>
    <row r="324" spans="1:31" ht="14.1" customHeight="1">
      <c r="A324" s="76">
        <v>324</v>
      </c>
      <c r="B324" s="496" t="s">
        <v>305</v>
      </c>
      <c r="C324" s="312" t="s">
        <v>306</v>
      </c>
      <c r="D324" s="88" t="s">
        <v>307</v>
      </c>
      <c r="E324" s="255">
        <v>41</v>
      </c>
      <c r="F324" s="88" t="s">
        <v>381</v>
      </c>
      <c r="G324" s="88" t="s">
        <v>461</v>
      </c>
      <c r="H324" s="88" t="s">
        <v>311</v>
      </c>
      <c r="I324" s="504">
        <v>4.6399999999999997</v>
      </c>
      <c r="J324" s="347">
        <f t="shared" si="22"/>
        <v>0</v>
      </c>
      <c r="K324" s="260" t="s">
        <v>460</v>
      </c>
      <c r="L324" s="260"/>
      <c r="M324" s="260"/>
      <c r="N324" s="260"/>
      <c r="O324" s="260"/>
      <c r="P324" s="260"/>
      <c r="Q324" s="259">
        <f>IF(K324="nio",0,IF(K324&gt;0,K324*I324/W324,0))*VLOOKUP(B324,'2-Kosten per locatie'!$A$14:$C$28,3,FALSE)</f>
        <v>0</v>
      </c>
      <c r="R324" s="259">
        <f>IF(L324&gt;0,L324*I324/X324,0)*VLOOKUP(B324,'2-Kosten per locatie'!$A$14:$C$28,3,FALSE)</f>
        <v>0</v>
      </c>
      <c r="S324" s="259">
        <f>IF(M324&gt;0,M324*I324/Y324,0)*VLOOKUP(B324,'2-Kosten per locatie'!$A$14:$C$28,3,FALSE)</f>
        <v>0</v>
      </c>
      <c r="T324" s="259">
        <f>IF(N324&gt;0,N324*I324/Z324,0)*VLOOKUP(B324,'2-Kosten per locatie'!$A$14:$C$28,3,FALSE)</f>
        <v>0</v>
      </c>
      <c r="U324" s="259">
        <f>IF(O324&gt;0,O324*I324/Y324,0)*VLOOKUP(B324,'2-Kosten per locatie'!$A$14:$C$28,3,FALSE)</f>
        <v>0</v>
      </c>
      <c r="V324" s="259">
        <f>IF(P324&gt;0,P324*I324/Z324,0)*VLOOKUP(B324,'2-Kosten per locatie'!$A$14:$C$28,3,FALSE)</f>
        <v>0</v>
      </c>
      <c r="W324" s="348">
        <f>IF(K324="nio",0,IF(K324&gt;0,VLOOKUP(G324,'3-Productie normen'!A:N,VLOOKUP(K324,'3-Productie normen'!$B$27:$C$38,2,FALSE),FALSE)))</f>
        <v>0</v>
      </c>
      <c r="X324" s="348">
        <f t="shared" si="23"/>
        <v>0</v>
      </c>
      <c r="Y324" s="348">
        <f t="shared" si="24"/>
        <v>0</v>
      </c>
      <c r="Z324" s="348">
        <f t="shared" si="25"/>
        <v>0</v>
      </c>
      <c r="AA324" s="349" t="e">
        <f>VLOOKUP(G324,'3-Productie normen'!A:Q,15,FALSE)</f>
        <v>#N/A</v>
      </c>
      <c r="AB324" s="350" t="e">
        <f>VLOOKUP(G324,'3-Productie normen'!A:Q,16,FALSE)</f>
        <v>#N/A</v>
      </c>
      <c r="AC324" s="349"/>
      <c r="AE324" s="351">
        <f t="shared" si="21"/>
        <v>0</v>
      </c>
    </row>
    <row r="325" spans="1:31" ht="14.1" customHeight="1">
      <c r="A325" s="76">
        <v>325</v>
      </c>
      <c r="B325" s="496" t="s">
        <v>305</v>
      </c>
      <c r="C325" s="312" t="s">
        <v>306</v>
      </c>
      <c r="D325" s="91" t="s">
        <v>307</v>
      </c>
      <c r="E325" s="257">
        <v>42</v>
      </c>
      <c r="F325" s="91" t="s">
        <v>312</v>
      </c>
      <c r="G325" s="91" t="s">
        <v>461</v>
      </c>
      <c r="H325" s="91" t="s">
        <v>311</v>
      </c>
      <c r="I325" s="505">
        <v>14.55</v>
      </c>
      <c r="J325" s="347">
        <f t="shared" si="22"/>
        <v>0</v>
      </c>
      <c r="K325" s="260" t="s">
        <v>460</v>
      </c>
      <c r="L325" s="260"/>
      <c r="M325" s="260"/>
      <c r="N325" s="260"/>
      <c r="O325" s="260"/>
      <c r="P325" s="260"/>
      <c r="Q325" s="259">
        <f>IF(K325="nio",0,IF(K325&gt;0,K325*I325/W325,0))*VLOOKUP(B325,'2-Kosten per locatie'!$A$14:$C$28,3,FALSE)</f>
        <v>0</v>
      </c>
      <c r="R325" s="259">
        <f>IF(L325&gt;0,L325*I325/X325,0)*VLOOKUP(B325,'2-Kosten per locatie'!$A$14:$C$28,3,FALSE)</f>
        <v>0</v>
      </c>
      <c r="S325" s="259">
        <f>IF(M325&gt;0,M325*I325/Y325,0)*VLOOKUP(B325,'2-Kosten per locatie'!$A$14:$C$28,3,FALSE)</f>
        <v>0</v>
      </c>
      <c r="T325" s="259">
        <f>IF(N325&gt;0,N325*I325/Z325,0)*VLOOKUP(B325,'2-Kosten per locatie'!$A$14:$C$28,3,FALSE)</f>
        <v>0</v>
      </c>
      <c r="U325" s="259">
        <f>IF(O325&gt;0,O325*I325/Y325,0)*VLOOKUP(B325,'2-Kosten per locatie'!$A$14:$C$28,3,FALSE)</f>
        <v>0</v>
      </c>
      <c r="V325" s="259">
        <f>IF(P325&gt;0,P325*I325/Z325,0)*VLOOKUP(B325,'2-Kosten per locatie'!$A$14:$C$28,3,FALSE)</f>
        <v>0</v>
      </c>
      <c r="W325" s="348">
        <f>IF(K325="nio",0,IF(K325&gt;0,VLOOKUP(G325,'3-Productie normen'!A:N,VLOOKUP(K325,'3-Productie normen'!$B$27:$C$38,2,FALSE),FALSE)))</f>
        <v>0</v>
      </c>
      <c r="X325" s="348">
        <f t="shared" si="23"/>
        <v>0</v>
      </c>
      <c r="Y325" s="348">
        <f t="shared" si="24"/>
        <v>0</v>
      </c>
      <c r="Z325" s="348">
        <f t="shared" si="25"/>
        <v>0</v>
      </c>
      <c r="AA325" s="349" t="e">
        <f>VLOOKUP(G325,'3-Productie normen'!A:Q,15,FALSE)</f>
        <v>#N/A</v>
      </c>
      <c r="AB325" s="350" t="e">
        <f>VLOOKUP(G325,'3-Productie normen'!A:Q,16,FALSE)</f>
        <v>#N/A</v>
      </c>
      <c r="AC325" s="349"/>
      <c r="AE325" s="351">
        <f t="shared" si="21"/>
        <v>0</v>
      </c>
    </row>
    <row r="326" spans="1:31" ht="14.1" customHeight="1">
      <c r="A326" s="76">
        <v>326</v>
      </c>
      <c r="B326" s="496" t="s">
        <v>305</v>
      </c>
      <c r="C326" s="312" t="s">
        <v>306</v>
      </c>
      <c r="D326" s="91" t="s">
        <v>307</v>
      </c>
      <c r="E326" s="257">
        <v>43</v>
      </c>
      <c r="F326" s="91" t="s">
        <v>310</v>
      </c>
      <c r="G326" s="91" t="s">
        <v>461</v>
      </c>
      <c r="H326" s="91" t="s">
        <v>311</v>
      </c>
      <c r="I326" s="505">
        <v>1.3</v>
      </c>
      <c r="J326" s="347">
        <f t="shared" si="22"/>
        <v>0</v>
      </c>
      <c r="K326" s="260" t="s">
        <v>460</v>
      </c>
      <c r="L326" s="260"/>
      <c r="M326" s="260"/>
      <c r="N326" s="260"/>
      <c r="O326" s="260"/>
      <c r="P326" s="260"/>
      <c r="Q326" s="259">
        <f>IF(K326="nio",0,IF(K326&gt;0,K326*I326/W326,0))*VLOOKUP(B326,'2-Kosten per locatie'!$A$14:$C$28,3,FALSE)</f>
        <v>0</v>
      </c>
      <c r="R326" s="259">
        <f>IF(L326&gt;0,L326*I326/X326,0)*VLOOKUP(B326,'2-Kosten per locatie'!$A$14:$C$28,3,FALSE)</f>
        <v>0</v>
      </c>
      <c r="S326" s="259">
        <f>IF(M326&gt;0,M326*I326/Y326,0)*VLOOKUP(B326,'2-Kosten per locatie'!$A$14:$C$28,3,FALSE)</f>
        <v>0</v>
      </c>
      <c r="T326" s="259">
        <f>IF(N326&gt;0,N326*I326/Z326,0)*VLOOKUP(B326,'2-Kosten per locatie'!$A$14:$C$28,3,FALSE)</f>
        <v>0</v>
      </c>
      <c r="U326" s="259">
        <f>IF(O326&gt;0,O326*I326/Y326,0)*VLOOKUP(B326,'2-Kosten per locatie'!$A$14:$C$28,3,FALSE)</f>
        <v>0</v>
      </c>
      <c r="V326" s="259">
        <f>IF(P326&gt;0,P326*I326/Z326,0)*VLOOKUP(B326,'2-Kosten per locatie'!$A$14:$C$28,3,FALSE)</f>
        <v>0</v>
      </c>
      <c r="W326" s="348">
        <f>IF(K326="nio",0,IF(K326&gt;0,VLOOKUP(G326,'3-Productie normen'!A:N,VLOOKUP(K326,'3-Productie normen'!$B$27:$C$38,2,FALSE),FALSE)))</f>
        <v>0</v>
      </c>
      <c r="X326" s="348">
        <f t="shared" si="23"/>
        <v>0</v>
      </c>
      <c r="Y326" s="348">
        <f t="shared" si="24"/>
        <v>0</v>
      </c>
      <c r="Z326" s="348">
        <f t="shared" si="25"/>
        <v>0</v>
      </c>
      <c r="AA326" s="349" t="e">
        <f>VLOOKUP(G326,'3-Productie normen'!A:Q,15,FALSE)</f>
        <v>#N/A</v>
      </c>
      <c r="AB326" s="350" t="e">
        <f>VLOOKUP(G326,'3-Productie normen'!A:Q,16,FALSE)</f>
        <v>#N/A</v>
      </c>
      <c r="AC326" s="349"/>
      <c r="AE326" s="351">
        <f t="shared" si="21"/>
        <v>0</v>
      </c>
    </row>
    <row r="327" spans="1:31" ht="14.1" customHeight="1">
      <c r="A327" s="76">
        <v>327</v>
      </c>
      <c r="B327" s="496" t="s">
        <v>305</v>
      </c>
      <c r="C327" s="312" t="s">
        <v>306</v>
      </c>
      <c r="D327" s="91" t="s">
        <v>307</v>
      </c>
      <c r="E327" s="257">
        <v>44</v>
      </c>
      <c r="F327" s="91" t="s">
        <v>398</v>
      </c>
      <c r="G327" s="91" t="s">
        <v>461</v>
      </c>
      <c r="H327" s="91" t="s">
        <v>311</v>
      </c>
      <c r="I327" s="505">
        <v>1.3</v>
      </c>
      <c r="J327" s="347">
        <f t="shared" si="22"/>
        <v>0</v>
      </c>
      <c r="K327" s="260" t="s">
        <v>460</v>
      </c>
      <c r="L327" s="260"/>
      <c r="M327" s="260"/>
      <c r="N327" s="260"/>
      <c r="O327" s="260"/>
      <c r="P327" s="260"/>
      <c r="Q327" s="259">
        <f>IF(K327="nio",0,IF(K327&gt;0,K327*I327/W327,0))*VLOOKUP(B327,'2-Kosten per locatie'!$A$14:$C$28,3,FALSE)</f>
        <v>0</v>
      </c>
      <c r="R327" s="259">
        <f>IF(L327&gt;0,L327*I327/X327,0)*VLOOKUP(B327,'2-Kosten per locatie'!$A$14:$C$28,3,FALSE)</f>
        <v>0</v>
      </c>
      <c r="S327" s="259">
        <f>IF(M327&gt;0,M327*I327/Y327,0)*VLOOKUP(B327,'2-Kosten per locatie'!$A$14:$C$28,3,FALSE)</f>
        <v>0</v>
      </c>
      <c r="T327" s="259">
        <f>IF(N327&gt;0,N327*I327/Z327,0)*VLOOKUP(B327,'2-Kosten per locatie'!$A$14:$C$28,3,FALSE)</f>
        <v>0</v>
      </c>
      <c r="U327" s="259">
        <f>IF(O327&gt;0,O327*I327/Y327,0)*VLOOKUP(B327,'2-Kosten per locatie'!$A$14:$C$28,3,FALSE)</f>
        <v>0</v>
      </c>
      <c r="V327" s="259">
        <f>IF(P327&gt;0,P327*I327/Z327,0)*VLOOKUP(B327,'2-Kosten per locatie'!$A$14:$C$28,3,FALSE)</f>
        <v>0</v>
      </c>
      <c r="W327" s="348">
        <f>IF(K327="nio",0,IF(K327&gt;0,VLOOKUP(G327,'3-Productie normen'!A:N,VLOOKUP(K327,'3-Productie normen'!$B$27:$C$38,2,FALSE),FALSE)))</f>
        <v>0</v>
      </c>
      <c r="X327" s="348">
        <f t="shared" si="23"/>
        <v>0</v>
      </c>
      <c r="Y327" s="348">
        <f t="shared" si="24"/>
        <v>0</v>
      </c>
      <c r="Z327" s="348">
        <f t="shared" si="25"/>
        <v>0</v>
      </c>
      <c r="AA327" s="349" t="e">
        <f>VLOOKUP(G327,'3-Productie normen'!A:Q,15,FALSE)</f>
        <v>#N/A</v>
      </c>
      <c r="AB327" s="350" t="e">
        <f>VLOOKUP(G327,'3-Productie normen'!A:Q,16,FALSE)</f>
        <v>#N/A</v>
      </c>
      <c r="AC327" s="349"/>
      <c r="AE327" s="351">
        <f t="shared" si="21"/>
        <v>0</v>
      </c>
    </row>
    <row r="328" spans="1:31" ht="14.1" customHeight="1">
      <c r="A328" s="76">
        <v>328</v>
      </c>
      <c r="B328" s="496" t="s">
        <v>305</v>
      </c>
      <c r="C328" s="312" t="s">
        <v>306</v>
      </c>
      <c r="D328" s="91" t="s">
        <v>307</v>
      </c>
      <c r="E328" s="257">
        <v>45</v>
      </c>
      <c r="F328" s="91" t="s">
        <v>442</v>
      </c>
      <c r="G328" s="91" t="s">
        <v>461</v>
      </c>
      <c r="H328" s="91" t="s">
        <v>330</v>
      </c>
      <c r="I328" s="505">
        <v>5.67</v>
      </c>
      <c r="J328" s="347">
        <f t="shared" si="22"/>
        <v>0</v>
      </c>
      <c r="K328" s="260" t="s">
        <v>460</v>
      </c>
      <c r="L328" s="260"/>
      <c r="M328" s="260"/>
      <c r="N328" s="260"/>
      <c r="O328" s="260"/>
      <c r="P328" s="260"/>
      <c r="Q328" s="259">
        <f>IF(K328="nio",0,IF(K328&gt;0,K328*I328/W328,0))*VLOOKUP(B328,'2-Kosten per locatie'!$A$14:$C$28,3,FALSE)</f>
        <v>0</v>
      </c>
      <c r="R328" s="259">
        <f>IF(L328&gt;0,L328*I328/X328,0)*VLOOKUP(B328,'2-Kosten per locatie'!$A$14:$C$28,3,FALSE)</f>
        <v>0</v>
      </c>
      <c r="S328" s="259">
        <f>IF(M328&gt;0,M328*I328/Y328,0)*VLOOKUP(B328,'2-Kosten per locatie'!$A$14:$C$28,3,FALSE)</f>
        <v>0</v>
      </c>
      <c r="T328" s="259">
        <f>IF(N328&gt;0,N328*I328/Z328,0)*VLOOKUP(B328,'2-Kosten per locatie'!$A$14:$C$28,3,FALSE)</f>
        <v>0</v>
      </c>
      <c r="U328" s="259">
        <f>IF(O328&gt;0,O328*I328/Y328,0)*VLOOKUP(B328,'2-Kosten per locatie'!$A$14:$C$28,3,FALSE)</f>
        <v>0</v>
      </c>
      <c r="V328" s="259">
        <f>IF(P328&gt;0,P328*I328/Z328,0)*VLOOKUP(B328,'2-Kosten per locatie'!$A$14:$C$28,3,FALSE)</f>
        <v>0</v>
      </c>
      <c r="W328" s="348">
        <f>IF(K328="nio",0,IF(K328&gt;0,VLOOKUP(G328,'3-Productie normen'!A:N,VLOOKUP(K328,'3-Productie normen'!$B$27:$C$38,2,FALSE),FALSE)))</f>
        <v>0</v>
      </c>
      <c r="X328" s="348">
        <f t="shared" si="23"/>
        <v>0</v>
      </c>
      <c r="Y328" s="348">
        <f t="shared" si="24"/>
        <v>0</v>
      </c>
      <c r="Z328" s="348">
        <f t="shared" si="25"/>
        <v>0</v>
      </c>
      <c r="AA328" s="349" t="e">
        <f>VLOOKUP(G328,'3-Productie normen'!A:Q,15,FALSE)</f>
        <v>#N/A</v>
      </c>
      <c r="AB328" s="350" t="e">
        <f>VLOOKUP(G328,'3-Productie normen'!A:Q,16,FALSE)</f>
        <v>#N/A</v>
      </c>
      <c r="AC328" s="349"/>
      <c r="AE328" s="351">
        <f t="shared" si="21"/>
        <v>0</v>
      </c>
    </row>
    <row r="329" spans="1:31" ht="14.1" customHeight="1">
      <c r="A329" s="76">
        <v>329</v>
      </c>
      <c r="B329" s="496" t="s">
        <v>305</v>
      </c>
      <c r="C329" s="312" t="s">
        <v>306</v>
      </c>
      <c r="D329" s="91" t="s">
        <v>307</v>
      </c>
      <c r="E329" s="257">
        <v>46</v>
      </c>
      <c r="F329" s="91" t="s">
        <v>443</v>
      </c>
      <c r="G329" s="91" t="s">
        <v>461</v>
      </c>
      <c r="H329" s="91" t="s">
        <v>311</v>
      </c>
      <c r="I329" s="505">
        <v>5.53</v>
      </c>
      <c r="J329" s="347">
        <f t="shared" si="22"/>
        <v>0</v>
      </c>
      <c r="K329" s="260" t="s">
        <v>460</v>
      </c>
      <c r="L329" s="260"/>
      <c r="M329" s="260"/>
      <c r="N329" s="260"/>
      <c r="O329" s="260"/>
      <c r="P329" s="260"/>
      <c r="Q329" s="259">
        <f>IF(K329="nio",0,IF(K329&gt;0,K329*I329/W329,0))*VLOOKUP(B329,'2-Kosten per locatie'!$A$14:$C$28,3,FALSE)</f>
        <v>0</v>
      </c>
      <c r="R329" s="259">
        <f>IF(L329&gt;0,L329*I329/X329,0)*VLOOKUP(B329,'2-Kosten per locatie'!$A$14:$C$28,3,FALSE)</f>
        <v>0</v>
      </c>
      <c r="S329" s="259">
        <f>IF(M329&gt;0,M329*I329/Y329,0)*VLOOKUP(B329,'2-Kosten per locatie'!$A$14:$C$28,3,FALSE)</f>
        <v>0</v>
      </c>
      <c r="T329" s="259">
        <f>IF(N329&gt;0,N329*I329/Z329,0)*VLOOKUP(B329,'2-Kosten per locatie'!$A$14:$C$28,3,FALSE)</f>
        <v>0</v>
      </c>
      <c r="U329" s="259">
        <f>IF(O329&gt;0,O329*I329/Y329,0)*VLOOKUP(B329,'2-Kosten per locatie'!$A$14:$C$28,3,FALSE)</f>
        <v>0</v>
      </c>
      <c r="V329" s="259">
        <f>IF(P329&gt;0,P329*I329/Z329,0)*VLOOKUP(B329,'2-Kosten per locatie'!$A$14:$C$28,3,FALSE)</f>
        <v>0</v>
      </c>
      <c r="W329" s="348">
        <f>IF(K329="nio",0,IF(K329&gt;0,VLOOKUP(G329,'3-Productie normen'!A:N,VLOOKUP(K329,'3-Productie normen'!$B$27:$C$38,2,FALSE),FALSE)))</f>
        <v>0</v>
      </c>
      <c r="X329" s="348">
        <f t="shared" si="23"/>
        <v>0</v>
      </c>
      <c r="Y329" s="348">
        <f t="shared" si="24"/>
        <v>0</v>
      </c>
      <c r="Z329" s="348">
        <f t="shared" si="25"/>
        <v>0</v>
      </c>
      <c r="AA329" s="349" t="e">
        <f>VLOOKUP(G329,'3-Productie normen'!A:Q,15,FALSE)</f>
        <v>#N/A</v>
      </c>
      <c r="AB329" s="350" t="e">
        <f>VLOOKUP(G329,'3-Productie normen'!A:Q,16,FALSE)</f>
        <v>#N/A</v>
      </c>
      <c r="AC329" s="349"/>
      <c r="AE329" s="351">
        <f t="shared" si="21"/>
        <v>0</v>
      </c>
    </row>
    <row r="330" spans="1:31" ht="14.1" customHeight="1">
      <c r="A330" s="76">
        <v>330</v>
      </c>
      <c r="B330" s="496" t="s">
        <v>305</v>
      </c>
      <c r="C330" s="312" t="s">
        <v>306</v>
      </c>
      <c r="D330" s="91" t="s">
        <v>307</v>
      </c>
      <c r="E330" s="257">
        <v>47</v>
      </c>
      <c r="F330" s="91" t="s">
        <v>444</v>
      </c>
      <c r="G330" s="91" t="s">
        <v>461</v>
      </c>
      <c r="H330" s="91" t="s">
        <v>311</v>
      </c>
      <c r="I330" s="505">
        <v>13.49</v>
      </c>
      <c r="J330" s="347">
        <f t="shared" si="22"/>
        <v>0</v>
      </c>
      <c r="K330" s="260" t="s">
        <v>460</v>
      </c>
      <c r="L330" s="260"/>
      <c r="M330" s="260"/>
      <c r="N330" s="260"/>
      <c r="O330" s="260"/>
      <c r="P330" s="260"/>
      <c r="Q330" s="259">
        <f>IF(K330="nio",0,IF(K330&gt;0,K330*I330/W330,0))*VLOOKUP(B330,'2-Kosten per locatie'!$A$14:$C$28,3,FALSE)</f>
        <v>0</v>
      </c>
      <c r="R330" s="259">
        <f>IF(L330&gt;0,L330*I330/X330,0)*VLOOKUP(B330,'2-Kosten per locatie'!$A$14:$C$28,3,FALSE)</f>
        <v>0</v>
      </c>
      <c r="S330" s="259">
        <f>IF(M330&gt;0,M330*I330/Y330,0)*VLOOKUP(B330,'2-Kosten per locatie'!$A$14:$C$28,3,FALSE)</f>
        <v>0</v>
      </c>
      <c r="T330" s="259">
        <f>IF(N330&gt;0,N330*I330/Z330,0)*VLOOKUP(B330,'2-Kosten per locatie'!$A$14:$C$28,3,FALSE)</f>
        <v>0</v>
      </c>
      <c r="U330" s="259">
        <f>IF(O330&gt;0,O330*I330/Y330,0)*VLOOKUP(B330,'2-Kosten per locatie'!$A$14:$C$28,3,FALSE)</f>
        <v>0</v>
      </c>
      <c r="V330" s="259">
        <f>IF(P330&gt;0,P330*I330/Z330,0)*VLOOKUP(B330,'2-Kosten per locatie'!$A$14:$C$28,3,FALSE)</f>
        <v>0</v>
      </c>
      <c r="W330" s="348">
        <f>IF(K330="nio",0,IF(K330&gt;0,VLOOKUP(G330,'3-Productie normen'!A:N,VLOOKUP(K330,'3-Productie normen'!$B$27:$C$38,2,FALSE),FALSE)))</f>
        <v>0</v>
      </c>
      <c r="X330" s="348">
        <f t="shared" si="23"/>
        <v>0</v>
      </c>
      <c r="Y330" s="348">
        <f t="shared" si="24"/>
        <v>0</v>
      </c>
      <c r="Z330" s="348">
        <f t="shared" si="25"/>
        <v>0</v>
      </c>
      <c r="AA330" s="349" t="e">
        <f>VLOOKUP(G330,'3-Productie normen'!A:Q,15,FALSE)</f>
        <v>#N/A</v>
      </c>
      <c r="AB330" s="350" t="e">
        <f>VLOOKUP(G330,'3-Productie normen'!A:Q,16,FALSE)</f>
        <v>#N/A</v>
      </c>
      <c r="AC330" s="349"/>
      <c r="AE330" s="351">
        <f t="shared" ref="AE330:AE367" si="26">J330*I330</f>
        <v>0</v>
      </c>
    </row>
    <row r="331" spans="1:31" ht="14.1" customHeight="1">
      <c r="A331" s="76">
        <v>331</v>
      </c>
      <c r="B331" s="496" t="s">
        <v>305</v>
      </c>
      <c r="C331" s="312" t="s">
        <v>306</v>
      </c>
      <c r="D331" s="91" t="s">
        <v>307</v>
      </c>
      <c r="E331" s="257">
        <v>48</v>
      </c>
      <c r="F331" s="91" t="s">
        <v>375</v>
      </c>
      <c r="G331" s="91" t="s">
        <v>461</v>
      </c>
      <c r="H331" s="91" t="s">
        <v>311</v>
      </c>
      <c r="I331" s="505">
        <v>11.22</v>
      </c>
      <c r="J331" s="347">
        <f t="shared" ref="J331:J367" si="27">SUM(K331:P331)</f>
        <v>0</v>
      </c>
      <c r="K331" s="260" t="s">
        <v>460</v>
      </c>
      <c r="L331" s="260"/>
      <c r="M331" s="260"/>
      <c r="N331" s="260"/>
      <c r="O331" s="260"/>
      <c r="P331" s="260"/>
      <c r="Q331" s="259">
        <f>IF(K331="nio",0,IF(K331&gt;0,K331*I331/W331,0))*VLOOKUP(B331,'2-Kosten per locatie'!$A$14:$C$28,3,FALSE)</f>
        <v>0</v>
      </c>
      <c r="R331" s="259">
        <f>IF(L331&gt;0,L331*I331/X331,0)*VLOOKUP(B331,'2-Kosten per locatie'!$A$14:$C$28,3,FALSE)</f>
        <v>0</v>
      </c>
      <c r="S331" s="259">
        <f>IF(M331&gt;0,M331*I331/Y331,0)*VLOOKUP(B331,'2-Kosten per locatie'!$A$14:$C$28,3,FALSE)</f>
        <v>0</v>
      </c>
      <c r="T331" s="259">
        <f>IF(N331&gt;0,N331*I331/Z331,0)*VLOOKUP(B331,'2-Kosten per locatie'!$A$14:$C$28,3,FALSE)</f>
        <v>0</v>
      </c>
      <c r="U331" s="259">
        <f>IF(O331&gt;0,O331*I331/Y331,0)*VLOOKUP(B331,'2-Kosten per locatie'!$A$14:$C$28,3,FALSE)</f>
        <v>0</v>
      </c>
      <c r="V331" s="259">
        <f>IF(P331&gt;0,P331*I331/Z331,0)*VLOOKUP(B331,'2-Kosten per locatie'!$A$14:$C$28,3,FALSE)</f>
        <v>0</v>
      </c>
      <c r="W331" s="348">
        <f>IF(K331="nio",0,IF(K331&gt;0,VLOOKUP(G331,'3-Productie normen'!A:N,VLOOKUP(K331,'3-Productie normen'!$B$27:$C$38,2,FALSE),FALSE)))</f>
        <v>0</v>
      </c>
      <c r="X331" s="348">
        <f t="shared" ref="X331:X367" si="28">IF(L331&gt;0,W331*$X$8,0)</f>
        <v>0</v>
      </c>
      <c r="Y331" s="348">
        <f t="shared" ref="Y331:Y367" si="29">IF((OR(M331&gt;0,O331&gt;0)),W331*$Y$8,0)</f>
        <v>0</v>
      </c>
      <c r="Z331" s="348">
        <f t="shared" ref="Z331:Z367" si="30">IF((OR(N331&gt;0,P331&gt;0)),W331*$Z$8,0)</f>
        <v>0</v>
      </c>
      <c r="AA331" s="349" t="e">
        <f>VLOOKUP(G331,'3-Productie normen'!A:Q,15,FALSE)</f>
        <v>#N/A</v>
      </c>
      <c r="AB331" s="350" t="e">
        <f>VLOOKUP(G331,'3-Productie normen'!A:Q,16,FALSE)</f>
        <v>#N/A</v>
      </c>
      <c r="AC331" s="349"/>
      <c r="AE331" s="351">
        <f t="shared" si="26"/>
        <v>0</v>
      </c>
    </row>
    <row r="332" spans="1:31" ht="14.1" customHeight="1">
      <c r="A332" s="76">
        <v>332</v>
      </c>
      <c r="B332" s="496" t="s">
        <v>305</v>
      </c>
      <c r="C332" s="312" t="s">
        <v>306</v>
      </c>
      <c r="D332" s="91" t="s">
        <v>307</v>
      </c>
      <c r="E332" s="257">
        <v>49</v>
      </c>
      <c r="F332" s="91" t="s">
        <v>445</v>
      </c>
      <c r="G332" s="91" t="s">
        <v>461</v>
      </c>
      <c r="H332" s="91" t="s">
        <v>311</v>
      </c>
      <c r="I332" s="505">
        <v>164.77</v>
      </c>
      <c r="J332" s="347">
        <f t="shared" si="27"/>
        <v>0</v>
      </c>
      <c r="K332" s="260" t="s">
        <v>460</v>
      </c>
      <c r="L332" s="260"/>
      <c r="M332" s="260"/>
      <c r="N332" s="260"/>
      <c r="O332" s="260"/>
      <c r="P332" s="260"/>
      <c r="Q332" s="259">
        <f>IF(K332="nio",0,IF(K332&gt;0,K332*I332/W332,0))*VLOOKUP(B332,'2-Kosten per locatie'!$A$14:$C$28,3,FALSE)</f>
        <v>0</v>
      </c>
      <c r="R332" s="259">
        <f>IF(L332&gt;0,L332*I332/X332,0)*VLOOKUP(B332,'2-Kosten per locatie'!$A$14:$C$28,3,FALSE)</f>
        <v>0</v>
      </c>
      <c r="S332" s="259">
        <f>IF(M332&gt;0,M332*I332/Y332,0)*VLOOKUP(B332,'2-Kosten per locatie'!$A$14:$C$28,3,FALSE)</f>
        <v>0</v>
      </c>
      <c r="T332" s="259">
        <f>IF(N332&gt;0,N332*I332/Z332,0)*VLOOKUP(B332,'2-Kosten per locatie'!$A$14:$C$28,3,FALSE)</f>
        <v>0</v>
      </c>
      <c r="U332" s="259">
        <f>IF(O332&gt;0,O332*I332/Y332,0)*VLOOKUP(B332,'2-Kosten per locatie'!$A$14:$C$28,3,FALSE)</f>
        <v>0</v>
      </c>
      <c r="V332" s="259">
        <f>IF(P332&gt;0,P332*I332/Z332,0)*VLOOKUP(B332,'2-Kosten per locatie'!$A$14:$C$28,3,FALSE)</f>
        <v>0</v>
      </c>
      <c r="W332" s="348">
        <f>IF(K332="nio",0,IF(K332&gt;0,VLOOKUP(G332,'3-Productie normen'!A:N,VLOOKUP(K332,'3-Productie normen'!$B$27:$C$38,2,FALSE),FALSE)))</f>
        <v>0</v>
      </c>
      <c r="X332" s="348">
        <f t="shared" si="28"/>
        <v>0</v>
      </c>
      <c r="Y332" s="348">
        <f t="shared" si="29"/>
        <v>0</v>
      </c>
      <c r="Z332" s="348">
        <f t="shared" si="30"/>
        <v>0</v>
      </c>
      <c r="AA332" s="349" t="e">
        <f>VLOOKUP(G332,'3-Productie normen'!A:Q,15,FALSE)</f>
        <v>#N/A</v>
      </c>
      <c r="AB332" s="350" t="e">
        <f>VLOOKUP(G332,'3-Productie normen'!A:Q,16,FALSE)</f>
        <v>#N/A</v>
      </c>
      <c r="AC332" s="349"/>
      <c r="AE332" s="351">
        <f t="shared" si="26"/>
        <v>0</v>
      </c>
    </row>
    <row r="333" spans="1:31" ht="14.1" customHeight="1">
      <c r="A333" s="76">
        <v>333</v>
      </c>
      <c r="B333" s="496" t="s">
        <v>305</v>
      </c>
      <c r="C333" s="312" t="s">
        <v>306</v>
      </c>
      <c r="D333" s="91" t="s">
        <v>307</v>
      </c>
      <c r="E333" s="257">
        <v>50</v>
      </c>
      <c r="F333" s="91" t="s">
        <v>318</v>
      </c>
      <c r="G333" s="91" t="s">
        <v>461</v>
      </c>
      <c r="H333" s="91" t="s">
        <v>325</v>
      </c>
      <c r="I333" s="505">
        <v>6.29</v>
      </c>
      <c r="J333" s="347">
        <f t="shared" si="27"/>
        <v>0</v>
      </c>
      <c r="K333" s="260" t="s">
        <v>460</v>
      </c>
      <c r="L333" s="260"/>
      <c r="M333" s="260"/>
      <c r="N333" s="260"/>
      <c r="O333" s="260"/>
      <c r="P333" s="260"/>
      <c r="Q333" s="259">
        <f>IF(K333="nio",0,IF(K333&gt;0,K333*I333/W333,0))*VLOOKUP(B333,'2-Kosten per locatie'!$A$14:$C$28,3,FALSE)</f>
        <v>0</v>
      </c>
      <c r="R333" s="259">
        <f>IF(L333&gt;0,L333*I333/X333,0)*VLOOKUP(B333,'2-Kosten per locatie'!$A$14:$C$28,3,FALSE)</f>
        <v>0</v>
      </c>
      <c r="S333" s="259">
        <f>IF(M333&gt;0,M333*I333/Y333,0)*VLOOKUP(B333,'2-Kosten per locatie'!$A$14:$C$28,3,FALSE)</f>
        <v>0</v>
      </c>
      <c r="T333" s="259">
        <f>IF(N333&gt;0,N333*I333/Z333,0)*VLOOKUP(B333,'2-Kosten per locatie'!$A$14:$C$28,3,FALSE)</f>
        <v>0</v>
      </c>
      <c r="U333" s="259">
        <f>IF(O333&gt;0,O333*I333/Y333,0)*VLOOKUP(B333,'2-Kosten per locatie'!$A$14:$C$28,3,FALSE)</f>
        <v>0</v>
      </c>
      <c r="V333" s="259">
        <f>IF(P333&gt;0,P333*I333/Z333,0)*VLOOKUP(B333,'2-Kosten per locatie'!$A$14:$C$28,3,FALSE)</f>
        <v>0</v>
      </c>
      <c r="W333" s="348">
        <f>IF(K333="nio",0,IF(K333&gt;0,VLOOKUP(G333,'3-Productie normen'!A:N,VLOOKUP(K333,'3-Productie normen'!$B$27:$C$38,2,FALSE),FALSE)))</f>
        <v>0</v>
      </c>
      <c r="X333" s="348">
        <f t="shared" si="28"/>
        <v>0</v>
      </c>
      <c r="Y333" s="348">
        <f t="shared" si="29"/>
        <v>0</v>
      </c>
      <c r="Z333" s="348">
        <f t="shared" si="30"/>
        <v>0</v>
      </c>
      <c r="AA333" s="349" t="e">
        <f>VLOOKUP(G333,'3-Productie normen'!A:Q,15,FALSE)</f>
        <v>#N/A</v>
      </c>
      <c r="AB333" s="350" t="e">
        <f>VLOOKUP(G333,'3-Productie normen'!A:Q,16,FALSE)</f>
        <v>#N/A</v>
      </c>
      <c r="AC333" s="349"/>
      <c r="AE333" s="351">
        <f t="shared" si="26"/>
        <v>0</v>
      </c>
    </row>
    <row r="334" spans="1:31" ht="14.1" customHeight="1">
      <c r="A334" s="76">
        <v>334</v>
      </c>
      <c r="B334" s="496" t="s">
        <v>305</v>
      </c>
      <c r="C334" s="312" t="s">
        <v>306</v>
      </c>
      <c r="D334" s="91" t="s">
        <v>307</v>
      </c>
      <c r="E334" s="257">
        <v>51</v>
      </c>
      <c r="F334" s="91" t="s">
        <v>318</v>
      </c>
      <c r="G334" s="91" t="s">
        <v>461</v>
      </c>
      <c r="H334" s="91" t="s">
        <v>325</v>
      </c>
      <c r="I334" s="505">
        <v>18.87</v>
      </c>
      <c r="J334" s="347">
        <f t="shared" si="27"/>
        <v>0</v>
      </c>
      <c r="K334" s="260" t="s">
        <v>460</v>
      </c>
      <c r="L334" s="260"/>
      <c r="M334" s="260"/>
      <c r="N334" s="260"/>
      <c r="O334" s="260"/>
      <c r="P334" s="260"/>
      <c r="Q334" s="259">
        <f>IF(K334="nio",0,IF(K334&gt;0,K334*I334/W334,0))*VLOOKUP(B334,'2-Kosten per locatie'!$A$14:$C$28,3,FALSE)</f>
        <v>0</v>
      </c>
      <c r="R334" s="259">
        <f>IF(L334&gt;0,L334*I334/X334,0)*VLOOKUP(B334,'2-Kosten per locatie'!$A$14:$C$28,3,FALSE)</f>
        <v>0</v>
      </c>
      <c r="S334" s="259">
        <f>IF(M334&gt;0,M334*I334/Y334,0)*VLOOKUP(B334,'2-Kosten per locatie'!$A$14:$C$28,3,FALSE)</f>
        <v>0</v>
      </c>
      <c r="T334" s="259">
        <f>IF(N334&gt;0,N334*I334/Z334,0)*VLOOKUP(B334,'2-Kosten per locatie'!$A$14:$C$28,3,FALSE)</f>
        <v>0</v>
      </c>
      <c r="U334" s="259">
        <f>IF(O334&gt;0,O334*I334/Y334,0)*VLOOKUP(B334,'2-Kosten per locatie'!$A$14:$C$28,3,FALSE)</f>
        <v>0</v>
      </c>
      <c r="V334" s="259">
        <f>IF(P334&gt;0,P334*I334/Z334,0)*VLOOKUP(B334,'2-Kosten per locatie'!$A$14:$C$28,3,FALSE)</f>
        <v>0</v>
      </c>
      <c r="W334" s="348">
        <f>IF(K334="nio",0,IF(K334&gt;0,VLOOKUP(G334,'3-Productie normen'!A:N,VLOOKUP(K334,'3-Productie normen'!$B$27:$C$38,2,FALSE),FALSE)))</f>
        <v>0</v>
      </c>
      <c r="X334" s="348">
        <f t="shared" si="28"/>
        <v>0</v>
      </c>
      <c r="Y334" s="348">
        <f t="shared" si="29"/>
        <v>0</v>
      </c>
      <c r="Z334" s="348">
        <f t="shared" si="30"/>
        <v>0</v>
      </c>
      <c r="AA334" s="349" t="e">
        <f>VLOOKUP(G334,'3-Productie normen'!A:Q,15,FALSE)</f>
        <v>#N/A</v>
      </c>
      <c r="AB334" s="350" t="e">
        <f>VLOOKUP(G334,'3-Productie normen'!A:Q,16,FALSE)</f>
        <v>#N/A</v>
      </c>
      <c r="AC334" s="349"/>
      <c r="AE334" s="351">
        <f t="shared" si="26"/>
        <v>0</v>
      </c>
    </row>
    <row r="335" spans="1:31" ht="14.1" customHeight="1">
      <c r="A335" s="76">
        <v>335</v>
      </c>
      <c r="B335" s="496" t="s">
        <v>305</v>
      </c>
      <c r="C335" s="312" t="s">
        <v>306</v>
      </c>
      <c r="D335" s="91" t="s">
        <v>307</v>
      </c>
      <c r="E335" s="257">
        <v>52</v>
      </c>
      <c r="F335" s="91" t="s">
        <v>446</v>
      </c>
      <c r="G335" s="91" t="s">
        <v>461</v>
      </c>
      <c r="H335" s="91" t="s">
        <v>309</v>
      </c>
      <c r="I335" s="505">
        <v>46.09</v>
      </c>
      <c r="J335" s="347">
        <f t="shared" si="27"/>
        <v>0</v>
      </c>
      <c r="K335" s="260" t="s">
        <v>460</v>
      </c>
      <c r="L335" s="260"/>
      <c r="M335" s="260"/>
      <c r="N335" s="260"/>
      <c r="O335" s="260"/>
      <c r="P335" s="260"/>
      <c r="Q335" s="259">
        <f>IF(K335="nio",0,IF(K335&gt;0,K335*I335/W335,0))*VLOOKUP(B335,'2-Kosten per locatie'!$A$14:$C$28,3,FALSE)</f>
        <v>0</v>
      </c>
      <c r="R335" s="259">
        <f>IF(L335&gt;0,L335*I335/X335,0)*VLOOKUP(B335,'2-Kosten per locatie'!$A$14:$C$28,3,FALSE)</f>
        <v>0</v>
      </c>
      <c r="S335" s="259">
        <f>IF(M335&gt;0,M335*I335/Y335,0)*VLOOKUP(B335,'2-Kosten per locatie'!$A$14:$C$28,3,FALSE)</f>
        <v>0</v>
      </c>
      <c r="T335" s="259">
        <f>IF(N335&gt;0,N335*I335/Z335,0)*VLOOKUP(B335,'2-Kosten per locatie'!$A$14:$C$28,3,FALSE)</f>
        <v>0</v>
      </c>
      <c r="U335" s="259">
        <f>IF(O335&gt;0,O335*I335/Y335,0)*VLOOKUP(B335,'2-Kosten per locatie'!$A$14:$C$28,3,FALSE)</f>
        <v>0</v>
      </c>
      <c r="V335" s="259">
        <f>IF(P335&gt;0,P335*I335/Z335,0)*VLOOKUP(B335,'2-Kosten per locatie'!$A$14:$C$28,3,FALSE)</f>
        <v>0</v>
      </c>
      <c r="W335" s="348">
        <f>IF(K335="nio",0,IF(K335&gt;0,VLOOKUP(G335,'3-Productie normen'!A:N,VLOOKUP(K335,'3-Productie normen'!$B$27:$C$38,2,FALSE),FALSE)))</f>
        <v>0</v>
      </c>
      <c r="X335" s="348">
        <f t="shared" si="28"/>
        <v>0</v>
      </c>
      <c r="Y335" s="348">
        <f t="shared" si="29"/>
        <v>0</v>
      </c>
      <c r="Z335" s="348">
        <f t="shared" si="30"/>
        <v>0</v>
      </c>
      <c r="AA335" s="349" t="e">
        <f>VLOOKUP(G335,'3-Productie normen'!A:Q,15,FALSE)</f>
        <v>#N/A</v>
      </c>
      <c r="AB335" s="350" t="e">
        <f>VLOOKUP(G335,'3-Productie normen'!A:Q,16,FALSE)</f>
        <v>#N/A</v>
      </c>
      <c r="AC335" s="349"/>
      <c r="AE335" s="351">
        <f t="shared" si="26"/>
        <v>0</v>
      </c>
    </row>
    <row r="336" spans="1:31" ht="14.1" customHeight="1">
      <c r="A336" s="76">
        <v>336</v>
      </c>
      <c r="B336" s="496" t="s">
        <v>305</v>
      </c>
      <c r="C336" s="312" t="s">
        <v>306</v>
      </c>
      <c r="D336" s="91" t="s">
        <v>307</v>
      </c>
      <c r="E336" s="257">
        <v>53</v>
      </c>
      <c r="F336" s="91" t="s">
        <v>447</v>
      </c>
      <c r="G336" s="91" t="s">
        <v>461</v>
      </c>
      <c r="H336" s="91" t="s">
        <v>330</v>
      </c>
      <c r="I336" s="505">
        <v>3.49</v>
      </c>
      <c r="J336" s="347">
        <f t="shared" si="27"/>
        <v>0</v>
      </c>
      <c r="K336" s="260" t="s">
        <v>460</v>
      </c>
      <c r="L336" s="260"/>
      <c r="M336" s="260"/>
      <c r="N336" s="260"/>
      <c r="O336" s="260"/>
      <c r="P336" s="260"/>
      <c r="Q336" s="259">
        <f>IF(K336="nio",0,IF(K336&gt;0,K336*I336/W336,0))*VLOOKUP(B336,'2-Kosten per locatie'!$A$14:$C$28,3,FALSE)</f>
        <v>0</v>
      </c>
      <c r="R336" s="259">
        <f>IF(L336&gt;0,L336*I336/X336,0)*VLOOKUP(B336,'2-Kosten per locatie'!$A$14:$C$28,3,FALSE)</f>
        <v>0</v>
      </c>
      <c r="S336" s="259">
        <f>IF(M336&gt;0,M336*I336/Y336,0)*VLOOKUP(B336,'2-Kosten per locatie'!$A$14:$C$28,3,FALSE)</f>
        <v>0</v>
      </c>
      <c r="T336" s="259">
        <f>IF(N336&gt;0,N336*I336/Z336,0)*VLOOKUP(B336,'2-Kosten per locatie'!$A$14:$C$28,3,FALSE)</f>
        <v>0</v>
      </c>
      <c r="U336" s="259">
        <f>IF(O336&gt;0,O336*I336/Y336,0)*VLOOKUP(B336,'2-Kosten per locatie'!$A$14:$C$28,3,FALSE)</f>
        <v>0</v>
      </c>
      <c r="V336" s="259">
        <f>IF(P336&gt;0,P336*I336/Z336,0)*VLOOKUP(B336,'2-Kosten per locatie'!$A$14:$C$28,3,FALSE)</f>
        <v>0</v>
      </c>
      <c r="W336" s="348">
        <f>IF(K336="nio",0,IF(K336&gt;0,VLOOKUP(G336,'3-Productie normen'!A:N,VLOOKUP(K336,'3-Productie normen'!$B$27:$C$38,2,FALSE),FALSE)))</f>
        <v>0</v>
      </c>
      <c r="X336" s="348">
        <f t="shared" si="28"/>
        <v>0</v>
      </c>
      <c r="Y336" s="348">
        <f t="shared" si="29"/>
        <v>0</v>
      </c>
      <c r="Z336" s="348">
        <f t="shared" si="30"/>
        <v>0</v>
      </c>
      <c r="AA336" s="349" t="e">
        <f>VLOOKUP(G336,'3-Productie normen'!A:Q,15,FALSE)</f>
        <v>#N/A</v>
      </c>
      <c r="AB336" s="350" t="e">
        <f>VLOOKUP(G336,'3-Productie normen'!A:Q,16,FALSE)</f>
        <v>#N/A</v>
      </c>
      <c r="AC336" s="349"/>
      <c r="AE336" s="351">
        <f t="shared" si="26"/>
        <v>0</v>
      </c>
    </row>
    <row r="337" spans="1:31" ht="14.1" customHeight="1">
      <c r="A337" s="76">
        <v>337</v>
      </c>
      <c r="B337" s="496" t="s">
        <v>305</v>
      </c>
      <c r="C337" s="312" t="s">
        <v>306</v>
      </c>
      <c r="D337" s="91" t="s">
        <v>307</v>
      </c>
      <c r="E337" s="257">
        <v>54</v>
      </c>
      <c r="F337" s="91" t="s">
        <v>448</v>
      </c>
      <c r="G337" s="91" t="s">
        <v>461</v>
      </c>
      <c r="H337" s="91" t="s">
        <v>311</v>
      </c>
      <c r="I337" s="505">
        <v>21.07</v>
      </c>
      <c r="J337" s="347">
        <f t="shared" si="27"/>
        <v>0</v>
      </c>
      <c r="K337" s="260" t="s">
        <v>460</v>
      </c>
      <c r="L337" s="260"/>
      <c r="M337" s="260"/>
      <c r="N337" s="260"/>
      <c r="O337" s="260"/>
      <c r="P337" s="260"/>
      <c r="Q337" s="259">
        <f>IF(K337="nio",0,IF(K337&gt;0,K337*I337/W337,0))*VLOOKUP(B337,'2-Kosten per locatie'!$A$14:$C$28,3,FALSE)</f>
        <v>0</v>
      </c>
      <c r="R337" s="259">
        <f>IF(L337&gt;0,L337*I337/X337,0)*VLOOKUP(B337,'2-Kosten per locatie'!$A$14:$C$28,3,FALSE)</f>
        <v>0</v>
      </c>
      <c r="S337" s="259">
        <f>IF(M337&gt;0,M337*I337/Y337,0)*VLOOKUP(B337,'2-Kosten per locatie'!$A$14:$C$28,3,FALSE)</f>
        <v>0</v>
      </c>
      <c r="T337" s="259">
        <f>IF(N337&gt;0,N337*I337/Z337,0)*VLOOKUP(B337,'2-Kosten per locatie'!$A$14:$C$28,3,FALSE)</f>
        <v>0</v>
      </c>
      <c r="U337" s="259">
        <f>IF(O337&gt;0,O337*I337/Y337,0)*VLOOKUP(B337,'2-Kosten per locatie'!$A$14:$C$28,3,FALSE)</f>
        <v>0</v>
      </c>
      <c r="V337" s="259">
        <f>IF(P337&gt;0,P337*I337/Z337,0)*VLOOKUP(B337,'2-Kosten per locatie'!$A$14:$C$28,3,FALSE)</f>
        <v>0</v>
      </c>
      <c r="W337" s="348">
        <f>IF(K337="nio",0,IF(K337&gt;0,VLOOKUP(G337,'3-Productie normen'!A:N,VLOOKUP(K337,'3-Productie normen'!$B$27:$C$38,2,FALSE),FALSE)))</f>
        <v>0</v>
      </c>
      <c r="X337" s="348">
        <f t="shared" si="28"/>
        <v>0</v>
      </c>
      <c r="Y337" s="348">
        <f t="shared" si="29"/>
        <v>0</v>
      </c>
      <c r="Z337" s="348">
        <f t="shared" si="30"/>
        <v>0</v>
      </c>
      <c r="AA337" s="349" t="e">
        <f>VLOOKUP(G337,'3-Productie normen'!A:Q,15,FALSE)</f>
        <v>#N/A</v>
      </c>
      <c r="AB337" s="350" t="e">
        <f>VLOOKUP(G337,'3-Productie normen'!A:Q,16,FALSE)</f>
        <v>#N/A</v>
      </c>
      <c r="AC337" s="349"/>
      <c r="AE337" s="351">
        <f t="shared" si="26"/>
        <v>0</v>
      </c>
    </row>
    <row r="338" spans="1:31" ht="14.1" customHeight="1">
      <c r="A338" s="76">
        <v>338</v>
      </c>
      <c r="B338" s="496" t="s">
        <v>305</v>
      </c>
      <c r="C338" s="312" t="s">
        <v>306</v>
      </c>
      <c r="D338" s="91" t="s">
        <v>307</v>
      </c>
      <c r="E338" s="257">
        <v>55</v>
      </c>
      <c r="F338" s="91" t="s">
        <v>336</v>
      </c>
      <c r="G338" s="91" t="s">
        <v>461</v>
      </c>
      <c r="H338" s="91" t="s">
        <v>311</v>
      </c>
      <c r="I338" s="505">
        <v>5.19</v>
      </c>
      <c r="J338" s="347">
        <f t="shared" si="27"/>
        <v>0</v>
      </c>
      <c r="K338" s="260" t="s">
        <v>460</v>
      </c>
      <c r="L338" s="260"/>
      <c r="M338" s="260"/>
      <c r="N338" s="260"/>
      <c r="O338" s="260"/>
      <c r="P338" s="260"/>
      <c r="Q338" s="259">
        <f>IF(K338="nio",0,IF(K338&gt;0,K338*I338/W338,0))*VLOOKUP(B338,'2-Kosten per locatie'!$A$14:$C$28,3,FALSE)</f>
        <v>0</v>
      </c>
      <c r="R338" s="259">
        <f>IF(L338&gt;0,L338*I338/X338,0)*VLOOKUP(B338,'2-Kosten per locatie'!$A$14:$C$28,3,FALSE)</f>
        <v>0</v>
      </c>
      <c r="S338" s="259">
        <f>IF(M338&gt;0,M338*I338/Y338,0)*VLOOKUP(B338,'2-Kosten per locatie'!$A$14:$C$28,3,FALSE)</f>
        <v>0</v>
      </c>
      <c r="T338" s="259">
        <f>IF(N338&gt;0,N338*I338/Z338,0)*VLOOKUP(B338,'2-Kosten per locatie'!$A$14:$C$28,3,FALSE)</f>
        <v>0</v>
      </c>
      <c r="U338" s="259">
        <f>IF(O338&gt;0,O338*I338/Y338,0)*VLOOKUP(B338,'2-Kosten per locatie'!$A$14:$C$28,3,FALSE)</f>
        <v>0</v>
      </c>
      <c r="V338" s="259">
        <f>IF(P338&gt;0,P338*I338/Z338,0)*VLOOKUP(B338,'2-Kosten per locatie'!$A$14:$C$28,3,FALSE)</f>
        <v>0</v>
      </c>
      <c r="W338" s="348">
        <f>IF(K338="nio",0,IF(K338&gt;0,VLOOKUP(G338,'3-Productie normen'!A:N,VLOOKUP(K338,'3-Productie normen'!$B$27:$C$38,2,FALSE),FALSE)))</f>
        <v>0</v>
      </c>
      <c r="X338" s="348">
        <f t="shared" si="28"/>
        <v>0</v>
      </c>
      <c r="Y338" s="348">
        <f t="shared" si="29"/>
        <v>0</v>
      </c>
      <c r="Z338" s="348">
        <f t="shared" si="30"/>
        <v>0</v>
      </c>
      <c r="AA338" s="349" t="e">
        <f>VLOOKUP(G338,'3-Productie normen'!A:Q,15,FALSE)</f>
        <v>#N/A</v>
      </c>
      <c r="AB338" s="350" t="e">
        <f>VLOOKUP(G338,'3-Productie normen'!A:Q,16,FALSE)</f>
        <v>#N/A</v>
      </c>
      <c r="AC338" s="349"/>
      <c r="AE338" s="351">
        <f t="shared" si="26"/>
        <v>0</v>
      </c>
    </row>
    <row r="339" spans="1:31" ht="14.1" customHeight="1">
      <c r="A339" s="76">
        <v>339</v>
      </c>
      <c r="B339" s="496" t="s">
        <v>305</v>
      </c>
      <c r="C339" s="312" t="s">
        <v>306</v>
      </c>
      <c r="D339" s="91" t="s">
        <v>307</v>
      </c>
      <c r="E339" s="257">
        <v>56</v>
      </c>
      <c r="F339" s="91" t="s">
        <v>327</v>
      </c>
      <c r="G339" s="91" t="s">
        <v>461</v>
      </c>
      <c r="H339" s="91" t="s">
        <v>311</v>
      </c>
      <c r="I339" s="505">
        <v>12.049999999999999</v>
      </c>
      <c r="J339" s="347">
        <f t="shared" si="27"/>
        <v>0</v>
      </c>
      <c r="K339" s="260" t="s">
        <v>460</v>
      </c>
      <c r="L339" s="260"/>
      <c r="M339" s="260"/>
      <c r="N339" s="260"/>
      <c r="O339" s="260"/>
      <c r="P339" s="260"/>
      <c r="Q339" s="259">
        <f>IF(K339="nio",0,IF(K339&gt;0,K339*I339/W339,0))*VLOOKUP(B339,'2-Kosten per locatie'!$A$14:$C$28,3,FALSE)</f>
        <v>0</v>
      </c>
      <c r="R339" s="259">
        <f>IF(L339&gt;0,L339*I339/X339,0)*VLOOKUP(B339,'2-Kosten per locatie'!$A$14:$C$28,3,FALSE)</f>
        <v>0</v>
      </c>
      <c r="S339" s="259">
        <f>IF(M339&gt;0,M339*I339/Y339,0)*VLOOKUP(B339,'2-Kosten per locatie'!$A$14:$C$28,3,FALSE)</f>
        <v>0</v>
      </c>
      <c r="T339" s="259">
        <f>IF(N339&gt;0,N339*I339/Z339,0)*VLOOKUP(B339,'2-Kosten per locatie'!$A$14:$C$28,3,FALSE)</f>
        <v>0</v>
      </c>
      <c r="U339" s="259">
        <f>IF(O339&gt;0,O339*I339/Y339,0)*VLOOKUP(B339,'2-Kosten per locatie'!$A$14:$C$28,3,FALSE)</f>
        <v>0</v>
      </c>
      <c r="V339" s="259">
        <f>IF(P339&gt;0,P339*I339/Z339,0)*VLOOKUP(B339,'2-Kosten per locatie'!$A$14:$C$28,3,FALSE)</f>
        <v>0</v>
      </c>
      <c r="W339" s="348">
        <f>IF(K339="nio",0,IF(K339&gt;0,VLOOKUP(G339,'3-Productie normen'!A:N,VLOOKUP(K339,'3-Productie normen'!$B$27:$C$38,2,FALSE),FALSE)))</f>
        <v>0</v>
      </c>
      <c r="X339" s="348">
        <f t="shared" si="28"/>
        <v>0</v>
      </c>
      <c r="Y339" s="348">
        <f t="shared" si="29"/>
        <v>0</v>
      </c>
      <c r="Z339" s="348">
        <f t="shared" si="30"/>
        <v>0</v>
      </c>
      <c r="AA339" s="349" t="e">
        <f>VLOOKUP(G339,'3-Productie normen'!A:Q,15,FALSE)</f>
        <v>#N/A</v>
      </c>
      <c r="AB339" s="350" t="e">
        <f>VLOOKUP(G339,'3-Productie normen'!A:Q,16,FALSE)</f>
        <v>#N/A</v>
      </c>
      <c r="AC339" s="349"/>
      <c r="AE339" s="351">
        <f t="shared" si="26"/>
        <v>0</v>
      </c>
    </row>
    <row r="340" spans="1:31" ht="14.1" customHeight="1">
      <c r="A340" s="76">
        <v>340</v>
      </c>
      <c r="B340" s="496" t="s">
        <v>305</v>
      </c>
      <c r="C340" s="312" t="s">
        <v>306</v>
      </c>
      <c r="D340" s="91" t="s">
        <v>307</v>
      </c>
      <c r="E340" s="257">
        <v>57</v>
      </c>
      <c r="F340" s="91" t="s">
        <v>328</v>
      </c>
      <c r="G340" s="91" t="s">
        <v>461</v>
      </c>
      <c r="H340" s="91" t="s">
        <v>311</v>
      </c>
      <c r="I340" s="505">
        <v>7.13</v>
      </c>
      <c r="J340" s="347">
        <f t="shared" si="27"/>
        <v>0</v>
      </c>
      <c r="K340" s="260" t="s">
        <v>460</v>
      </c>
      <c r="L340" s="260"/>
      <c r="M340" s="260"/>
      <c r="N340" s="260"/>
      <c r="O340" s="260"/>
      <c r="P340" s="260"/>
      <c r="Q340" s="259">
        <f>IF(K340="nio",0,IF(K340&gt;0,K340*I340/W340,0))*VLOOKUP(B340,'2-Kosten per locatie'!$A$14:$C$28,3,FALSE)</f>
        <v>0</v>
      </c>
      <c r="R340" s="259">
        <f>IF(L340&gt;0,L340*I340/X340,0)*VLOOKUP(B340,'2-Kosten per locatie'!$A$14:$C$28,3,FALSE)</f>
        <v>0</v>
      </c>
      <c r="S340" s="259">
        <f>IF(M340&gt;0,M340*I340/Y340,0)*VLOOKUP(B340,'2-Kosten per locatie'!$A$14:$C$28,3,FALSE)</f>
        <v>0</v>
      </c>
      <c r="T340" s="259">
        <f>IF(N340&gt;0,N340*I340/Z340,0)*VLOOKUP(B340,'2-Kosten per locatie'!$A$14:$C$28,3,FALSE)</f>
        <v>0</v>
      </c>
      <c r="U340" s="259">
        <f>IF(O340&gt;0,O340*I340/Y340,0)*VLOOKUP(B340,'2-Kosten per locatie'!$A$14:$C$28,3,FALSE)</f>
        <v>0</v>
      </c>
      <c r="V340" s="259">
        <f>IF(P340&gt;0,P340*I340/Z340,0)*VLOOKUP(B340,'2-Kosten per locatie'!$A$14:$C$28,3,FALSE)</f>
        <v>0</v>
      </c>
      <c r="W340" s="348">
        <f>IF(K340="nio",0,IF(K340&gt;0,VLOOKUP(G340,'3-Productie normen'!A:N,VLOOKUP(K340,'3-Productie normen'!$B$27:$C$38,2,FALSE),FALSE)))</f>
        <v>0</v>
      </c>
      <c r="X340" s="348">
        <f t="shared" si="28"/>
        <v>0</v>
      </c>
      <c r="Y340" s="348">
        <f t="shared" si="29"/>
        <v>0</v>
      </c>
      <c r="Z340" s="348">
        <f t="shared" si="30"/>
        <v>0</v>
      </c>
      <c r="AA340" s="349" t="e">
        <f>VLOOKUP(G340,'3-Productie normen'!A:Q,15,FALSE)</f>
        <v>#N/A</v>
      </c>
      <c r="AB340" s="350" t="e">
        <f>VLOOKUP(G340,'3-Productie normen'!A:Q,16,FALSE)</f>
        <v>#N/A</v>
      </c>
      <c r="AC340" s="349"/>
      <c r="AE340" s="351">
        <f t="shared" si="26"/>
        <v>0</v>
      </c>
    </row>
    <row r="341" spans="1:31" ht="14.1" customHeight="1">
      <c r="A341" s="76">
        <v>341</v>
      </c>
      <c r="B341" s="496" t="s">
        <v>305</v>
      </c>
      <c r="C341" s="312" t="s">
        <v>306</v>
      </c>
      <c r="D341" s="91" t="s">
        <v>307</v>
      </c>
      <c r="E341" s="257">
        <v>58</v>
      </c>
      <c r="F341" s="91" t="s">
        <v>449</v>
      </c>
      <c r="G341" s="91" t="s">
        <v>461</v>
      </c>
      <c r="H341" s="91" t="s">
        <v>311</v>
      </c>
      <c r="I341" s="505">
        <v>24.44</v>
      </c>
      <c r="J341" s="347">
        <f t="shared" si="27"/>
        <v>0</v>
      </c>
      <c r="K341" s="260" t="s">
        <v>460</v>
      </c>
      <c r="L341" s="260"/>
      <c r="M341" s="260"/>
      <c r="N341" s="260"/>
      <c r="O341" s="260"/>
      <c r="P341" s="260"/>
      <c r="Q341" s="259">
        <f>IF(K341="nio",0,IF(K341&gt;0,K341*I341/W341,0))*VLOOKUP(B341,'2-Kosten per locatie'!$A$14:$C$28,3,FALSE)</f>
        <v>0</v>
      </c>
      <c r="R341" s="259">
        <f>IF(L341&gt;0,L341*I341/X341,0)*VLOOKUP(B341,'2-Kosten per locatie'!$A$14:$C$28,3,FALSE)</f>
        <v>0</v>
      </c>
      <c r="S341" s="259">
        <f>IF(M341&gt;0,M341*I341/Y341,0)*VLOOKUP(B341,'2-Kosten per locatie'!$A$14:$C$28,3,FALSE)</f>
        <v>0</v>
      </c>
      <c r="T341" s="259">
        <f>IF(N341&gt;0,N341*I341/Z341,0)*VLOOKUP(B341,'2-Kosten per locatie'!$A$14:$C$28,3,FALSE)</f>
        <v>0</v>
      </c>
      <c r="U341" s="259">
        <f>IF(O341&gt;0,O341*I341/Y341,0)*VLOOKUP(B341,'2-Kosten per locatie'!$A$14:$C$28,3,FALSE)</f>
        <v>0</v>
      </c>
      <c r="V341" s="259">
        <f>IF(P341&gt;0,P341*I341/Z341,0)*VLOOKUP(B341,'2-Kosten per locatie'!$A$14:$C$28,3,FALSE)</f>
        <v>0</v>
      </c>
      <c r="W341" s="348">
        <f>IF(K341="nio",0,IF(K341&gt;0,VLOOKUP(G341,'3-Productie normen'!A:N,VLOOKUP(K341,'3-Productie normen'!$B$27:$C$38,2,FALSE),FALSE)))</f>
        <v>0</v>
      </c>
      <c r="X341" s="348">
        <f t="shared" si="28"/>
        <v>0</v>
      </c>
      <c r="Y341" s="348">
        <f t="shared" si="29"/>
        <v>0</v>
      </c>
      <c r="Z341" s="348">
        <f t="shared" si="30"/>
        <v>0</v>
      </c>
      <c r="AA341" s="349" t="e">
        <f>VLOOKUP(G341,'3-Productie normen'!A:Q,15,FALSE)</f>
        <v>#N/A</v>
      </c>
      <c r="AB341" s="350" t="e">
        <f>VLOOKUP(G341,'3-Productie normen'!A:Q,16,FALSE)</f>
        <v>#N/A</v>
      </c>
      <c r="AC341" s="349"/>
      <c r="AE341" s="351">
        <f t="shared" si="26"/>
        <v>0</v>
      </c>
    </row>
    <row r="342" spans="1:31" ht="14.1" customHeight="1">
      <c r="A342" s="76">
        <v>342</v>
      </c>
      <c r="B342" s="496" t="s">
        <v>305</v>
      </c>
      <c r="C342" s="312" t="s">
        <v>306</v>
      </c>
      <c r="D342" s="91" t="s">
        <v>307</v>
      </c>
      <c r="E342" s="257">
        <v>59</v>
      </c>
      <c r="F342" s="91" t="s">
        <v>310</v>
      </c>
      <c r="G342" s="91" t="s">
        <v>461</v>
      </c>
      <c r="H342" s="91" t="s">
        <v>311</v>
      </c>
      <c r="I342" s="505">
        <v>2.11</v>
      </c>
      <c r="J342" s="347">
        <f t="shared" si="27"/>
        <v>0</v>
      </c>
      <c r="K342" s="260" t="s">
        <v>460</v>
      </c>
      <c r="L342" s="260"/>
      <c r="M342" s="260"/>
      <c r="N342" s="260"/>
      <c r="O342" s="260"/>
      <c r="P342" s="260"/>
      <c r="Q342" s="259">
        <f>IF(K342="nio",0,IF(K342&gt;0,K342*I342/W342,0))*VLOOKUP(B342,'2-Kosten per locatie'!$A$14:$C$28,3,FALSE)</f>
        <v>0</v>
      </c>
      <c r="R342" s="259">
        <f>IF(L342&gt;0,L342*I342/X342,0)*VLOOKUP(B342,'2-Kosten per locatie'!$A$14:$C$28,3,FALSE)</f>
        <v>0</v>
      </c>
      <c r="S342" s="259">
        <f>IF(M342&gt;0,M342*I342/Y342,0)*VLOOKUP(B342,'2-Kosten per locatie'!$A$14:$C$28,3,FALSE)</f>
        <v>0</v>
      </c>
      <c r="T342" s="259">
        <f>IF(N342&gt;0,N342*I342/Z342,0)*VLOOKUP(B342,'2-Kosten per locatie'!$A$14:$C$28,3,FALSE)</f>
        <v>0</v>
      </c>
      <c r="U342" s="259">
        <f>IF(O342&gt;0,O342*I342/Y342,0)*VLOOKUP(B342,'2-Kosten per locatie'!$A$14:$C$28,3,FALSE)</f>
        <v>0</v>
      </c>
      <c r="V342" s="259">
        <f>IF(P342&gt;0,P342*I342/Z342,0)*VLOOKUP(B342,'2-Kosten per locatie'!$A$14:$C$28,3,FALSE)</f>
        <v>0</v>
      </c>
      <c r="W342" s="348">
        <f>IF(K342="nio",0,IF(K342&gt;0,VLOOKUP(G342,'3-Productie normen'!A:N,VLOOKUP(K342,'3-Productie normen'!$B$27:$C$38,2,FALSE),FALSE)))</f>
        <v>0</v>
      </c>
      <c r="X342" s="348">
        <f t="shared" si="28"/>
        <v>0</v>
      </c>
      <c r="Y342" s="348">
        <f t="shared" si="29"/>
        <v>0</v>
      </c>
      <c r="Z342" s="348">
        <f t="shared" si="30"/>
        <v>0</v>
      </c>
      <c r="AA342" s="349" t="e">
        <f>VLOOKUP(G342,'3-Productie normen'!A:Q,15,FALSE)</f>
        <v>#N/A</v>
      </c>
      <c r="AB342" s="350" t="e">
        <f>VLOOKUP(G342,'3-Productie normen'!A:Q,16,FALSE)</f>
        <v>#N/A</v>
      </c>
      <c r="AC342" s="349"/>
      <c r="AE342" s="351">
        <f t="shared" si="26"/>
        <v>0</v>
      </c>
    </row>
    <row r="343" spans="1:31" ht="14.1" customHeight="1">
      <c r="A343" s="76">
        <v>343</v>
      </c>
      <c r="B343" s="496" t="s">
        <v>305</v>
      </c>
      <c r="C343" s="312" t="s">
        <v>306</v>
      </c>
      <c r="D343" s="91" t="s">
        <v>307</v>
      </c>
      <c r="E343" s="257">
        <v>60</v>
      </c>
      <c r="F343" s="91" t="s">
        <v>312</v>
      </c>
      <c r="G343" s="91" t="s">
        <v>461</v>
      </c>
      <c r="H343" s="91" t="s">
        <v>311</v>
      </c>
      <c r="I343" s="505">
        <v>5.01</v>
      </c>
      <c r="J343" s="347">
        <f t="shared" si="27"/>
        <v>0</v>
      </c>
      <c r="K343" s="260" t="s">
        <v>460</v>
      </c>
      <c r="L343" s="260"/>
      <c r="M343" s="260"/>
      <c r="N343" s="260"/>
      <c r="O343" s="260"/>
      <c r="P343" s="260"/>
      <c r="Q343" s="259">
        <f>IF(K343="nio",0,IF(K343&gt;0,K343*I343/W343,0))*VLOOKUP(B343,'2-Kosten per locatie'!$A$14:$C$28,3,FALSE)</f>
        <v>0</v>
      </c>
      <c r="R343" s="259">
        <f>IF(L343&gt;0,L343*I343/X343,0)*VLOOKUP(B343,'2-Kosten per locatie'!$A$14:$C$28,3,FALSE)</f>
        <v>0</v>
      </c>
      <c r="S343" s="259">
        <f>IF(M343&gt;0,M343*I343/Y343,0)*VLOOKUP(B343,'2-Kosten per locatie'!$A$14:$C$28,3,FALSE)</f>
        <v>0</v>
      </c>
      <c r="T343" s="259">
        <f>IF(N343&gt;0,N343*I343/Z343,0)*VLOOKUP(B343,'2-Kosten per locatie'!$A$14:$C$28,3,FALSE)</f>
        <v>0</v>
      </c>
      <c r="U343" s="259">
        <f>IF(O343&gt;0,O343*I343/Y343,0)*VLOOKUP(B343,'2-Kosten per locatie'!$A$14:$C$28,3,FALSE)</f>
        <v>0</v>
      </c>
      <c r="V343" s="259">
        <f>IF(P343&gt;0,P343*I343/Z343,0)*VLOOKUP(B343,'2-Kosten per locatie'!$A$14:$C$28,3,FALSE)</f>
        <v>0</v>
      </c>
      <c r="W343" s="348">
        <f>IF(K343="nio",0,IF(K343&gt;0,VLOOKUP(G343,'3-Productie normen'!A:N,VLOOKUP(K343,'3-Productie normen'!$B$27:$C$38,2,FALSE),FALSE)))</f>
        <v>0</v>
      </c>
      <c r="X343" s="348">
        <f t="shared" si="28"/>
        <v>0</v>
      </c>
      <c r="Y343" s="348">
        <f t="shared" si="29"/>
        <v>0</v>
      </c>
      <c r="Z343" s="348">
        <f t="shared" si="30"/>
        <v>0</v>
      </c>
      <c r="AA343" s="349" t="e">
        <f>VLOOKUP(G343,'3-Productie normen'!A:Q,15,FALSE)</f>
        <v>#N/A</v>
      </c>
      <c r="AB343" s="350" t="e">
        <f>VLOOKUP(G343,'3-Productie normen'!A:Q,16,FALSE)</f>
        <v>#N/A</v>
      </c>
      <c r="AC343" s="349"/>
      <c r="AE343" s="351">
        <f t="shared" si="26"/>
        <v>0</v>
      </c>
    </row>
    <row r="344" spans="1:31" ht="14.1" customHeight="1">
      <c r="A344" s="76">
        <v>344</v>
      </c>
      <c r="B344" s="496" t="s">
        <v>305</v>
      </c>
      <c r="C344" s="312" t="s">
        <v>306</v>
      </c>
      <c r="D344" s="91" t="s">
        <v>307</v>
      </c>
      <c r="E344" s="257">
        <v>61</v>
      </c>
      <c r="F344" s="91" t="s">
        <v>450</v>
      </c>
      <c r="G344" s="91" t="s">
        <v>461</v>
      </c>
      <c r="H344" s="91" t="s">
        <v>311</v>
      </c>
      <c r="I344" s="505">
        <v>4.1100000000000003</v>
      </c>
      <c r="J344" s="347">
        <f t="shared" si="27"/>
        <v>0</v>
      </c>
      <c r="K344" s="260" t="s">
        <v>460</v>
      </c>
      <c r="L344" s="260"/>
      <c r="M344" s="260"/>
      <c r="N344" s="260"/>
      <c r="O344" s="260"/>
      <c r="P344" s="260"/>
      <c r="Q344" s="259">
        <f>IF(K344="nio",0,IF(K344&gt;0,K344*I344/W344,0))*VLOOKUP(B344,'2-Kosten per locatie'!$A$14:$C$28,3,FALSE)</f>
        <v>0</v>
      </c>
      <c r="R344" s="259">
        <f>IF(L344&gt;0,L344*I344/X344,0)*VLOOKUP(B344,'2-Kosten per locatie'!$A$14:$C$28,3,FALSE)</f>
        <v>0</v>
      </c>
      <c r="S344" s="259">
        <f>IF(M344&gt;0,M344*I344/Y344,0)*VLOOKUP(B344,'2-Kosten per locatie'!$A$14:$C$28,3,FALSE)</f>
        <v>0</v>
      </c>
      <c r="T344" s="259">
        <f>IF(N344&gt;0,N344*I344/Z344,0)*VLOOKUP(B344,'2-Kosten per locatie'!$A$14:$C$28,3,FALSE)</f>
        <v>0</v>
      </c>
      <c r="U344" s="259">
        <f>IF(O344&gt;0,O344*I344/Y344,0)*VLOOKUP(B344,'2-Kosten per locatie'!$A$14:$C$28,3,FALSE)</f>
        <v>0</v>
      </c>
      <c r="V344" s="259">
        <f>IF(P344&gt;0,P344*I344/Z344,0)*VLOOKUP(B344,'2-Kosten per locatie'!$A$14:$C$28,3,FALSE)</f>
        <v>0</v>
      </c>
      <c r="W344" s="348">
        <f>IF(K344="nio",0,IF(K344&gt;0,VLOOKUP(G344,'3-Productie normen'!A:N,VLOOKUP(K344,'3-Productie normen'!$B$27:$C$38,2,FALSE),FALSE)))</f>
        <v>0</v>
      </c>
      <c r="X344" s="348">
        <f t="shared" si="28"/>
        <v>0</v>
      </c>
      <c r="Y344" s="348">
        <f t="shared" si="29"/>
        <v>0</v>
      </c>
      <c r="Z344" s="348">
        <f t="shared" si="30"/>
        <v>0</v>
      </c>
      <c r="AA344" s="349" t="e">
        <f>VLOOKUP(G344,'3-Productie normen'!A:Q,15,FALSE)</f>
        <v>#N/A</v>
      </c>
      <c r="AB344" s="350" t="e">
        <f>VLOOKUP(G344,'3-Productie normen'!A:Q,16,FALSE)</f>
        <v>#N/A</v>
      </c>
      <c r="AC344" s="349"/>
      <c r="AE344" s="351">
        <f t="shared" si="26"/>
        <v>0</v>
      </c>
    </row>
    <row r="345" spans="1:31" ht="14.1" customHeight="1">
      <c r="A345" s="76">
        <v>345</v>
      </c>
      <c r="B345" s="496" t="s">
        <v>305</v>
      </c>
      <c r="C345" s="312" t="s">
        <v>306</v>
      </c>
      <c r="D345" s="91" t="s">
        <v>307</v>
      </c>
      <c r="E345" s="257">
        <v>62</v>
      </c>
      <c r="F345" s="91" t="s">
        <v>451</v>
      </c>
      <c r="G345" s="91" t="s">
        <v>461</v>
      </c>
      <c r="H345" s="91" t="s">
        <v>309</v>
      </c>
      <c r="I345" s="505">
        <v>3.88</v>
      </c>
      <c r="J345" s="347">
        <f t="shared" si="27"/>
        <v>0</v>
      </c>
      <c r="K345" s="260" t="s">
        <v>460</v>
      </c>
      <c r="L345" s="260"/>
      <c r="M345" s="260"/>
      <c r="N345" s="260"/>
      <c r="O345" s="260"/>
      <c r="P345" s="260"/>
      <c r="Q345" s="259">
        <f>IF(K345="nio",0,IF(K345&gt;0,K345*I345/W345,0))*VLOOKUP(B345,'2-Kosten per locatie'!$A$14:$C$28,3,FALSE)</f>
        <v>0</v>
      </c>
      <c r="R345" s="259">
        <f>IF(L345&gt;0,L345*I345/X345,0)*VLOOKUP(B345,'2-Kosten per locatie'!$A$14:$C$28,3,FALSE)</f>
        <v>0</v>
      </c>
      <c r="S345" s="259">
        <f>IF(M345&gt;0,M345*I345/Y345,0)*VLOOKUP(B345,'2-Kosten per locatie'!$A$14:$C$28,3,FALSE)</f>
        <v>0</v>
      </c>
      <c r="T345" s="259">
        <f>IF(N345&gt;0,N345*I345/Z345,0)*VLOOKUP(B345,'2-Kosten per locatie'!$A$14:$C$28,3,FALSE)</f>
        <v>0</v>
      </c>
      <c r="U345" s="259">
        <f>IF(O345&gt;0,O345*I345/Y345,0)*VLOOKUP(B345,'2-Kosten per locatie'!$A$14:$C$28,3,FALSE)</f>
        <v>0</v>
      </c>
      <c r="V345" s="259">
        <f>IF(P345&gt;0,P345*I345/Z345,0)*VLOOKUP(B345,'2-Kosten per locatie'!$A$14:$C$28,3,FALSE)</f>
        <v>0</v>
      </c>
      <c r="W345" s="348">
        <f>IF(K345="nio",0,IF(K345&gt;0,VLOOKUP(G345,'3-Productie normen'!A:N,VLOOKUP(K345,'3-Productie normen'!$B$27:$C$38,2,FALSE),FALSE)))</f>
        <v>0</v>
      </c>
      <c r="X345" s="348">
        <f t="shared" si="28"/>
        <v>0</v>
      </c>
      <c r="Y345" s="348">
        <f t="shared" si="29"/>
        <v>0</v>
      </c>
      <c r="Z345" s="348">
        <f t="shared" si="30"/>
        <v>0</v>
      </c>
      <c r="AA345" s="349" t="e">
        <f>VLOOKUP(G345,'3-Productie normen'!A:Q,15,FALSE)</f>
        <v>#N/A</v>
      </c>
      <c r="AB345" s="350" t="e">
        <f>VLOOKUP(G345,'3-Productie normen'!A:Q,16,FALSE)</f>
        <v>#N/A</v>
      </c>
      <c r="AC345" s="349"/>
      <c r="AE345" s="351">
        <f t="shared" si="26"/>
        <v>0</v>
      </c>
    </row>
    <row r="346" spans="1:31" ht="14.1" customHeight="1">
      <c r="A346" s="76">
        <v>346</v>
      </c>
      <c r="B346" s="496" t="s">
        <v>305</v>
      </c>
      <c r="C346" s="312" t="s">
        <v>306</v>
      </c>
      <c r="D346" s="91" t="s">
        <v>307</v>
      </c>
      <c r="E346" s="257">
        <v>63</v>
      </c>
      <c r="F346" s="91" t="s">
        <v>452</v>
      </c>
      <c r="G346" s="91" t="s">
        <v>461</v>
      </c>
      <c r="H346" s="91" t="s">
        <v>311</v>
      </c>
      <c r="I346" s="505">
        <v>19.18</v>
      </c>
      <c r="J346" s="347">
        <f t="shared" si="27"/>
        <v>0</v>
      </c>
      <c r="K346" s="260" t="s">
        <v>460</v>
      </c>
      <c r="L346" s="260"/>
      <c r="M346" s="260"/>
      <c r="N346" s="260"/>
      <c r="O346" s="260"/>
      <c r="P346" s="260"/>
      <c r="Q346" s="259">
        <f>IF(K346="nio",0,IF(K346&gt;0,K346*I346/W346,0))*VLOOKUP(B346,'2-Kosten per locatie'!$A$14:$C$28,3,FALSE)</f>
        <v>0</v>
      </c>
      <c r="R346" s="259">
        <f>IF(L346&gt;0,L346*I346/X346,0)*VLOOKUP(B346,'2-Kosten per locatie'!$A$14:$C$28,3,FALSE)</f>
        <v>0</v>
      </c>
      <c r="S346" s="259">
        <f>IF(M346&gt;0,M346*I346/Y346,0)*VLOOKUP(B346,'2-Kosten per locatie'!$A$14:$C$28,3,FALSE)</f>
        <v>0</v>
      </c>
      <c r="T346" s="259">
        <f>IF(N346&gt;0,N346*I346/Z346,0)*VLOOKUP(B346,'2-Kosten per locatie'!$A$14:$C$28,3,FALSE)</f>
        <v>0</v>
      </c>
      <c r="U346" s="259">
        <f>IF(O346&gt;0,O346*I346/Y346,0)*VLOOKUP(B346,'2-Kosten per locatie'!$A$14:$C$28,3,FALSE)</f>
        <v>0</v>
      </c>
      <c r="V346" s="259">
        <f>IF(P346&gt;0,P346*I346/Z346,0)*VLOOKUP(B346,'2-Kosten per locatie'!$A$14:$C$28,3,FALSE)</f>
        <v>0</v>
      </c>
      <c r="W346" s="348">
        <f>IF(K346="nio",0,IF(K346&gt;0,VLOOKUP(G346,'3-Productie normen'!A:N,VLOOKUP(K346,'3-Productie normen'!$B$27:$C$38,2,FALSE),FALSE)))</f>
        <v>0</v>
      </c>
      <c r="X346" s="348">
        <f t="shared" si="28"/>
        <v>0</v>
      </c>
      <c r="Y346" s="348">
        <f t="shared" si="29"/>
        <v>0</v>
      </c>
      <c r="Z346" s="348">
        <f t="shared" si="30"/>
        <v>0</v>
      </c>
      <c r="AA346" s="349" t="e">
        <f>VLOOKUP(G346,'3-Productie normen'!A:Q,15,FALSE)</f>
        <v>#N/A</v>
      </c>
      <c r="AB346" s="350" t="e">
        <f>VLOOKUP(G346,'3-Productie normen'!A:Q,16,FALSE)</f>
        <v>#N/A</v>
      </c>
      <c r="AC346" s="349"/>
      <c r="AE346" s="351">
        <f t="shared" si="26"/>
        <v>0</v>
      </c>
    </row>
    <row r="347" spans="1:31" ht="14.1" customHeight="1">
      <c r="A347" s="76">
        <v>347</v>
      </c>
      <c r="B347" s="496" t="s">
        <v>305</v>
      </c>
      <c r="C347" s="312" t="s">
        <v>306</v>
      </c>
      <c r="D347" s="88" t="s">
        <v>307</v>
      </c>
      <c r="E347" s="255">
        <v>64</v>
      </c>
      <c r="F347" s="88" t="s">
        <v>375</v>
      </c>
      <c r="G347" s="88" t="s">
        <v>461</v>
      </c>
      <c r="H347" s="88" t="s">
        <v>311</v>
      </c>
      <c r="I347" s="504">
        <v>3.7</v>
      </c>
      <c r="J347" s="347">
        <f t="shared" si="27"/>
        <v>0</v>
      </c>
      <c r="K347" s="260" t="s">
        <v>460</v>
      </c>
      <c r="L347" s="260"/>
      <c r="M347" s="260"/>
      <c r="N347" s="260"/>
      <c r="O347" s="260"/>
      <c r="P347" s="260"/>
      <c r="Q347" s="259">
        <f>IF(K347="nio",0,IF(K347&gt;0,K347*I347/W347,0))*VLOOKUP(B347,'2-Kosten per locatie'!$A$14:$C$28,3,FALSE)</f>
        <v>0</v>
      </c>
      <c r="R347" s="259">
        <f>IF(L347&gt;0,L347*I347/X347,0)*VLOOKUP(B347,'2-Kosten per locatie'!$A$14:$C$28,3,FALSE)</f>
        <v>0</v>
      </c>
      <c r="S347" s="259">
        <f>IF(M347&gt;0,M347*I347/Y347,0)*VLOOKUP(B347,'2-Kosten per locatie'!$A$14:$C$28,3,FALSE)</f>
        <v>0</v>
      </c>
      <c r="T347" s="259">
        <f>IF(N347&gt;0,N347*I347/Z347,0)*VLOOKUP(B347,'2-Kosten per locatie'!$A$14:$C$28,3,FALSE)</f>
        <v>0</v>
      </c>
      <c r="U347" s="259">
        <f>IF(O347&gt;0,O347*I347/Y347,0)*VLOOKUP(B347,'2-Kosten per locatie'!$A$14:$C$28,3,FALSE)</f>
        <v>0</v>
      </c>
      <c r="V347" s="259">
        <f>IF(P347&gt;0,P347*I347/Z347,0)*VLOOKUP(B347,'2-Kosten per locatie'!$A$14:$C$28,3,FALSE)</f>
        <v>0</v>
      </c>
      <c r="W347" s="348">
        <f>IF(K347="nio",0,IF(K347&gt;0,VLOOKUP(G347,'3-Productie normen'!A:N,VLOOKUP(K347,'3-Productie normen'!$B$27:$C$38,2,FALSE),FALSE)))</f>
        <v>0</v>
      </c>
      <c r="X347" s="348">
        <f t="shared" si="28"/>
        <v>0</v>
      </c>
      <c r="Y347" s="348">
        <f t="shared" si="29"/>
        <v>0</v>
      </c>
      <c r="Z347" s="348">
        <f t="shared" si="30"/>
        <v>0</v>
      </c>
      <c r="AA347" s="349" t="e">
        <f>VLOOKUP(G347,'3-Productie normen'!A:Q,15,FALSE)</f>
        <v>#N/A</v>
      </c>
      <c r="AB347" s="350" t="e">
        <f>VLOOKUP(G347,'3-Productie normen'!A:Q,16,FALSE)</f>
        <v>#N/A</v>
      </c>
      <c r="AC347" s="349"/>
      <c r="AE347" s="351">
        <f t="shared" si="26"/>
        <v>0</v>
      </c>
    </row>
    <row r="348" spans="1:31" ht="14.1" customHeight="1">
      <c r="A348" s="76">
        <v>348</v>
      </c>
      <c r="B348" s="496" t="s">
        <v>305</v>
      </c>
      <c r="C348" s="312" t="s">
        <v>306</v>
      </c>
      <c r="D348" s="88" t="s">
        <v>307</v>
      </c>
      <c r="E348" s="255">
        <v>65</v>
      </c>
      <c r="F348" s="88" t="s">
        <v>453</v>
      </c>
      <c r="G348" s="88" t="s">
        <v>85</v>
      </c>
      <c r="H348" s="88" t="s">
        <v>311</v>
      </c>
      <c r="I348" s="504">
        <v>21.99</v>
      </c>
      <c r="J348" s="347">
        <f t="shared" si="27"/>
        <v>130</v>
      </c>
      <c r="K348" s="260">
        <v>130</v>
      </c>
      <c r="L348" s="260"/>
      <c r="M348" s="260"/>
      <c r="N348" s="260"/>
      <c r="O348" s="260"/>
      <c r="P348" s="260"/>
      <c r="Q348" s="259" t="e">
        <f>IF(K348="nio",0,IF(K348&gt;0,K348*I348/W348,0))*VLOOKUP(B348,'2-Kosten per locatie'!$A$14:$C$28,3,FALSE)</f>
        <v>#DIV/0!</v>
      </c>
      <c r="R348" s="259">
        <f>IF(L348&gt;0,L348*I348/X348,0)*VLOOKUP(B348,'2-Kosten per locatie'!$A$14:$C$28,3,FALSE)</f>
        <v>0</v>
      </c>
      <c r="S348" s="259">
        <f>IF(M348&gt;0,M348*I348/Y348,0)*VLOOKUP(B348,'2-Kosten per locatie'!$A$14:$C$28,3,FALSE)</f>
        <v>0</v>
      </c>
      <c r="T348" s="259">
        <f>IF(N348&gt;0,N348*I348/Z348,0)*VLOOKUP(B348,'2-Kosten per locatie'!$A$14:$C$28,3,FALSE)</f>
        <v>0</v>
      </c>
      <c r="U348" s="259">
        <f>IF(O348&gt;0,O348*I348/Y348,0)*VLOOKUP(B348,'2-Kosten per locatie'!$A$14:$C$28,3,FALSE)</f>
        <v>0</v>
      </c>
      <c r="V348" s="259">
        <f>IF(P348&gt;0,P348*I348/Z348,0)*VLOOKUP(B348,'2-Kosten per locatie'!$A$14:$C$28,3,FALSE)</f>
        <v>0</v>
      </c>
      <c r="W348" s="348">
        <f>IF(K348="nio",0,IF(K348&gt;0,VLOOKUP(G348,'3-Productie normen'!A:N,VLOOKUP(K348,'3-Productie normen'!$B$27:$C$38,2,FALSE),FALSE)))</f>
        <v>0</v>
      </c>
      <c r="X348" s="348">
        <f t="shared" si="28"/>
        <v>0</v>
      </c>
      <c r="Y348" s="348">
        <f t="shared" si="29"/>
        <v>0</v>
      </c>
      <c r="Z348" s="348">
        <f t="shared" si="30"/>
        <v>0</v>
      </c>
      <c r="AA348" s="349">
        <f>VLOOKUP(G348,'3-Productie normen'!A:Q,15,FALSE)</f>
        <v>1367.5950000000007</v>
      </c>
      <c r="AB348" s="350">
        <f>VLOOKUP(G348,'3-Productie normen'!A:Q,16,FALSE)</f>
        <v>0</v>
      </c>
      <c r="AC348" s="349"/>
      <c r="AE348" s="351">
        <f t="shared" si="26"/>
        <v>2858.7</v>
      </c>
    </row>
    <row r="349" spans="1:31" ht="14.1" customHeight="1">
      <c r="A349" s="76">
        <v>349</v>
      </c>
      <c r="B349" s="496" t="s">
        <v>305</v>
      </c>
      <c r="C349" s="312" t="s">
        <v>306</v>
      </c>
      <c r="D349" s="88" t="s">
        <v>307</v>
      </c>
      <c r="E349" s="255">
        <v>66</v>
      </c>
      <c r="F349" s="88" t="s">
        <v>454</v>
      </c>
      <c r="G349" s="88" t="s">
        <v>87</v>
      </c>
      <c r="H349" s="88" t="s">
        <v>311</v>
      </c>
      <c r="I349" s="504">
        <v>3.79</v>
      </c>
      <c r="J349" s="347">
        <f t="shared" si="27"/>
        <v>12</v>
      </c>
      <c r="K349" s="260">
        <v>12</v>
      </c>
      <c r="L349" s="260"/>
      <c r="M349" s="260"/>
      <c r="N349" s="260"/>
      <c r="O349" s="260"/>
      <c r="P349" s="260"/>
      <c r="Q349" s="259" t="e">
        <f>IF(K349="nio",0,IF(K349&gt;0,K349*I349/W349,0))*VLOOKUP(B349,'2-Kosten per locatie'!$A$14:$C$28,3,FALSE)</f>
        <v>#DIV/0!</v>
      </c>
      <c r="R349" s="259">
        <f>IF(L349&gt;0,L349*I349/X349,0)*VLOOKUP(B349,'2-Kosten per locatie'!$A$14:$C$28,3,FALSE)</f>
        <v>0</v>
      </c>
      <c r="S349" s="259">
        <f>IF(M349&gt;0,M349*I349/Y349,0)*VLOOKUP(B349,'2-Kosten per locatie'!$A$14:$C$28,3,FALSE)</f>
        <v>0</v>
      </c>
      <c r="T349" s="259">
        <f>IF(N349&gt;0,N349*I349/Z349,0)*VLOOKUP(B349,'2-Kosten per locatie'!$A$14:$C$28,3,FALSE)</f>
        <v>0</v>
      </c>
      <c r="U349" s="259">
        <f>IF(O349&gt;0,O349*I349/Y349,0)*VLOOKUP(B349,'2-Kosten per locatie'!$A$14:$C$28,3,FALSE)</f>
        <v>0</v>
      </c>
      <c r="V349" s="259">
        <f>IF(P349&gt;0,P349*I349/Z349,0)*VLOOKUP(B349,'2-Kosten per locatie'!$A$14:$C$28,3,FALSE)</f>
        <v>0</v>
      </c>
      <c r="W349" s="348">
        <f>IF(K349="nio",0,IF(K349&gt;0,VLOOKUP(G349,'3-Productie normen'!A:N,VLOOKUP(K349,'3-Productie normen'!$B$27:$C$38,2,FALSE),FALSE)))</f>
        <v>0</v>
      </c>
      <c r="X349" s="348">
        <f t="shared" si="28"/>
        <v>0</v>
      </c>
      <c r="Y349" s="348">
        <f t="shared" si="29"/>
        <v>0</v>
      </c>
      <c r="Z349" s="348">
        <f t="shared" si="30"/>
        <v>0</v>
      </c>
      <c r="AA349" s="349">
        <f>VLOOKUP(G349,'3-Productie normen'!A:Q,15,FALSE)</f>
        <v>661.27599999999984</v>
      </c>
      <c r="AB349" s="350">
        <f>VLOOKUP(G349,'3-Productie normen'!A:Q,16,FALSE)</f>
        <v>0</v>
      </c>
      <c r="AC349" s="349"/>
      <c r="AE349" s="351">
        <f t="shared" si="26"/>
        <v>45.480000000000004</v>
      </c>
    </row>
    <row r="350" spans="1:31" ht="14.1" customHeight="1">
      <c r="A350" s="76">
        <v>350</v>
      </c>
      <c r="B350" s="496" t="s">
        <v>305</v>
      </c>
      <c r="C350" s="312" t="s">
        <v>306</v>
      </c>
      <c r="D350" s="88" t="s">
        <v>307</v>
      </c>
      <c r="E350" s="255">
        <v>67</v>
      </c>
      <c r="F350" s="88" t="s">
        <v>322</v>
      </c>
      <c r="G350" s="88" t="s">
        <v>341</v>
      </c>
      <c r="H350" s="88" t="s">
        <v>311</v>
      </c>
      <c r="I350" s="504">
        <v>7.99</v>
      </c>
      <c r="J350" s="347">
        <f t="shared" si="27"/>
        <v>12</v>
      </c>
      <c r="K350" s="260">
        <v>12</v>
      </c>
      <c r="L350" s="260"/>
      <c r="M350" s="260"/>
      <c r="N350" s="260"/>
      <c r="O350" s="260"/>
      <c r="P350" s="260"/>
      <c r="Q350" s="259" t="e">
        <f>IF(K350="nio",0,IF(K350&gt;0,K350*I350/W350,0))*VLOOKUP(B350,'2-Kosten per locatie'!$A$14:$C$28,3,FALSE)</f>
        <v>#DIV/0!</v>
      </c>
      <c r="R350" s="259">
        <f>IF(L350&gt;0,L350*I350/X350,0)*VLOOKUP(B350,'2-Kosten per locatie'!$A$14:$C$28,3,FALSE)</f>
        <v>0</v>
      </c>
      <c r="S350" s="259">
        <f>IF(M350&gt;0,M350*I350/Y350,0)*VLOOKUP(B350,'2-Kosten per locatie'!$A$14:$C$28,3,FALSE)</f>
        <v>0</v>
      </c>
      <c r="T350" s="259">
        <f>IF(N350&gt;0,N350*I350/Z350,0)*VLOOKUP(B350,'2-Kosten per locatie'!$A$14:$C$28,3,FALSE)</f>
        <v>0</v>
      </c>
      <c r="U350" s="259">
        <f>IF(O350&gt;0,O350*I350/Y350,0)*VLOOKUP(B350,'2-Kosten per locatie'!$A$14:$C$28,3,FALSE)</f>
        <v>0</v>
      </c>
      <c r="V350" s="259">
        <f>IF(P350&gt;0,P350*I350/Z350,0)*VLOOKUP(B350,'2-Kosten per locatie'!$A$14:$C$28,3,FALSE)</f>
        <v>0</v>
      </c>
      <c r="W350" s="348">
        <f>IF(K350="nio",0,IF(K350&gt;0,VLOOKUP(G350,'3-Productie normen'!A:N,VLOOKUP(K350,'3-Productie normen'!$B$27:$C$38,2,FALSE),FALSE)))</f>
        <v>0</v>
      </c>
      <c r="X350" s="348">
        <f t="shared" si="28"/>
        <v>0</v>
      </c>
      <c r="Y350" s="348">
        <f t="shared" si="29"/>
        <v>0</v>
      </c>
      <c r="Z350" s="348">
        <f t="shared" si="30"/>
        <v>0</v>
      </c>
      <c r="AA350" s="349">
        <f>VLOOKUP(G350,'3-Productie normen'!A:Q,15,FALSE)</f>
        <v>452.79000000000019</v>
      </c>
      <c r="AB350" s="350">
        <f>VLOOKUP(G350,'3-Productie normen'!A:Q,16,FALSE)</f>
        <v>0</v>
      </c>
      <c r="AC350" s="349"/>
      <c r="AE350" s="351">
        <f t="shared" si="26"/>
        <v>95.88</v>
      </c>
    </row>
    <row r="351" spans="1:31" ht="14.1" customHeight="1">
      <c r="A351" s="76">
        <v>351</v>
      </c>
      <c r="B351" s="496" t="s">
        <v>305</v>
      </c>
      <c r="C351" s="312" t="s">
        <v>306</v>
      </c>
      <c r="D351" s="88" t="s">
        <v>307</v>
      </c>
      <c r="E351" s="255">
        <v>68</v>
      </c>
      <c r="F351" s="88" t="s">
        <v>310</v>
      </c>
      <c r="G351" s="88" t="s">
        <v>81</v>
      </c>
      <c r="H351" s="88" t="s">
        <v>311</v>
      </c>
      <c r="I351" s="504">
        <v>1.41</v>
      </c>
      <c r="J351" s="347">
        <f t="shared" si="27"/>
        <v>130</v>
      </c>
      <c r="K351" s="260">
        <v>130</v>
      </c>
      <c r="L351" s="260"/>
      <c r="M351" s="260"/>
      <c r="N351" s="260"/>
      <c r="O351" s="260"/>
      <c r="P351" s="260"/>
      <c r="Q351" s="259" t="e">
        <f>IF(K351="nio",0,IF(K351&gt;0,K351*I351/W351,0))*VLOOKUP(B351,'2-Kosten per locatie'!$A$14:$C$28,3,FALSE)</f>
        <v>#DIV/0!</v>
      </c>
      <c r="R351" s="259">
        <f>IF(L351&gt;0,L351*I351/X351,0)*VLOOKUP(B351,'2-Kosten per locatie'!$A$14:$C$28,3,FALSE)</f>
        <v>0</v>
      </c>
      <c r="S351" s="259">
        <f>IF(M351&gt;0,M351*I351/Y351,0)*VLOOKUP(B351,'2-Kosten per locatie'!$A$14:$C$28,3,FALSE)</f>
        <v>0</v>
      </c>
      <c r="T351" s="259">
        <f>IF(N351&gt;0,N351*I351/Z351,0)*VLOOKUP(B351,'2-Kosten per locatie'!$A$14:$C$28,3,FALSE)</f>
        <v>0</v>
      </c>
      <c r="U351" s="259">
        <f>IF(O351&gt;0,O351*I351/Y351,0)*VLOOKUP(B351,'2-Kosten per locatie'!$A$14:$C$28,3,FALSE)</f>
        <v>0</v>
      </c>
      <c r="V351" s="259">
        <f>IF(P351&gt;0,P351*I351/Z351,0)*VLOOKUP(B351,'2-Kosten per locatie'!$A$14:$C$28,3,FALSE)</f>
        <v>0</v>
      </c>
      <c r="W351" s="348">
        <f>IF(K351="nio",0,IF(K351&gt;0,VLOOKUP(G351,'3-Productie normen'!A:N,VLOOKUP(K351,'3-Productie normen'!$B$27:$C$38,2,FALSE),FALSE)))</f>
        <v>0</v>
      </c>
      <c r="X351" s="348">
        <f t="shared" si="28"/>
        <v>0</v>
      </c>
      <c r="Y351" s="348">
        <f t="shared" si="29"/>
        <v>0</v>
      </c>
      <c r="Z351" s="348">
        <f t="shared" si="30"/>
        <v>0</v>
      </c>
      <c r="AA351" s="349">
        <f>VLOOKUP(G351,'3-Productie normen'!A:Q,15,FALSE)</f>
        <v>235.06999999999988</v>
      </c>
      <c r="AB351" s="350">
        <f>VLOOKUP(G351,'3-Productie normen'!A:Q,16,FALSE)</f>
        <v>0</v>
      </c>
      <c r="AC351" s="349"/>
      <c r="AE351" s="351">
        <f t="shared" si="26"/>
        <v>183.29999999999998</v>
      </c>
    </row>
    <row r="352" spans="1:31" ht="14.1" customHeight="1">
      <c r="A352" s="76">
        <v>352</v>
      </c>
      <c r="B352" s="496" t="s">
        <v>305</v>
      </c>
      <c r="C352" s="312" t="s">
        <v>306</v>
      </c>
      <c r="D352" s="88" t="s">
        <v>307</v>
      </c>
      <c r="E352" s="255">
        <v>69</v>
      </c>
      <c r="F352" s="88" t="s">
        <v>455</v>
      </c>
      <c r="G352" s="88" t="s">
        <v>85</v>
      </c>
      <c r="H352" s="88" t="s">
        <v>311</v>
      </c>
      <c r="I352" s="504">
        <v>21.99</v>
      </c>
      <c r="J352" s="347">
        <f t="shared" si="27"/>
        <v>130</v>
      </c>
      <c r="K352" s="260">
        <v>130</v>
      </c>
      <c r="L352" s="260"/>
      <c r="M352" s="260"/>
      <c r="N352" s="260"/>
      <c r="O352" s="260"/>
      <c r="P352" s="260"/>
      <c r="Q352" s="259" t="e">
        <f>IF(K352="nio",0,IF(K352&gt;0,K352*I352/W352,0))*VLOOKUP(B352,'2-Kosten per locatie'!$A$14:$C$28,3,FALSE)</f>
        <v>#DIV/0!</v>
      </c>
      <c r="R352" s="259">
        <f>IF(L352&gt;0,L352*I352/X352,0)*VLOOKUP(B352,'2-Kosten per locatie'!$A$14:$C$28,3,FALSE)</f>
        <v>0</v>
      </c>
      <c r="S352" s="259">
        <f>IF(M352&gt;0,M352*I352/Y352,0)*VLOOKUP(B352,'2-Kosten per locatie'!$A$14:$C$28,3,FALSE)</f>
        <v>0</v>
      </c>
      <c r="T352" s="259">
        <f>IF(N352&gt;0,N352*I352/Z352,0)*VLOOKUP(B352,'2-Kosten per locatie'!$A$14:$C$28,3,FALSE)</f>
        <v>0</v>
      </c>
      <c r="U352" s="259">
        <f>IF(O352&gt;0,O352*I352/Y352,0)*VLOOKUP(B352,'2-Kosten per locatie'!$A$14:$C$28,3,FALSE)</f>
        <v>0</v>
      </c>
      <c r="V352" s="259">
        <f>IF(P352&gt;0,P352*I352/Z352,0)*VLOOKUP(B352,'2-Kosten per locatie'!$A$14:$C$28,3,FALSE)</f>
        <v>0</v>
      </c>
      <c r="W352" s="348">
        <f>IF(K352="nio",0,IF(K352&gt;0,VLOOKUP(G352,'3-Productie normen'!A:N,VLOOKUP(K352,'3-Productie normen'!$B$27:$C$38,2,FALSE),FALSE)))</f>
        <v>0</v>
      </c>
      <c r="X352" s="348">
        <f t="shared" si="28"/>
        <v>0</v>
      </c>
      <c r="Y352" s="348">
        <f t="shared" si="29"/>
        <v>0</v>
      </c>
      <c r="Z352" s="348">
        <f t="shared" si="30"/>
        <v>0</v>
      </c>
      <c r="AA352" s="349">
        <f>VLOOKUP(G352,'3-Productie normen'!A:Q,15,FALSE)</f>
        <v>1367.5950000000007</v>
      </c>
      <c r="AB352" s="350">
        <f>VLOOKUP(G352,'3-Productie normen'!A:Q,16,FALSE)</f>
        <v>0</v>
      </c>
      <c r="AC352" s="349"/>
      <c r="AE352" s="351">
        <f t="shared" si="26"/>
        <v>2858.7</v>
      </c>
    </row>
    <row r="353" spans="1:32" ht="14.1" customHeight="1">
      <c r="A353" s="76">
        <v>353</v>
      </c>
      <c r="B353" s="496" t="s">
        <v>305</v>
      </c>
      <c r="C353" s="312" t="s">
        <v>306</v>
      </c>
      <c r="D353" s="88" t="s">
        <v>307</v>
      </c>
      <c r="E353" s="255">
        <v>70</v>
      </c>
      <c r="F353" s="88" t="s">
        <v>454</v>
      </c>
      <c r="G353" s="88" t="s">
        <v>87</v>
      </c>
      <c r="H353" s="88" t="s">
        <v>311</v>
      </c>
      <c r="I353" s="504">
        <v>3.79</v>
      </c>
      <c r="J353" s="347">
        <f t="shared" si="27"/>
        <v>12</v>
      </c>
      <c r="K353" s="260">
        <v>12</v>
      </c>
      <c r="L353" s="260"/>
      <c r="M353" s="260"/>
      <c r="N353" s="260"/>
      <c r="O353" s="260"/>
      <c r="P353" s="260"/>
      <c r="Q353" s="259" t="e">
        <f>IF(K353="nio",0,IF(K353&gt;0,K353*I353/W353,0))*VLOOKUP(B353,'2-Kosten per locatie'!$A$14:$C$28,3,FALSE)</f>
        <v>#DIV/0!</v>
      </c>
      <c r="R353" s="259">
        <f>IF(L353&gt;0,L353*I353/X353,0)*VLOOKUP(B353,'2-Kosten per locatie'!$A$14:$C$28,3,FALSE)</f>
        <v>0</v>
      </c>
      <c r="S353" s="259">
        <f>IF(M353&gt;0,M353*I353/Y353,0)*VLOOKUP(B353,'2-Kosten per locatie'!$A$14:$C$28,3,FALSE)</f>
        <v>0</v>
      </c>
      <c r="T353" s="259">
        <f>IF(N353&gt;0,N353*I353/Z353,0)*VLOOKUP(B353,'2-Kosten per locatie'!$A$14:$C$28,3,FALSE)</f>
        <v>0</v>
      </c>
      <c r="U353" s="259">
        <f>IF(O353&gt;0,O353*I353/Y353,0)*VLOOKUP(B353,'2-Kosten per locatie'!$A$14:$C$28,3,FALSE)</f>
        <v>0</v>
      </c>
      <c r="V353" s="259">
        <f>IF(P353&gt;0,P353*I353/Z353,0)*VLOOKUP(B353,'2-Kosten per locatie'!$A$14:$C$28,3,FALSE)</f>
        <v>0</v>
      </c>
      <c r="W353" s="348">
        <f>IF(K353="nio",0,IF(K353&gt;0,VLOOKUP(G353,'3-Productie normen'!A:N,VLOOKUP(K353,'3-Productie normen'!$B$27:$C$38,2,FALSE),FALSE)))</f>
        <v>0</v>
      </c>
      <c r="X353" s="348">
        <f t="shared" si="28"/>
        <v>0</v>
      </c>
      <c r="Y353" s="348">
        <f t="shared" si="29"/>
        <v>0</v>
      </c>
      <c r="Z353" s="348">
        <f t="shared" si="30"/>
        <v>0</v>
      </c>
      <c r="AA353" s="349">
        <f>VLOOKUP(G353,'3-Productie normen'!A:Q,15,FALSE)</f>
        <v>661.27599999999984</v>
      </c>
      <c r="AB353" s="350">
        <f>VLOOKUP(G353,'3-Productie normen'!A:Q,16,FALSE)</f>
        <v>0</v>
      </c>
      <c r="AC353" s="349"/>
      <c r="AE353" s="351">
        <f t="shared" si="26"/>
        <v>45.480000000000004</v>
      </c>
    </row>
    <row r="354" spans="1:32" ht="14.1" customHeight="1">
      <c r="A354" s="76">
        <v>354</v>
      </c>
      <c r="B354" s="496" t="s">
        <v>305</v>
      </c>
      <c r="C354" s="312" t="s">
        <v>306</v>
      </c>
      <c r="D354" s="88" t="s">
        <v>307</v>
      </c>
      <c r="E354" s="255">
        <v>71</v>
      </c>
      <c r="F354" s="88" t="s">
        <v>322</v>
      </c>
      <c r="G354" s="88" t="s">
        <v>341</v>
      </c>
      <c r="H354" s="88" t="s">
        <v>311</v>
      </c>
      <c r="I354" s="504">
        <v>7.99</v>
      </c>
      <c r="J354" s="347">
        <f t="shared" si="27"/>
        <v>12</v>
      </c>
      <c r="K354" s="260">
        <v>12</v>
      </c>
      <c r="L354" s="260"/>
      <c r="M354" s="260"/>
      <c r="N354" s="260"/>
      <c r="O354" s="260"/>
      <c r="P354" s="260"/>
      <c r="Q354" s="259" t="e">
        <f>IF(K354="nio",0,IF(K354&gt;0,K354*I354/W354,0))*VLOOKUP(B354,'2-Kosten per locatie'!$A$14:$C$28,3,FALSE)</f>
        <v>#DIV/0!</v>
      </c>
      <c r="R354" s="259">
        <f>IF(L354&gt;0,L354*I354/X354,0)*VLOOKUP(B354,'2-Kosten per locatie'!$A$14:$C$28,3,FALSE)</f>
        <v>0</v>
      </c>
      <c r="S354" s="259">
        <f>IF(M354&gt;0,M354*I354/Y354,0)*VLOOKUP(B354,'2-Kosten per locatie'!$A$14:$C$28,3,FALSE)</f>
        <v>0</v>
      </c>
      <c r="T354" s="259">
        <f>IF(N354&gt;0,N354*I354/Z354,0)*VLOOKUP(B354,'2-Kosten per locatie'!$A$14:$C$28,3,FALSE)</f>
        <v>0</v>
      </c>
      <c r="U354" s="259">
        <f>IF(O354&gt;0,O354*I354/Y354,0)*VLOOKUP(B354,'2-Kosten per locatie'!$A$14:$C$28,3,FALSE)</f>
        <v>0</v>
      </c>
      <c r="V354" s="259">
        <f>IF(P354&gt;0,P354*I354/Z354,0)*VLOOKUP(B354,'2-Kosten per locatie'!$A$14:$C$28,3,FALSE)</f>
        <v>0</v>
      </c>
      <c r="W354" s="348">
        <f>IF(K354="nio",0,IF(K354&gt;0,VLOOKUP(G354,'3-Productie normen'!A:N,VLOOKUP(K354,'3-Productie normen'!$B$27:$C$38,2,FALSE),FALSE)))</f>
        <v>0</v>
      </c>
      <c r="X354" s="348">
        <f t="shared" si="28"/>
        <v>0</v>
      </c>
      <c r="Y354" s="348">
        <f t="shared" si="29"/>
        <v>0</v>
      </c>
      <c r="Z354" s="348">
        <f t="shared" si="30"/>
        <v>0</v>
      </c>
      <c r="AA354" s="349">
        <f>VLOOKUP(G354,'3-Productie normen'!A:Q,15,FALSE)</f>
        <v>452.79000000000019</v>
      </c>
      <c r="AB354" s="350">
        <f>VLOOKUP(G354,'3-Productie normen'!A:Q,16,FALSE)</f>
        <v>0</v>
      </c>
      <c r="AC354" s="349"/>
      <c r="AE354" s="351">
        <f t="shared" si="26"/>
        <v>95.88</v>
      </c>
    </row>
    <row r="355" spans="1:32" ht="14.1" customHeight="1">
      <c r="A355" s="76">
        <v>355</v>
      </c>
      <c r="B355" s="496" t="s">
        <v>305</v>
      </c>
      <c r="C355" s="312" t="s">
        <v>306</v>
      </c>
      <c r="D355" s="88" t="s">
        <v>307</v>
      </c>
      <c r="E355" s="255">
        <v>72</v>
      </c>
      <c r="F355" s="88" t="s">
        <v>310</v>
      </c>
      <c r="G355" s="88" t="s">
        <v>81</v>
      </c>
      <c r="H355" s="88" t="s">
        <v>311</v>
      </c>
      <c r="I355" s="504">
        <v>1.41</v>
      </c>
      <c r="J355" s="347">
        <f t="shared" si="27"/>
        <v>130</v>
      </c>
      <c r="K355" s="260">
        <v>130</v>
      </c>
      <c r="L355" s="260"/>
      <c r="M355" s="260"/>
      <c r="N355" s="260"/>
      <c r="O355" s="260"/>
      <c r="P355" s="260"/>
      <c r="Q355" s="259" t="e">
        <f>IF(K355="nio",0,IF(K355&gt;0,K355*I355/W355,0))*VLOOKUP(B355,'2-Kosten per locatie'!$A$14:$C$28,3,FALSE)</f>
        <v>#DIV/0!</v>
      </c>
      <c r="R355" s="259">
        <f>IF(L355&gt;0,L355*I355/X355,0)*VLOOKUP(B355,'2-Kosten per locatie'!$A$14:$C$28,3,FALSE)</f>
        <v>0</v>
      </c>
      <c r="S355" s="259">
        <f>IF(M355&gt;0,M355*I355/Y355,0)*VLOOKUP(B355,'2-Kosten per locatie'!$A$14:$C$28,3,FALSE)</f>
        <v>0</v>
      </c>
      <c r="T355" s="259">
        <f>IF(N355&gt;0,N355*I355/Z355,0)*VLOOKUP(B355,'2-Kosten per locatie'!$A$14:$C$28,3,FALSE)</f>
        <v>0</v>
      </c>
      <c r="U355" s="259">
        <f>IF(O355&gt;0,O355*I355/Y355,0)*VLOOKUP(B355,'2-Kosten per locatie'!$A$14:$C$28,3,FALSE)</f>
        <v>0</v>
      </c>
      <c r="V355" s="259">
        <f>IF(P355&gt;0,P355*I355/Z355,0)*VLOOKUP(B355,'2-Kosten per locatie'!$A$14:$C$28,3,FALSE)</f>
        <v>0</v>
      </c>
      <c r="W355" s="348">
        <f>IF(K355="nio",0,IF(K355&gt;0,VLOOKUP(G355,'3-Productie normen'!A:N,VLOOKUP(K355,'3-Productie normen'!$B$27:$C$38,2,FALSE),FALSE)))</f>
        <v>0</v>
      </c>
      <c r="X355" s="348">
        <f t="shared" si="28"/>
        <v>0</v>
      </c>
      <c r="Y355" s="348">
        <f t="shared" si="29"/>
        <v>0</v>
      </c>
      <c r="Z355" s="348">
        <f t="shared" si="30"/>
        <v>0</v>
      </c>
      <c r="AA355" s="349">
        <f>VLOOKUP(G355,'3-Productie normen'!A:Q,15,FALSE)</f>
        <v>235.06999999999988</v>
      </c>
      <c r="AB355" s="350">
        <f>VLOOKUP(G355,'3-Productie normen'!A:Q,16,FALSE)</f>
        <v>0</v>
      </c>
      <c r="AC355" s="349"/>
      <c r="AE355" s="351">
        <f t="shared" si="26"/>
        <v>183.29999999999998</v>
      </c>
    </row>
    <row r="356" spans="1:32" ht="14.1" customHeight="1">
      <c r="A356" s="76">
        <v>356</v>
      </c>
      <c r="B356" s="496" t="s">
        <v>305</v>
      </c>
      <c r="C356" s="312" t="s">
        <v>306</v>
      </c>
      <c r="D356" s="88" t="s">
        <v>307</v>
      </c>
      <c r="E356" s="255">
        <v>73</v>
      </c>
      <c r="F356" s="88" t="s">
        <v>456</v>
      </c>
      <c r="G356" s="88" t="s">
        <v>85</v>
      </c>
      <c r="H356" s="88" t="s">
        <v>311</v>
      </c>
      <c r="I356" s="504">
        <v>14.68</v>
      </c>
      <c r="J356" s="347">
        <f t="shared" si="27"/>
        <v>130</v>
      </c>
      <c r="K356" s="260">
        <v>130</v>
      </c>
      <c r="L356" s="260"/>
      <c r="M356" s="260"/>
      <c r="N356" s="260"/>
      <c r="O356" s="260"/>
      <c r="P356" s="260"/>
      <c r="Q356" s="259" t="e">
        <f>IF(K356="nio",0,IF(K356&gt;0,K356*I356/W356,0))*VLOOKUP(B356,'2-Kosten per locatie'!$A$14:$C$28,3,FALSE)</f>
        <v>#DIV/0!</v>
      </c>
      <c r="R356" s="259">
        <f>IF(L356&gt;0,L356*I356/X356,0)*VLOOKUP(B356,'2-Kosten per locatie'!$A$14:$C$28,3,FALSE)</f>
        <v>0</v>
      </c>
      <c r="S356" s="259">
        <f>IF(M356&gt;0,M356*I356/Y356,0)*VLOOKUP(B356,'2-Kosten per locatie'!$A$14:$C$28,3,FALSE)</f>
        <v>0</v>
      </c>
      <c r="T356" s="259">
        <f>IF(N356&gt;0,N356*I356/Z356,0)*VLOOKUP(B356,'2-Kosten per locatie'!$A$14:$C$28,3,FALSE)</f>
        <v>0</v>
      </c>
      <c r="U356" s="259">
        <f>IF(O356&gt;0,O356*I356/Y356,0)*VLOOKUP(B356,'2-Kosten per locatie'!$A$14:$C$28,3,FALSE)</f>
        <v>0</v>
      </c>
      <c r="V356" s="259">
        <f>IF(P356&gt;0,P356*I356/Z356,0)*VLOOKUP(B356,'2-Kosten per locatie'!$A$14:$C$28,3,FALSE)</f>
        <v>0</v>
      </c>
      <c r="W356" s="348">
        <f>IF(K356="nio",0,IF(K356&gt;0,VLOOKUP(G356,'3-Productie normen'!A:N,VLOOKUP(K356,'3-Productie normen'!$B$27:$C$38,2,FALSE),FALSE)))</f>
        <v>0</v>
      </c>
      <c r="X356" s="348">
        <f t="shared" si="28"/>
        <v>0</v>
      </c>
      <c r="Y356" s="348">
        <f t="shared" si="29"/>
        <v>0</v>
      </c>
      <c r="Z356" s="348">
        <f t="shared" si="30"/>
        <v>0</v>
      </c>
      <c r="AA356" s="349">
        <f>VLOOKUP(G356,'3-Productie normen'!A:Q,15,FALSE)</f>
        <v>1367.5950000000007</v>
      </c>
      <c r="AB356" s="350">
        <f>VLOOKUP(G356,'3-Productie normen'!A:Q,16,FALSE)</f>
        <v>0</v>
      </c>
      <c r="AC356" s="349"/>
      <c r="AE356" s="351">
        <f t="shared" si="26"/>
        <v>1908.3999999999999</v>
      </c>
    </row>
    <row r="357" spans="1:32" ht="14.1" customHeight="1">
      <c r="A357" s="76">
        <v>357</v>
      </c>
      <c r="B357" s="496" t="s">
        <v>305</v>
      </c>
      <c r="C357" s="312" t="s">
        <v>306</v>
      </c>
      <c r="D357" s="88" t="s">
        <v>307</v>
      </c>
      <c r="E357" s="255">
        <v>74</v>
      </c>
      <c r="F357" s="88" t="s">
        <v>322</v>
      </c>
      <c r="G357" s="88" t="s">
        <v>341</v>
      </c>
      <c r="H357" s="88" t="s">
        <v>311</v>
      </c>
      <c r="I357" s="504">
        <v>7.6</v>
      </c>
      <c r="J357" s="347">
        <f t="shared" si="27"/>
        <v>12</v>
      </c>
      <c r="K357" s="260">
        <v>12</v>
      </c>
      <c r="L357" s="260"/>
      <c r="M357" s="260"/>
      <c r="N357" s="260"/>
      <c r="O357" s="260"/>
      <c r="P357" s="260"/>
      <c r="Q357" s="259" t="e">
        <f>IF(K357="nio",0,IF(K357&gt;0,K357*I357/W357,0))*VLOOKUP(B357,'2-Kosten per locatie'!$A$14:$C$28,3,FALSE)</f>
        <v>#DIV/0!</v>
      </c>
      <c r="R357" s="259">
        <f>IF(L357&gt;0,L357*I357/X357,0)*VLOOKUP(B357,'2-Kosten per locatie'!$A$14:$C$28,3,FALSE)</f>
        <v>0</v>
      </c>
      <c r="S357" s="259">
        <f>IF(M357&gt;0,M357*I357/Y357,0)*VLOOKUP(B357,'2-Kosten per locatie'!$A$14:$C$28,3,FALSE)</f>
        <v>0</v>
      </c>
      <c r="T357" s="259">
        <f>IF(N357&gt;0,N357*I357/Z357,0)*VLOOKUP(B357,'2-Kosten per locatie'!$A$14:$C$28,3,FALSE)</f>
        <v>0</v>
      </c>
      <c r="U357" s="259">
        <f>IF(O357&gt;0,O357*I357/Y357,0)*VLOOKUP(B357,'2-Kosten per locatie'!$A$14:$C$28,3,FALSE)</f>
        <v>0</v>
      </c>
      <c r="V357" s="259">
        <f>IF(P357&gt;0,P357*I357/Z357,0)*VLOOKUP(B357,'2-Kosten per locatie'!$A$14:$C$28,3,FALSE)</f>
        <v>0</v>
      </c>
      <c r="W357" s="348">
        <f>IF(K357="nio",0,IF(K357&gt;0,VLOOKUP(G357,'3-Productie normen'!A:N,VLOOKUP(K357,'3-Productie normen'!$B$27:$C$38,2,FALSE),FALSE)))</f>
        <v>0</v>
      </c>
      <c r="X357" s="348">
        <f t="shared" si="28"/>
        <v>0</v>
      </c>
      <c r="Y357" s="348">
        <f t="shared" si="29"/>
        <v>0</v>
      </c>
      <c r="Z357" s="348">
        <f t="shared" si="30"/>
        <v>0</v>
      </c>
      <c r="AA357" s="349">
        <f>VLOOKUP(G357,'3-Productie normen'!A:Q,15,FALSE)</f>
        <v>452.79000000000019</v>
      </c>
      <c r="AB357" s="350">
        <f>VLOOKUP(G357,'3-Productie normen'!A:Q,16,FALSE)</f>
        <v>0</v>
      </c>
      <c r="AC357" s="349"/>
      <c r="AE357" s="351">
        <f t="shared" si="26"/>
        <v>91.199999999999989</v>
      </c>
    </row>
    <row r="358" spans="1:32" ht="14.1" customHeight="1">
      <c r="A358" s="76">
        <v>358</v>
      </c>
      <c r="B358" s="496" t="s">
        <v>305</v>
      </c>
      <c r="C358" s="312" t="s">
        <v>306</v>
      </c>
      <c r="D358" s="88" t="s">
        <v>307</v>
      </c>
      <c r="E358" s="255">
        <v>76</v>
      </c>
      <c r="F358" s="88" t="s">
        <v>310</v>
      </c>
      <c r="G358" s="88" t="s">
        <v>81</v>
      </c>
      <c r="H358" s="88" t="s">
        <v>311</v>
      </c>
      <c r="I358" s="504">
        <v>1.35</v>
      </c>
      <c r="J358" s="347">
        <f t="shared" si="27"/>
        <v>130</v>
      </c>
      <c r="K358" s="260">
        <v>130</v>
      </c>
      <c r="L358" s="260"/>
      <c r="M358" s="260"/>
      <c r="N358" s="260"/>
      <c r="O358" s="260"/>
      <c r="P358" s="260"/>
      <c r="Q358" s="259" t="e">
        <f>IF(K358="nio",0,IF(K358&gt;0,K358*I358/W358,0))*VLOOKUP(B358,'2-Kosten per locatie'!$A$14:$C$28,3,FALSE)</f>
        <v>#DIV/0!</v>
      </c>
      <c r="R358" s="259">
        <f>IF(L358&gt;0,L358*I358/X358,0)*VLOOKUP(B358,'2-Kosten per locatie'!$A$14:$C$28,3,FALSE)</f>
        <v>0</v>
      </c>
      <c r="S358" s="259">
        <f>IF(M358&gt;0,M358*I358/Y358,0)*VLOOKUP(B358,'2-Kosten per locatie'!$A$14:$C$28,3,FALSE)</f>
        <v>0</v>
      </c>
      <c r="T358" s="259">
        <f>IF(N358&gt;0,N358*I358/Z358,0)*VLOOKUP(B358,'2-Kosten per locatie'!$A$14:$C$28,3,FALSE)</f>
        <v>0</v>
      </c>
      <c r="U358" s="259">
        <f>IF(O358&gt;0,O358*I358/Y358,0)*VLOOKUP(B358,'2-Kosten per locatie'!$A$14:$C$28,3,FALSE)</f>
        <v>0</v>
      </c>
      <c r="V358" s="259">
        <f>IF(P358&gt;0,P358*I358/Z358,0)*VLOOKUP(B358,'2-Kosten per locatie'!$A$14:$C$28,3,FALSE)</f>
        <v>0</v>
      </c>
      <c r="W358" s="348">
        <f>IF(K358="nio",0,IF(K358&gt;0,VLOOKUP(G358,'3-Productie normen'!A:N,VLOOKUP(K358,'3-Productie normen'!$B$27:$C$38,2,FALSE),FALSE)))</f>
        <v>0</v>
      </c>
      <c r="X358" s="348">
        <f t="shared" si="28"/>
        <v>0</v>
      </c>
      <c r="Y358" s="348">
        <f t="shared" si="29"/>
        <v>0</v>
      </c>
      <c r="Z358" s="348">
        <f t="shared" si="30"/>
        <v>0</v>
      </c>
      <c r="AA358" s="349">
        <f>VLOOKUP(G358,'3-Productie normen'!A:Q,15,FALSE)</f>
        <v>235.06999999999988</v>
      </c>
      <c r="AB358" s="350">
        <f>VLOOKUP(G358,'3-Productie normen'!A:Q,16,FALSE)</f>
        <v>0</v>
      </c>
      <c r="AC358" s="349"/>
      <c r="AE358" s="351">
        <f t="shared" si="26"/>
        <v>175.5</v>
      </c>
    </row>
    <row r="359" spans="1:32" ht="14.1" customHeight="1">
      <c r="A359" s="76">
        <v>359</v>
      </c>
      <c r="B359" s="496" t="s">
        <v>305</v>
      </c>
      <c r="C359" s="312" t="s">
        <v>306</v>
      </c>
      <c r="D359" s="88" t="s">
        <v>307</v>
      </c>
      <c r="E359" s="255">
        <v>77</v>
      </c>
      <c r="F359" s="88" t="s">
        <v>457</v>
      </c>
      <c r="G359" s="88" t="s">
        <v>85</v>
      </c>
      <c r="H359" s="88" t="s">
        <v>311</v>
      </c>
      <c r="I359" s="504">
        <v>14.68</v>
      </c>
      <c r="J359" s="347">
        <f t="shared" si="27"/>
        <v>130</v>
      </c>
      <c r="K359" s="260">
        <v>130</v>
      </c>
      <c r="L359" s="260"/>
      <c r="M359" s="260"/>
      <c r="N359" s="260"/>
      <c r="O359" s="260"/>
      <c r="P359" s="260"/>
      <c r="Q359" s="259" t="e">
        <f>IF(K359="nio",0,IF(K359&gt;0,K359*I359/W359,0))*VLOOKUP(B359,'2-Kosten per locatie'!$A$14:$C$28,3,FALSE)</f>
        <v>#DIV/0!</v>
      </c>
      <c r="R359" s="259">
        <f>IF(L359&gt;0,L359*I359/X359,0)*VLOOKUP(B359,'2-Kosten per locatie'!$A$14:$C$28,3,FALSE)</f>
        <v>0</v>
      </c>
      <c r="S359" s="259">
        <f>IF(M359&gt;0,M359*I359/Y359,0)*VLOOKUP(B359,'2-Kosten per locatie'!$A$14:$C$28,3,FALSE)</f>
        <v>0</v>
      </c>
      <c r="T359" s="259">
        <f>IF(N359&gt;0,N359*I359/Z359,0)*VLOOKUP(B359,'2-Kosten per locatie'!$A$14:$C$28,3,FALSE)</f>
        <v>0</v>
      </c>
      <c r="U359" s="259">
        <f>IF(O359&gt;0,O359*I359/Y359,0)*VLOOKUP(B359,'2-Kosten per locatie'!$A$14:$C$28,3,FALSE)</f>
        <v>0</v>
      </c>
      <c r="V359" s="259">
        <f>IF(P359&gt;0,P359*I359/Z359,0)*VLOOKUP(B359,'2-Kosten per locatie'!$A$14:$C$28,3,FALSE)</f>
        <v>0</v>
      </c>
      <c r="W359" s="348">
        <f>IF(K359="nio",0,IF(K359&gt;0,VLOOKUP(G359,'3-Productie normen'!A:N,VLOOKUP(K359,'3-Productie normen'!$B$27:$C$38,2,FALSE),FALSE)))</f>
        <v>0</v>
      </c>
      <c r="X359" s="348">
        <f t="shared" si="28"/>
        <v>0</v>
      </c>
      <c r="Y359" s="348">
        <f t="shared" si="29"/>
        <v>0</v>
      </c>
      <c r="Z359" s="348">
        <f t="shared" si="30"/>
        <v>0</v>
      </c>
      <c r="AA359" s="349">
        <f>VLOOKUP(G359,'3-Productie normen'!A:Q,15,FALSE)</f>
        <v>1367.5950000000007</v>
      </c>
      <c r="AB359" s="350">
        <f>VLOOKUP(G359,'3-Productie normen'!A:Q,16,FALSE)</f>
        <v>0</v>
      </c>
      <c r="AC359" s="349"/>
      <c r="AE359" s="351">
        <f t="shared" si="26"/>
        <v>1908.3999999999999</v>
      </c>
    </row>
    <row r="360" spans="1:32" ht="14.1" customHeight="1">
      <c r="A360" s="76">
        <v>360</v>
      </c>
      <c r="B360" s="496" t="s">
        <v>305</v>
      </c>
      <c r="C360" s="312" t="s">
        <v>306</v>
      </c>
      <c r="D360" s="88" t="s">
        <v>307</v>
      </c>
      <c r="E360" s="255">
        <v>78</v>
      </c>
      <c r="F360" s="88" t="s">
        <v>322</v>
      </c>
      <c r="G360" s="88" t="s">
        <v>341</v>
      </c>
      <c r="H360" s="88" t="s">
        <v>311</v>
      </c>
      <c r="I360" s="504">
        <v>7.6</v>
      </c>
      <c r="J360" s="347">
        <f t="shared" si="27"/>
        <v>12</v>
      </c>
      <c r="K360" s="260">
        <v>12</v>
      </c>
      <c r="L360" s="260"/>
      <c r="M360" s="260"/>
      <c r="N360" s="260"/>
      <c r="O360" s="260"/>
      <c r="P360" s="260"/>
      <c r="Q360" s="259" t="e">
        <f>IF(K360="nio",0,IF(K360&gt;0,K360*I360/W360,0))*VLOOKUP(B360,'2-Kosten per locatie'!$A$14:$C$28,3,FALSE)</f>
        <v>#DIV/0!</v>
      </c>
      <c r="R360" s="259">
        <f>IF(L360&gt;0,L360*I360/X360,0)*VLOOKUP(B360,'2-Kosten per locatie'!$A$14:$C$28,3,FALSE)</f>
        <v>0</v>
      </c>
      <c r="S360" s="259">
        <f>IF(M360&gt;0,M360*I360/Y360,0)*VLOOKUP(B360,'2-Kosten per locatie'!$A$14:$C$28,3,FALSE)</f>
        <v>0</v>
      </c>
      <c r="T360" s="259">
        <f>IF(N360&gt;0,N360*I360/Z360,0)*VLOOKUP(B360,'2-Kosten per locatie'!$A$14:$C$28,3,FALSE)</f>
        <v>0</v>
      </c>
      <c r="U360" s="259">
        <f>IF(O360&gt;0,O360*I360/Y360,0)*VLOOKUP(B360,'2-Kosten per locatie'!$A$14:$C$28,3,FALSE)</f>
        <v>0</v>
      </c>
      <c r="V360" s="259">
        <f>IF(P360&gt;0,P360*I360/Z360,0)*VLOOKUP(B360,'2-Kosten per locatie'!$A$14:$C$28,3,FALSE)</f>
        <v>0</v>
      </c>
      <c r="W360" s="348">
        <f>IF(K360="nio",0,IF(K360&gt;0,VLOOKUP(G360,'3-Productie normen'!A:N,VLOOKUP(K360,'3-Productie normen'!$B$27:$C$38,2,FALSE),FALSE)))</f>
        <v>0</v>
      </c>
      <c r="X360" s="348">
        <f t="shared" si="28"/>
        <v>0</v>
      </c>
      <c r="Y360" s="348">
        <f t="shared" si="29"/>
        <v>0</v>
      </c>
      <c r="Z360" s="348">
        <f t="shared" si="30"/>
        <v>0</v>
      </c>
      <c r="AA360" s="349">
        <f>VLOOKUP(G360,'3-Productie normen'!A:Q,15,FALSE)</f>
        <v>452.79000000000019</v>
      </c>
      <c r="AB360" s="350">
        <f>VLOOKUP(G360,'3-Productie normen'!A:Q,16,FALSE)</f>
        <v>0</v>
      </c>
      <c r="AC360" s="349"/>
      <c r="AE360" s="351">
        <f t="shared" si="26"/>
        <v>91.199999999999989</v>
      </c>
    </row>
    <row r="361" spans="1:32" ht="14.1" customHeight="1">
      <c r="A361" s="76">
        <v>361</v>
      </c>
      <c r="B361" s="496" t="s">
        <v>305</v>
      </c>
      <c r="C361" s="312" t="s">
        <v>306</v>
      </c>
      <c r="D361" s="88" t="s">
        <v>307</v>
      </c>
      <c r="E361" s="255">
        <v>80</v>
      </c>
      <c r="F361" s="88" t="s">
        <v>310</v>
      </c>
      <c r="G361" s="88" t="s">
        <v>81</v>
      </c>
      <c r="H361" s="88" t="s">
        <v>311</v>
      </c>
      <c r="I361" s="504">
        <v>1.35</v>
      </c>
      <c r="J361" s="347">
        <f t="shared" si="27"/>
        <v>130</v>
      </c>
      <c r="K361" s="260">
        <v>130</v>
      </c>
      <c r="L361" s="260"/>
      <c r="M361" s="260"/>
      <c r="N361" s="260"/>
      <c r="O361" s="260"/>
      <c r="P361" s="260"/>
      <c r="Q361" s="259" t="e">
        <f>IF(K361="nio",0,IF(K361&gt;0,K361*I361/W361,0))*VLOOKUP(B361,'2-Kosten per locatie'!$A$14:$C$28,3,FALSE)</f>
        <v>#DIV/0!</v>
      </c>
      <c r="R361" s="259">
        <f>IF(L361&gt;0,L361*I361/X361,0)*VLOOKUP(B361,'2-Kosten per locatie'!$A$14:$C$28,3,FALSE)</f>
        <v>0</v>
      </c>
      <c r="S361" s="259">
        <f>IF(M361&gt;0,M361*I361/Y361,0)*VLOOKUP(B361,'2-Kosten per locatie'!$A$14:$C$28,3,FALSE)</f>
        <v>0</v>
      </c>
      <c r="T361" s="259">
        <f>IF(N361&gt;0,N361*I361/Z361,0)*VLOOKUP(B361,'2-Kosten per locatie'!$A$14:$C$28,3,FALSE)</f>
        <v>0</v>
      </c>
      <c r="U361" s="259">
        <f>IF(O361&gt;0,O361*I361/Y361,0)*VLOOKUP(B361,'2-Kosten per locatie'!$A$14:$C$28,3,FALSE)</f>
        <v>0</v>
      </c>
      <c r="V361" s="259">
        <f>IF(P361&gt;0,P361*I361/Z361,0)*VLOOKUP(B361,'2-Kosten per locatie'!$A$14:$C$28,3,FALSE)</f>
        <v>0</v>
      </c>
      <c r="W361" s="348">
        <f>IF(K361="nio",0,IF(K361&gt;0,VLOOKUP(G361,'3-Productie normen'!A:N,VLOOKUP(K361,'3-Productie normen'!$B$27:$C$38,2,FALSE),FALSE)))</f>
        <v>0</v>
      </c>
      <c r="X361" s="348">
        <f t="shared" si="28"/>
        <v>0</v>
      </c>
      <c r="Y361" s="348">
        <f t="shared" si="29"/>
        <v>0</v>
      </c>
      <c r="Z361" s="348">
        <f t="shared" si="30"/>
        <v>0</v>
      </c>
      <c r="AA361" s="349">
        <f>VLOOKUP(G361,'3-Productie normen'!A:Q,15,FALSE)</f>
        <v>235.06999999999988</v>
      </c>
      <c r="AB361" s="350">
        <f>VLOOKUP(G361,'3-Productie normen'!A:Q,16,FALSE)</f>
        <v>0</v>
      </c>
      <c r="AC361" s="349"/>
      <c r="AE361" s="351">
        <f t="shared" si="26"/>
        <v>175.5</v>
      </c>
    </row>
    <row r="362" spans="1:32" ht="14.1" customHeight="1">
      <c r="A362" s="76">
        <v>362</v>
      </c>
      <c r="B362" s="496" t="s">
        <v>305</v>
      </c>
      <c r="C362" s="312" t="s">
        <v>306</v>
      </c>
      <c r="D362" s="88" t="s">
        <v>307</v>
      </c>
      <c r="E362" s="255">
        <v>81</v>
      </c>
      <c r="F362" s="88" t="s">
        <v>458</v>
      </c>
      <c r="G362" s="88" t="s">
        <v>85</v>
      </c>
      <c r="H362" s="88" t="s">
        <v>311</v>
      </c>
      <c r="I362" s="504">
        <v>14.68</v>
      </c>
      <c r="J362" s="347">
        <f t="shared" si="27"/>
        <v>130</v>
      </c>
      <c r="K362" s="260">
        <v>130</v>
      </c>
      <c r="L362" s="260"/>
      <c r="M362" s="260"/>
      <c r="N362" s="260"/>
      <c r="O362" s="260"/>
      <c r="P362" s="260"/>
      <c r="Q362" s="259" t="e">
        <f>IF(K362="nio",0,IF(K362&gt;0,K362*I362/W362,0))*VLOOKUP(B362,'2-Kosten per locatie'!$A$14:$C$28,3,FALSE)</f>
        <v>#DIV/0!</v>
      </c>
      <c r="R362" s="259">
        <f>IF(L362&gt;0,L362*I362/X362,0)*VLOOKUP(B362,'2-Kosten per locatie'!$A$14:$C$28,3,FALSE)</f>
        <v>0</v>
      </c>
      <c r="S362" s="259">
        <f>IF(M362&gt;0,M362*I362/Y362,0)*VLOOKUP(B362,'2-Kosten per locatie'!$A$14:$C$28,3,FALSE)</f>
        <v>0</v>
      </c>
      <c r="T362" s="259">
        <f>IF(N362&gt;0,N362*I362/Z362,0)*VLOOKUP(B362,'2-Kosten per locatie'!$A$14:$C$28,3,FALSE)</f>
        <v>0</v>
      </c>
      <c r="U362" s="259">
        <f>IF(O362&gt;0,O362*I362/Y362,0)*VLOOKUP(B362,'2-Kosten per locatie'!$A$14:$C$28,3,FALSE)</f>
        <v>0</v>
      </c>
      <c r="V362" s="259">
        <f>IF(P362&gt;0,P362*I362/Z362,0)*VLOOKUP(B362,'2-Kosten per locatie'!$A$14:$C$28,3,FALSE)</f>
        <v>0</v>
      </c>
      <c r="W362" s="348">
        <f>IF(K362="nio",0,IF(K362&gt;0,VLOOKUP(G362,'3-Productie normen'!A:N,VLOOKUP(K362,'3-Productie normen'!$B$27:$C$38,2,FALSE),FALSE)))</f>
        <v>0</v>
      </c>
      <c r="X362" s="348">
        <f t="shared" si="28"/>
        <v>0</v>
      </c>
      <c r="Y362" s="348">
        <f t="shared" si="29"/>
        <v>0</v>
      </c>
      <c r="Z362" s="348">
        <f t="shared" si="30"/>
        <v>0</v>
      </c>
      <c r="AA362" s="349">
        <f>VLOOKUP(G362,'3-Productie normen'!A:Q,15,FALSE)</f>
        <v>1367.5950000000007</v>
      </c>
      <c r="AB362" s="350">
        <f>VLOOKUP(G362,'3-Productie normen'!A:Q,16,FALSE)</f>
        <v>0</v>
      </c>
      <c r="AC362" s="349"/>
      <c r="AE362" s="351">
        <f t="shared" si="26"/>
        <v>1908.3999999999999</v>
      </c>
    </row>
    <row r="363" spans="1:32" ht="14.1" customHeight="1">
      <c r="A363" s="76">
        <v>363</v>
      </c>
      <c r="B363" s="496" t="s">
        <v>305</v>
      </c>
      <c r="C363" s="312" t="s">
        <v>306</v>
      </c>
      <c r="D363" s="88" t="s">
        <v>307</v>
      </c>
      <c r="E363" s="255">
        <v>82</v>
      </c>
      <c r="F363" s="88" t="s">
        <v>322</v>
      </c>
      <c r="G363" s="88" t="s">
        <v>341</v>
      </c>
      <c r="H363" s="88" t="s">
        <v>311</v>
      </c>
      <c r="I363" s="504">
        <v>7.6</v>
      </c>
      <c r="J363" s="347">
        <f t="shared" si="27"/>
        <v>12</v>
      </c>
      <c r="K363" s="260">
        <v>12</v>
      </c>
      <c r="L363" s="260"/>
      <c r="M363" s="260"/>
      <c r="N363" s="260"/>
      <c r="O363" s="260"/>
      <c r="P363" s="260"/>
      <c r="Q363" s="259" t="e">
        <f>IF(K363="nio",0,IF(K363&gt;0,K363*I363/W363,0))*VLOOKUP(B363,'2-Kosten per locatie'!$A$14:$C$28,3,FALSE)</f>
        <v>#DIV/0!</v>
      </c>
      <c r="R363" s="259">
        <f>IF(L363&gt;0,L363*I363/X363,0)*VLOOKUP(B363,'2-Kosten per locatie'!$A$14:$C$28,3,FALSE)</f>
        <v>0</v>
      </c>
      <c r="S363" s="259">
        <f>IF(M363&gt;0,M363*I363/Y363,0)*VLOOKUP(B363,'2-Kosten per locatie'!$A$14:$C$28,3,FALSE)</f>
        <v>0</v>
      </c>
      <c r="T363" s="259">
        <f>IF(N363&gt;0,N363*I363/Z363,0)*VLOOKUP(B363,'2-Kosten per locatie'!$A$14:$C$28,3,FALSE)</f>
        <v>0</v>
      </c>
      <c r="U363" s="259">
        <f>IF(O363&gt;0,O363*I363/Y363,0)*VLOOKUP(B363,'2-Kosten per locatie'!$A$14:$C$28,3,FALSE)</f>
        <v>0</v>
      </c>
      <c r="V363" s="259">
        <f>IF(P363&gt;0,P363*I363/Z363,0)*VLOOKUP(B363,'2-Kosten per locatie'!$A$14:$C$28,3,FALSE)</f>
        <v>0</v>
      </c>
      <c r="W363" s="348">
        <f>IF(K363="nio",0,IF(K363&gt;0,VLOOKUP(G363,'3-Productie normen'!A:N,VLOOKUP(K363,'3-Productie normen'!$B$27:$C$38,2,FALSE),FALSE)))</f>
        <v>0</v>
      </c>
      <c r="X363" s="348">
        <f t="shared" si="28"/>
        <v>0</v>
      </c>
      <c r="Y363" s="348">
        <f t="shared" si="29"/>
        <v>0</v>
      </c>
      <c r="Z363" s="348">
        <f t="shared" si="30"/>
        <v>0</v>
      </c>
      <c r="AA363" s="349">
        <f>VLOOKUP(G363,'3-Productie normen'!A:Q,15,FALSE)</f>
        <v>452.79000000000019</v>
      </c>
      <c r="AB363" s="350">
        <f>VLOOKUP(G363,'3-Productie normen'!A:Q,16,FALSE)</f>
        <v>0</v>
      </c>
      <c r="AC363" s="349"/>
      <c r="AE363" s="351">
        <f t="shared" si="26"/>
        <v>91.199999999999989</v>
      </c>
    </row>
    <row r="364" spans="1:32" ht="14.1" customHeight="1">
      <c r="A364" s="76">
        <v>364</v>
      </c>
      <c r="B364" s="496" t="s">
        <v>305</v>
      </c>
      <c r="C364" s="312" t="s">
        <v>306</v>
      </c>
      <c r="D364" s="88" t="s">
        <v>307</v>
      </c>
      <c r="E364" s="255">
        <v>84</v>
      </c>
      <c r="F364" s="88" t="s">
        <v>310</v>
      </c>
      <c r="G364" s="88" t="s">
        <v>81</v>
      </c>
      <c r="H364" s="88" t="s">
        <v>311</v>
      </c>
      <c r="I364" s="504">
        <v>1.35</v>
      </c>
      <c r="J364" s="347">
        <f t="shared" si="27"/>
        <v>130</v>
      </c>
      <c r="K364" s="260">
        <v>130</v>
      </c>
      <c r="L364" s="260"/>
      <c r="M364" s="260"/>
      <c r="N364" s="260"/>
      <c r="O364" s="260"/>
      <c r="P364" s="260"/>
      <c r="Q364" s="259" t="e">
        <f>IF(K364="nio",0,IF(K364&gt;0,K364*I364/W364,0))*VLOOKUP(B364,'2-Kosten per locatie'!$A$14:$C$28,3,FALSE)</f>
        <v>#DIV/0!</v>
      </c>
      <c r="R364" s="259">
        <f>IF(L364&gt;0,L364*I364/X364,0)*VLOOKUP(B364,'2-Kosten per locatie'!$A$14:$C$28,3,FALSE)</f>
        <v>0</v>
      </c>
      <c r="S364" s="259">
        <f>IF(M364&gt;0,M364*I364/Y364,0)*VLOOKUP(B364,'2-Kosten per locatie'!$A$14:$C$28,3,FALSE)</f>
        <v>0</v>
      </c>
      <c r="T364" s="259">
        <f>IF(N364&gt;0,N364*I364/Z364,0)*VLOOKUP(B364,'2-Kosten per locatie'!$A$14:$C$28,3,FALSE)</f>
        <v>0</v>
      </c>
      <c r="U364" s="259">
        <f>IF(O364&gt;0,O364*I364/Y364,0)*VLOOKUP(B364,'2-Kosten per locatie'!$A$14:$C$28,3,FALSE)</f>
        <v>0</v>
      </c>
      <c r="V364" s="259">
        <f>IF(P364&gt;0,P364*I364/Z364,0)*VLOOKUP(B364,'2-Kosten per locatie'!$A$14:$C$28,3,FALSE)</f>
        <v>0</v>
      </c>
      <c r="W364" s="348">
        <f>IF(K364="nio",0,IF(K364&gt;0,VLOOKUP(G364,'3-Productie normen'!A:N,VLOOKUP(K364,'3-Productie normen'!$B$27:$C$38,2,FALSE),FALSE)))</f>
        <v>0</v>
      </c>
      <c r="X364" s="348">
        <f t="shared" si="28"/>
        <v>0</v>
      </c>
      <c r="Y364" s="348">
        <f t="shared" si="29"/>
        <v>0</v>
      </c>
      <c r="Z364" s="348">
        <f t="shared" si="30"/>
        <v>0</v>
      </c>
      <c r="AA364" s="349">
        <f>VLOOKUP(G364,'3-Productie normen'!A:Q,15,FALSE)</f>
        <v>235.06999999999988</v>
      </c>
      <c r="AB364" s="350">
        <f>VLOOKUP(G364,'3-Productie normen'!A:Q,16,FALSE)</f>
        <v>0</v>
      </c>
      <c r="AC364" s="349"/>
      <c r="AE364" s="351">
        <f t="shared" si="26"/>
        <v>175.5</v>
      </c>
    </row>
    <row r="365" spans="1:32" ht="14.1" customHeight="1">
      <c r="A365" s="76">
        <v>365</v>
      </c>
      <c r="B365" s="496" t="s">
        <v>305</v>
      </c>
      <c r="C365" s="312" t="s">
        <v>306</v>
      </c>
      <c r="D365" s="88" t="s">
        <v>307</v>
      </c>
      <c r="E365" s="255">
        <v>85</v>
      </c>
      <c r="F365" s="88" t="s">
        <v>459</v>
      </c>
      <c r="G365" s="88" t="s">
        <v>85</v>
      </c>
      <c r="H365" s="88" t="s">
        <v>311</v>
      </c>
      <c r="I365" s="504">
        <v>14.68</v>
      </c>
      <c r="J365" s="347">
        <f t="shared" si="27"/>
        <v>130</v>
      </c>
      <c r="K365" s="260">
        <v>130</v>
      </c>
      <c r="L365" s="260"/>
      <c r="M365" s="260"/>
      <c r="N365" s="260"/>
      <c r="O365" s="260"/>
      <c r="P365" s="260"/>
      <c r="Q365" s="259" t="e">
        <f>IF(K365="nio",0,IF(K365&gt;0,K365*I365/W365,0))*VLOOKUP(B365,'2-Kosten per locatie'!$A$14:$C$28,3,FALSE)</f>
        <v>#DIV/0!</v>
      </c>
      <c r="R365" s="259">
        <f>IF(L365&gt;0,L365*I365/X365,0)*VLOOKUP(B365,'2-Kosten per locatie'!$A$14:$C$28,3,FALSE)</f>
        <v>0</v>
      </c>
      <c r="S365" s="259">
        <f>IF(M365&gt;0,M365*I365/Y365,0)*VLOOKUP(B365,'2-Kosten per locatie'!$A$14:$C$28,3,FALSE)</f>
        <v>0</v>
      </c>
      <c r="T365" s="259">
        <f>IF(N365&gt;0,N365*I365/Z365,0)*VLOOKUP(B365,'2-Kosten per locatie'!$A$14:$C$28,3,FALSE)</f>
        <v>0</v>
      </c>
      <c r="U365" s="259">
        <f>IF(O365&gt;0,O365*I365/Y365,0)*VLOOKUP(B365,'2-Kosten per locatie'!$A$14:$C$28,3,FALSE)</f>
        <v>0</v>
      </c>
      <c r="V365" s="259">
        <f>IF(P365&gt;0,P365*I365/Z365,0)*VLOOKUP(B365,'2-Kosten per locatie'!$A$14:$C$28,3,FALSE)</f>
        <v>0</v>
      </c>
      <c r="W365" s="348">
        <f>IF(K365="nio",0,IF(K365&gt;0,VLOOKUP(G365,'3-Productie normen'!A:N,VLOOKUP(K365,'3-Productie normen'!$B$27:$C$38,2,FALSE),FALSE)))</f>
        <v>0</v>
      </c>
      <c r="X365" s="348">
        <f t="shared" si="28"/>
        <v>0</v>
      </c>
      <c r="Y365" s="348">
        <f t="shared" si="29"/>
        <v>0</v>
      </c>
      <c r="Z365" s="348">
        <f t="shared" si="30"/>
        <v>0</v>
      </c>
      <c r="AA365" s="349">
        <f>VLOOKUP(G365,'3-Productie normen'!A:Q,15,FALSE)</f>
        <v>1367.5950000000007</v>
      </c>
      <c r="AB365" s="350">
        <f>VLOOKUP(G365,'3-Productie normen'!A:Q,16,FALSE)</f>
        <v>0</v>
      </c>
      <c r="AC365" s="349"/>
      <c r="AE365" s="351">
        <f t="shared" si="26"/>
        <v>1908.3999999999999</v>
      </c>
    </row>
    <row r="366" spans="1:32" ht="14.1" customHeight="1">
      <c r="A366" s="76">
        <v>366</v>
      </c>
      <c r="B366" s="496" t="s">
        <v>305</v>
      </c>
      <c r="C366" s="312" t="s">
        <v>306</v>
      </c>
      <c r="D366" s="88" t="s">
        <v>307</v>
      </c>
      <c r="E366" s="255">
        <v>86</v>
      </c>
      <c r="F366" s="88" t="s">
        <v>322</v>
      </c>
      <c r="G366" s="88" t="s">
        <v>341</v>
      </c>
      <c r="H366" s="88" t="s">
        <v>311</v>
      </c>
      <c r="I366" s="504">
        <v>7.6</v>
      </c>
      <c r="J366" s="347">
        <f t="shared" si="27"/>
        <v>12</v>
      </c>
      <c r="K366" s="260">
        <v>12</v>
      </c>
      <c r="L366" s="260"/>
      <c r="M366" s="260"/>
      <c r="N366" s="260"/>
      <c r="O366" s="260"/>
      <c r="P366" s="260"/>
      <c r="Q366" s="259" t="e">
        <f>IF(K366="nio",0,IF(K366&gt;0,K366*I366/W366,0))*VLOOKUP(B366,'2-Kosten per locatie'!$A$14:$C$28,3,FALSE)</f>
        <v>#DIV/0!</v>
      </c>
      <c r="R366" s="259">
        <f>IF(L366&gt;0,L366*I366/X366,0)*VLOOKUP(B366,'2-Kosten per locatie'!$A$14:$C$28,3,FALSE)</f>
        <v>0</v>
      </c>
      <c r="S366" s="259">
        <f>IF(M366&gt;0,M366*I366/Y366,0)*VLOOKUP(B366,'2-Kosten per locatie'!$A$14:$C$28,3,FALSE)</f>
        <v>0</v>
      </c>
      <c r="T366" s="259">
        <f>IF(N366&gt;0,N366*I366/Z366,0)*VLOOKUP(B366,'2-Kosten per locatie'!$A$14:$C$28,3,FALSE)</f>
        <v>0</v>
      </c>
      <c r="U366" s="259">
        <f>IF(O366&gt;0,O366*I366/Y366,0)*VLOOKUP(B366,'2-Kosten per locatie'!$A$14:$C$28,3,FALSE)</f>
        <v>0</v>
      </c>
      <c r="V366" s="259">
        <f>IF(P366&gt;0,P366*I366/Z366,0)*VLOOKUP(B366,'2-Kosten per locatie'!$A$14:$C$28,3,FALSE)</f>
        <v>0</v>
      </c>
      <c r="W366" s="348">
        <f>IF(K366="nio",0,IF(K366&gt;0,VLOOKUP(G366,'3-Productie normen'!A:N,VLOOKUP(K366,'3-Productie normen'!$B$27:$C$38,2,FALSE),FALSE)))</f>
        <v>0</v>
      </c>
      <c r="X366" s="348">
        <f t="shared" si="28"/>
        <v>0</v>
      </c>
      <c r="Y366" s="348">
        <f t="shared" si="29"/>
        <v>0</v>
      </c>
      <c r="Z366" s="348">
        <f t="shared" si="30"/>
        <v>0</v>
      </c>
      <c r="AA366" s="349">
        <f>VLOOKUP(G366,'3-Productie normen'!A:Q,15,FALSE)</f>
        <v>452.79000000000019</v>
      </c>
      <c r="AB366" s="350">
        <f>VLOOKUP(G366,'3-Productie normen'!A:Q,16,FALSE)</f>
        <v>0</v>
      </c>
      <c r="AC366" s="349"/>
      <c r="AE366" s="351">
        <f t="shared" si="26"/>
        <v>91.199999999999989</v>
      </c>
    </row>
    <row r="367" spans="1:32" ht="14.1" customHeight="1">
      <c r="A367" s="76">
        <v>367</v>
      </c>
      <c r="B367" s="496" t="s">
        <v>305</v>
      </c>
      <c r="C367" s="312" t="s">
        <v>306</v>
      </c>
      <c r="D367" s="88" t="s">
        <v>307</v>
      </c>
      <c r="E367" s="255">
        <v>88</v>
      </c>
      <c r="F367" s="88" t="s">
        <v>310</v>
      </c>
      <c r="G367" s="88" t="s">
        <v>81</v>
      </c>
      <c r="H367" s="88" t="s">
        <v>311</v>
      </c>
      <c r="I367" s="504">
        <v>1.35</v>
      </c>
      <c r="J367" s="347">
        <f t="shared" si="27"/>
        <v>130</v>
      </c>
      <c r="K367" s="260">
        <v>130</v>
      </c>
      <c r="L367" s="260"/>
      <c r="M367" s="260"/>
      <c r="N367" s="260"/>
      <c r="O367" s="260"/>
      <c r="P367" s="260"/>
      <c r="Q367" s="259" t="e">
        <f>IF(K367="nio",0,IF(K367&gt;0,K367*I367/W367,0))*VLOOKUP(B367,'2-Kosten per locatie'!$A$14:$C$28,3,FALSE)</f>
        <v>#DIV/0!</v>
      </c>
      <c r="R367" s="259">
        <f>IF(L367&gt;0,L367*I367/X367,0)*VLOOKUP(B367,'2-Kosten per locatie'!$A$14:$C$28,3,FALSE)</f>
        <v>0</v>
      </c>
      <c r="S367" s="259">
        <f>IF(M367&gt;0,M367*I367/Y367,0)*VLOOKUP(B367,'2-Kosten per locatie'!$A$14:$C$28,3,FALSE)</f>
        <v>0</v>
      </c>
      <c r="T367" s="259">
        <f>IF(N367&gt;0,N367*I367/Z367,0)*VLOOKUP(B367,'2-Kosten per locatie'!$A$14:$C$28,3,FALSE)</f>
        <v>0</v>
      </c>
      <c r="U367" s="259">
        <f>IF(O367&gt;0,O367*I367/Y367,0)*VLOOKUP(B367,'2-Kosten per locatie'!$A$14:$C$28,3,FALSE)</f>
        <v>0</v>
      </c>
      <c r="V367" s="259">
        <f>IF(P367&gt;0,P367*I367/Z367,0)*VLOOKUP(B367,'2-Kosten per locatie'!$A$14:$C$28,3,FALSE)</f>
        <v>0</v>
      </c>
      <c r="W367" s="348">
        <f>IF(K367="nio",0,IF(K367&gt;0,VLOOKUP(G367,'3-Productie normen'!A:N,VLOOKUP(K367,'3-Productie normen'!$B$27:$C$38,2,FALSE),FALSE)))</f>
        <v>0</v>
      </c>
      <c r="X367" s="348">
        <f t="shared" si="28"/>
        <v>0</v>
      </c>
      <c r="Y367" s="348">
        <f t="shared" si="29"/>
        <v>0</v>
      </c>
      <c r="Z367" s="348">
        <f t="shared" si="30"/>
        <v>0</v>
      </c>
      <c r="AA367" s="349">
        <f>VLOOKUP(G367,'3-Productie normen'!A:Q,15,FALSE)</f>
        <v>235.06999999999988</v>
      </c>
      <c r="AB367" s="350">
        <f>VLOOKUP(G367,'3-Productie normen'!A:Q,16,FALSE)</f>
        <v>0</v>
      </c>
      <c r="AC367" s="349"/>
      <c r="AE367" s="351">
        <f t="shared" si="26"/>
        <v>175.5</v>
      </c>
    </row>
    <row r="368" spans="1:32" ht="14.1" customHeight="1">
      <c r="C368" s="94"/>
      <c r="D368" s="95"/>
      <c r="E368" s="258"/>
      <c r="F368" s="96"/>
      <c r="G368" s="96"/>
      <c r="I368" s="97"/>
      <c r="J368" s="98"/>
      <c r="K368" s="99"/>
      <c r="L368" s="99"/>
      <c r="M368" s="99"/>
      <c r="N368" s="99"/>
      <c r="O368" s="99"/>
      <c r="P368" s="99"/>
      <c r="Q368" s="100"/>
      <c r="R368" s="100"/>
      <c r="S368" s="92"/>
      <c r="T368" s="92"/>
      <c r="U368" s="92"/>
      <c r="V368" s="92"/>
      <c r="W368" s="92"/>
      <c r="X368" s="92"/>
      <c r="Y368" s="92"/>
      <c r="Z368" s="92"/>
      <c r="AA368" s="93"/>
      <c r="AB368" s="93"/>
      <c r="AC368" s="93"/>
      <c r="AD368" s="93"/>
      <c r="AE368" s="93"/>
      <c r="AF368" s="14"/>
    </row>
    <row r="369" spans="3:29" ht="14.1" customHeight="1">
      <c r="C369" s="94"/>
      <c r="D369" s="95"/>
      <c r="E369" s="258"/>
      <c r="F369" s="96"/>
      <c r="G369" s="96"/>
      <c r="I369" s="97"/>
      <c r="J369" s="98"/>
      <c r="K369" s="99"/>
      <c r="L369" s="99"/>
      <c r="M369" s="99"/>
      <c r="N369" s="99"/>
      <c r="O369" s="99"/>
      <c r="P369" s="99"/>
      <c r="Q369" s="100"/>
      <c r="R369" s="100"/>
      <c r="S369" s="92"/>
      <c r="T369" s="92"/>
      <c r="U369" s="92"/>
      <c r="V369" s="92"/>
      <c r="W369" s="92"/>
      <c r="X369" s="92"/>
      <c r="Y369" s="92"/>
      <c r="Z369" s="92"/>
      <c r="AA369" s="93"/>
      <c r="AB369" s="93"/>
      <c r="AC369" s="93"/>
    </row>
    <row r="370" spans="3:29" ht="14.1" customHeight="1">
      <c r="C370" s="94"/>
      <c r="D370" s="95"/>
      <c r="E370" s="258"/>
      <c r="F370" s="96"/>
      <c r="G370" s="96"/>
      <c r="I370" s="97"/>
      <c r="J370" s="98"/>
      <c r="K370" s="99"/>
      <c r="L370" s="99"/>
      <c r="M370" s="99"/>
      <c r="N370" s="99"/>
      <c r="O370" s="99"/>
      <c r="P370" s="99"/>
      <c r="Q370" s="100"/>
      <c r="R370" s="100"/>
      <c r="S370" s="92"/>
      <c r="T370" s="92"/>
      <c r="U370" s="92"/>
      <c r="V370" s="92"/>
      <c r="W370" s="92"/>
      <c r="X370" s="92"/>
      <c r="Y370" s="92"/>
      <c r="Z370" s="92"/>
      <c r="AA370" s="93"/>
      <c r="AB370" s="93"/>
      <c r="AC370" s="93"/>
    </row>
    <row r="371" spans="3:29" ht="14.1" customHeight="1">
      <c r="C371" s="94"/>
      <c r="D371" s="95"/>
      <c r="E371" s="258"/>
      <c r="F371" s="96"/>
      <c r="G371" s="96"/>
      <c r="I371" s="97"/>
      <c r="J371" s="98"/>
      <c r="K371" s="99"/>
      <c r="L371" s="99"/>
      <c r="M371" s="99"/>
      <c r="N371" s="99"/>
      <c r="O371" s="99"/>
      <c r="P371" s="99"/>
      <c r="Q371" s="100"/>
      <c r="R371" s="100"/>
      <c r="S371" s="92"/>
      <c r="T371" s="92"/>
      <c r="U371" s="92"/>
      <c r="V371" s="92"/>
      <c r="W371" s="92"/>
      <c r="X371" s="92"/>
      <c r="Y371" s="92"/>
      <c r="Z371" s="92"/>
      <c r="AA371" s="93"/>
      <c r="AB371" s="93"/>
      <c r="AC371" s="93"/>
    </row>
    <row r="372" spans="3:29" ht="14.1" customHeight="1">
      <c r="C372" s="94"/>
      <c r="D372" s="95"/>
      <c r="E372" s="258"/>
      <c r="F372" s="96"/>
      <c r="G372" s="96"/>
      <c r="I372" s="97"/>
      <c r="J372" s="98"/>
      <c r="K372" s="99"/>
      <c r="L372" s="99"/>
      <c r="M372" s="99"/>
      <c r="N372" s="99"/>
      <c r="O372" s="99"/>
      <c r="P372" s="99"/>
      <c r="Q372" s="100"/>
      <c r="R372" s="100"/>
      <c r="S372" s="92"/>
      <c r="T372" s="92"/>
      <c r="U372" s="92"/>
      <c r="V372" s="92"/>
      <c r="W372" s="92"/>
      <c r="X372" s="92"/>
      <c r="Y372" s="92"/>
      <c r="Z372" s="92"/>
      <c r="AA372" s="93"/>
      <c r="AB372" s="93"/>
      <c r="AC372" s="93"/>
    </row>
    <row r="373" spans="3:29" ht="14.1" customHeight="1">
      <c r="C373" s="94"/>
      <c r="D373" s="95"/>
      <c r="E373" s="258"/>
      <c r="F373" s="96"/>
      <c r="G373" s="96"/>
      <c r="I373" s="97"/>
      <c r="J373" s="98"/>
      <c r="K373" s="99"/>
      <c r="L373" s="99"/>
      <c r="M373" s="99"/>
      <c r="N373" s="99"/>
      <c r="O373" s="99"/>
      <c r="P373" s="99"/>
      <c r="Q373" s="100"/>
      <c r="R373" s="100"/>
      <c r="S373" s="92"/>
      <c r="T373" s="92"/>
      <c r="U373" s="92"/>
      <c r="V373" s="92"/>
      <c r="W373" s="92"/>
      <c r="X373" s="92"/>
      <c r="Y373" s="92"/>
      <c r="Z373" s="92"/>
      <c r="AA373" s="93"/>
      <c r="AB373" s="93"/>
      <c r="AC373" s="93"/>
    </row>
    <row r="374" spans="3:29" ht="14.1" customHeight="1">
      <c r="C374" s="94"/>
      <c r="D374" s="95"/>
      <c r="E374" s="258"/>
      <c r="F374" s="96"/>
      <c r="G374" s="96"/>
      <c r="I374" s="97"/>
      <c r="J374" s="98"/>
      <c r="K374" s="99"/>
      <c r="L374" s="99"/>
      <c r="M374" s="99"/>
      <c r="N374" s="99"/>
      <c r="O374" s="99"/>
      <c r="P374" s="99"/>
      <c r="Q374" s="100"/>
      <c r="R374" s="100"/>
      <c r="S374" s="92"/>
      <c r="T374" s="92"/>
      <c r="U374" s="92"/>
      <c r="V374" s="92"/>
      <c r="W374" s="92"/>
      <c r="X374" s="92"/>
      <c r="Y374" s="92"/>
      <c r="Z374" s="92"/>
      <c r="AA374" s="93"/>
      <c r="AB374" s="93"/>
      <c r="AC374" s="93"/>
    </row>
    <row r="375" spans="3:29" ht="14.1" customHeight="1">
      <c r="C375" s="94"/>
      <c r="D375" s="95"/>
      <c r="E375" s="258"/>
      <c r="F375" s="96"/>
      <c r="G375" s="96"/>
      <c r="I375" s="97"/>
      <c r="J375" s="98"/>
      <c r="K375" s="99"/>
      <c r="L375" s="99"/>
      <c r="M375" s="99"/>
      <c r="N375" s="99"/>
      <c r="O375" s="99"/>
      <c r="P375" s="99"/>
      <c r="Q375" s="100"/>
      <c r="R375" s="100"/>
      <c r="S375" s="92"/>
      <c r="T375" s="92"/>
      <c r="U375" s="92"/>
      <c r="V375" s="92"/>
      <c r="W375" s="92"/>
      <c r="X375" s="92"/>
      <c r="Y375" s="92"/>
      <c r="Z375" s="92"/>
      <c r="AA375" s="93"/>
      <c r="AB375" s="93"/>
      <c r="AC375" s="93"/>
    </row>
    <row r="376" spans="3:29" ht="14.1" customHeight="1">
      <c r="C376" s="94"/>
      <c r="D376" s="95"/>
      <c r="E376" s="258"/>
      <c r="F376" s="96"/>
      <c r="G376" s="96"/>
      <c r="I376" s="97"/>
      <c r="J376" s="98"/>
      <c r="K376" s="99"/>
      <c r="L376" s="99"/>
      <c r="M376" s="99"/>
      <c r="N376" s="99"/>
      <c r="O376" s="99"/>
      <c r="P376" s="99"/>
      <c r="Q376" s="100"/>
      <c r="R376" s="100"/>
      <c r="S376" s="92"/>
      <c r="T376" s="92"/>
      <c r="U376" s="92"/>
      <c r="V376" s="92"/>
      <c r="W376" s="92"/>
      <c r="X376" s="92"/>
      <c r="Y376" s="92"/>
      <c r="Z376" s="92"/>
      <c r="AA376" s="93"/>
      <c r="AB376" s="93"/>
      <c r="AC376" s="93"/>
    </row>
    <row r="377" spans="3:29" ht="14.1" customHeight="1">
      <c r="C377" s="94"/>
      <c r="D377" s="95"/>
      <c r="E377" s="258"/>
      <c r="F377" s="96"/>
      <c r="G377" s="96"/>
      <c r="I377" s="97"/>
      <c r="J377" s="98"/>
      <c r="K377" s="99"/>
      <c r="L377" s="99"/>
      <c r="M377" s="99"/>
      <c r="N377" s="99"/>
      <c r="O377" s="99"/>
      <c r="P377" s="99"/>
      <c r="Q377" s="100"/>
      <c r="R377" s="100"/>
      <c r="S377" s="92"/>
      <c r="T377" s="92"/>
      <c r="U377" s="92"/>
      <c r="V377" s="92"/>
      <c r="W377" s="92"/>
      <c r="X377" s="92"/>
      <c r="Y377" s="92"/>
      <c r="Z377" s="92"/>
      <c r="AA377" s="93"/>
      <c r="AB377" s="93"/>
      <c r="AC377" s="93"/>
    </row>
    <row r="378" spans="3:29" ht="14.1" customHeight="1">
      <c r="C378" s="94"/>
      <c r="D378" s="95"/>
      <c r="E378" s="258"/>
      <c r="F378" s="96"/>
      <c r="G378" s="96"/>
      <c r="I378" s="97"/>
      <c r="J378" s="98"/>
      <c r="K378" s="99"/>
      <c r="L378" s="99"/>
      <c r="M378" s="99"/>
      <c r="N378" s="99"/>
      <c r="O378" s="99"/>
      <c r="P378" s="99"/>
      <c r="Q378" s="100"/>
      <c r="R378" s="100"/>
      <c r="S378" s="92"/>
      <c r="T378" s="92"/>
      <c r="U378" s="92"/>
      <c r="V378" s="92"/>
      <c r="W378" s="92"/>
      <c r="X378" s="92"/>
      <c r="Y378" s="92"/>
      <c r="Z378" s="92"/>
      <c r="AA378" s="93"/>
      <c r="AB378" s="93"/>
      <c r="AC378" s="93"/>
    </row>
    <row r="379" spans="3:29" ht="14.1" customHeight="1">
      <c r="C379" s="94"/>
      <c r="D379" s="95"/>
      <c r="E379" s="258"/>
      <c r="F379" s="96"/>
      <c r="G379" s="96"/>
      <c r="I379" s="97"/>
      <c r="J379" s="98"/>
      <c r="K379" s="99"/>
      <c r="L379" s="99"/>
      <c r="M379" s="99"/>
      <c r="N379" s="99"/>
      <c r="O379" s="99"/>
      <c r="P379" s="99"/>
      <c r="Q379" s="100"/>
      <c r="R379" s="100"/>
      <c r="S379" s="92"/>
      <c r="T379" s="92"/>
      <c r="U379" s="92"/>
      <c r="V379" s="92"/>
      <c r="W379" s="92"/>
      <c r="X379" s="92"/>
      <c r="Y379" s="92"/>
      <c r="Z379" s="92"/>
      <c r="AA379" s="93"/>
      <c r="AB379" s="93"/>
      <c r="AC379" s="93"/>
    </row>
    <row r="380" spans="3:29" ht="14.1" customHeight="1">
      <c r="C380" s="94"/>
      <c r="D380" s="95"/>
      <c r="E380" s="258"/>
      <c r="F380" s="96"/>
      <c r="G380" s="96"/>
      <c r="I380" s="97"/>
      <c r="J380" s="98"/>
      <c r="K380" s="99"/>
      <c r="L380" s="99"/>
      <c r="M380" s="99"/>
      <c r="N380" s="99"/>
      <c r="O380" s="99"/>
      <c r="P380" s="99"/>
      <c r="Q380" s="100"/>
      <c r="R380" s="100"/>
      <c r="S380" s="92"/>
      <c r="T380" s="92"/>
      <c r="U380" s="92"/>
      <c r="V380" s="92"/>
      <c r="W380" s="92"/>
      <c r="X380" s="92"/>
      <c r="Y380" s="92"/>
      <c r="Z380" s="92"/>
      <c r="AA380" s="93"/>
      <c r="AB380" s="93"/>
      <c r="AC380" s="93"/>
    </row>
    <row r="381" spans="3:29" ht="14.1" customHeight="1">
      <c r="C381" s="94"/>
      <c r="D381" s="95"/>
      <c r="E381" s="258"/>
      <c r="F381" s="96"/>
      <c r="G381" s="96"/>
      <c r="I381" s="97"/>
      <c r="J381" s="98"/>
      <c r="K381" s="99"/>
      <c r="L381" s="99"/>
      <c r="M381" s="99"/>
      <c r="N381" s="99"/>
      <c r="O381" s="99"/>
      <c r="P381" s="99"/>
      <c r="Q381" s="100"/>
      <c r="R381" s="100"/>
      <c r="S381" s="92"/>
      <c r="T381" s="92"/>
      <c r="U381" s="92"/>
      <c r="V381" s="92"/>
      <c r="W381" s="92"/>
      <c r="X381" s="92"/>
      <c r="Y381" s="92"/>
      <c r="Z381" s="92"/>
      <c r="AA381" s="93"/>
      <c r="AB381" s="93"/>
      <c r="AC381" s="93"/>
    </row>
    <row r="382" spans="3:29" ht="14.1" customHeight="1">
      <c r="C382" s="94"/>
      <c r="D382" s="95"/>
      <c r="E382" s="258"/>
      <c r="F382" s="96"/>
      <c r="G382" s="96"/>
      <c r="I382" s="97"/>
      <c r="J382" s="98"/>
      <c r="K382" s="99"/>
      <c r="L382" s="99"/>
      <c r="M382" s="99"/>
      <c r="N382" s="99"/>
      <c r="O382" s="99"/>
      <c r="P382" s="99"/>
      <c r="Q382" s="100"/>
      <c r="R382" s="100"/>
      <c r="S382" s="92"/>
      <c r="T382" s="92"/>
      <c r="U382" s="92"/>
      <c r="V382" s="92"/>
      <c r="W382" s="92"/>
      <c r="X382" s="92"/>
      <c r="Y382" s="92"/>
      <c r="Z382" s="92"/>
      <c r="AA382" s="93"/>
      <c r="AB382" s="93"/>
      <c r="AC382" s="93"/>
    </row>
    <row r="383" spans="3:29" ht="14.1" customHeight="1">
      <c r="C383" s="94"/>
      <c r="D383" s="95"/>
      <c r="E383" s="258"/>
      <c r="F383" s="96"/>
      <c r="G383" s="96"/>
      <c r="I383" s="97"/>
      <c r="J383" s="98"/>
      <c r="K383" s="99"/>
      <c r="L383" s="99"/>
      <c r="M383" s="99"/>
      <c r="N383" s="99"/>
      <c r="O383" s="99"/>
      <c r="P383" s="99"/>
      <c r="Q383" s="100"/>
      <c r="R383" s="100"/>
      <c r="S383" s="92"/>
      <c r="T383" s="92"/>
      <c r="U383" s="92"/>
      <c r="V383" s="92"/>
      <c r="W383" s="92"/>
      <c r="X383" s="92"/>
      <c r="Y383" s="92"/>
      <c r="Z383" s="92"/>
      <c r="AA383" s="93"/>
      <c r="AB383" s="93"/>
      <c r="AC383" s="93"/>
    </row>
    <row r="384" spans="3:29" ht="14.1" customHeight="1">
      <c r="C384" s="94"/>
      <c r="D384" s="95"/>
      <c r="E384" s="258"/>
      <c r="F384" s="96"/>
      <c r="G384" s="96"/>
      <c r="I384" s="97"/>
      <c r="J384" s="98"/>
      <c r="K384" s="99"/>
      <c r="L384" s="99"/>
      <c r="M384" s="99"/>
      <c r="N384" s="99"/>
      <c r="O384" s="99"/>
      <c r="P384" s="99"/>
      <c r="Q384" s="100"/>
      <c r="R384" s="100"/>
      <c r="S384" s="92"/>
      <c r="T384" s="92"/>
      <c r="U384" s="92"/>
      <c r="V384" s="92"/>
      <c r="W384" s="92"/>
      <c r="X384" s="92"/>
      <c r="Y384" s="92"/>
      <c r="Z384" s="92"/>
      <c r="AA384" s="93"/>
      <c r="AB384" s="93"/>
      <c r="AC384" s="93"/>
    </row>
    <row r="385" spans="3:29" ht="14.1" customHeight="1">
      <c r="C385" s="94"/>
      <c r="D385" s="95"/>
      <c r="E385" s="258"/>
      <c r="F385" s="96"/>
      <c r="G385" s="96"/>
      <c r="I385" s="97"/>
      <c r="J385" s="98"/>
      <c r="K385" s="99"/>
      <c r="L385" s="99"/>
      <c r="M385" s="99"/>
      <c r="N385" s="99"/>
      <c r="O385" s="99"/>
      <c r="P385" s="99"/>
      <c r="Q385" s="100"/>
      <c r="R385" s="100"/>
      <c r="S385" s="92"/>
      <c r="T385" s="92"/>
      <c r="U385" s="92"/>
      <c r="V385" s="92"/>
      <c r="W385" s="92"/>
      <c r="X385" s="92"/>
      <c r="Y385" s="92"/>
      <c r="Z385" s="92"/>
      <c r="AA385" s="93"/>
      <c r="AB385" s="93"/>
      <c r="AC385" s="93"/>
    </row>
    <row r="386" spans="3:29" ht="14.1" customHeight="1">
      <c r="C386" s="94"/>
      <c r="D386" s="95"/>
      <c r="E386" s="258"/>
      <c r="F386" s="96"/>
      <c r="G386" s="96"/>
      <c r="I386" s="97"/>
      <c r="J386" s="98"/>
      <c r="K386" s="99"/>
      <c r="L386" s="99"/>
      <c r="M386" s="99"/>
      <c r="N386" s="99"/>
      <c r="O386" s="99"/>
      <c r="P386" s="99"/>
      <c r="Q386" s="100"/>
      <c r="R386" s="100"/>
      <c r="S386" s="92"/>
      <c r="T386" s="92"/>
      <c r="U386" s="92"/>
      <c r="V386" s="92"/>
      <c r="W386" s="92"/>
      <c r="X386" s="92"/>
      <c r="Y386" s="92"/>
      <c r="Z386" s="92"/>
      <c r="AA386" s="93"/>
      <c r="AB386" s="93"/>
      <c r="AC386" s="93"/>
    </row>
    <row r="387" spans="3:29" ht="14.1" customHeight="1">
      <c r="C387" s="94"/>
      <c r="D387" s="95"/>
      <c r="E387" s="258"/>
      <c r="F387" s="96"/>
      <c r="G387" s="96"/>
      <c r="I387" s="97"/>
      <c r="J387" s="98"/>
      <c r="K387" s="99"/>
      <c r="L387" s="99"/>
      <c r="M387" s="99"/>
      <c r="N387" s="99"/>
      <c r="O387" s="99"/>
      <c r="P387" s="99"/>
      <c r="Q387" s="100"/>
      <c r="R387" s="100"/>
      <c r="S387" s="92"/>
      <c r="T387" s="92"/>
      <c r="U387" s="92"/>
      <c r="V387" s="92"/>
      <c r="W387" s="92"/>
      <c r="X387" s="92"/>
      <c r="Y387" s="92"/>
      <c r="Z387" s="92"/>
      <c r="AA387" s="93"/>
      <c r="AB387" s="93"/>
      <c r="AC387" s="93"/>
    </row>
    <row r="388" spans="3:29" ht="14.1" customHeight="1">
      <c r="C388" s="94"/>
      <c r="D388" s="95"/>
      <c r="E388" s="258"/>
      <c r="F388" s="96"/>
      <c r="G388" s="96"/>
      <c r="I388" s="97"/>
      <c r="J388" s="98"/>
      <c r="K388" s="99"/>
      <c r="L388" s="99"/>
      <c r="M388" s="99"/>
      <c r="N388" s="99"/>
      <c r="O388" s="99"/>
      <c r="P388" s="99"/>
      <c r="Q388" s="100"/>
      <c r="R388" s="100"/>
      <c r="S388" s="92"/>
      <c r="T388" s="92"/>
      <c r="U388" s="92"/>
      <c r="V388" s="92"/>
      <c r="W388" s="92"/>
      <c r="X388" s="92"/>
      <c r="Y388" s="92"/>
      <c r="Z388" s="92"/>
      <c r="AA388" s="93"/>
      <c r="AB388" s="93"/>
      <c r="AC388" s="93"/>
    </row>
    <row r="389" spans="3:29" ht="14.1" customHeight="1">
      <c r="C389" s="94"/>
      <c r="D389" s="95"/>
      <c r="E389" s="258"/>
      <c r="F389" s="96"/>
      <c r="G389" s="96"/>
      <c r="I389" s="97"/>
      <c r="J389" s="98"/>
      <c r="K389" s="99"/>
      <c r="L389" s="99"/>
      <c r="M389" s="99"/>
      <c r="N389" s="99"/>
      <c r="O389" s="99"/>
      <c r="P389" s="99"/>
      <c r="Q389" s="100"/>
      <c r="R389" s="100"/>
      <c r="S389" s="92"/>
      <c r="T389" s="92"/>
      <c r="U389" s="92"/>
      <c r="V389" s="92"/>
      <c r="W389" s="92"/>
      <c r="X389" s="92"/>
      <c r="Y389" s="92"/>
      <c r="Z389" s="92"/>
      <c r="AA389" s="93"/>
      <c r="AB389" s="93"/>
      <c r="AC389" s="93"/>
    </row>
    <row r="390" spans="3:29" ht="14.1" customHeight="1">
      <c r="C390" s="94"/>
      <c r="D390" s="95"/>
      <c r="E390" s="258"/>
      <c r="F390" s="96"/>
      <c r="G390" s="96"/>
      <c r="I390" s="97"/>
      <c r="J390" s="98"/>
      <c r="K390" s="99"/>
      <c r="L390" s="99"/>
      <c r="M390" s="99"/>
      <c r="N390" s="99"/>
      <c r="O390" s="99"/>
      <c r="P390" s="99"/>
      <c r="Q390" s="100"/>
      <c r="R390" s="100"/>
      <c r="S390" s="92"/>
      <c r="T390" s="92"/>
      <c r="U390" s="92"/>
      <c r="V390" s="92"/>
      <c r="W390" s="92"/>
      <c r="X390" s="92"/>
      <c r="Y390" s="92"/>
      <c r="Z390" s="92"/>
      <c r="AA390" s="93"/>
      <c r="AB390" s="93"/>
      <c r="AC390" s="93"/>
    </row>
    <row r="391" spans="3:29" ht="14.1" customHeight="1">
      <c r="C391" s="94"/>
      <c r="D391" s="95"/>
      <c r="E391" s="258"/>
      <c r="F391" s="96"/>
      <c r="G391" s="96"/>
      <c r="I391" s="97"/>
      <c r="J391" s="98"/>
      <c r="K391" s="99"/>
      <c r="L391" s="99"/>
      <c r="M391" s="99"/>
      <c r="N391" s="99"/>
      <c r="O391" s="99"/>
      <c r="P391" s="99"/>
      <c r="Q391" s="100"/>
      <c r="R391" s="100"/>
      <c r="S391" s="92"/>
      <c r="T391" s="92"/>
      <c r="U391" s="92"/>
      <c r="V391" s="92"/>
      <c r="W391" s="92"/>
      <c r="X391" s="92"/>
      <c r="Y391" s="92"/>
      <c r="Z391" s="92"/>
      <c r="AA391" s="93"/>
      <c r="AB391" s="93"/>
      <c r="AC391" s="93"/>
    </row>
    <row r="392" spans="3:29" ht="14.1" customHeight="1">
      <c r="C392" s="94"/>
      <c r="D392" s="95"/>
      <c r="E392" s="258"/>
      <c r="F392" s="96"/>
      <c r="G392" s="96"/>
      <c r="I392" s="97"/>
      <c r="J392" s="98"/>
      <c r="K392" s="99"/>
      <c r="L392" s="99"/>
      <c r="M392" s="99"/>
      <c r="N392" s="99"/>
      <c r="O392" s="99"/>
      <c r="P392" s="99"/>
      <c r="Q392" s="100"/>
      <c r="R392" s="100"/>
      <c r="S392" s="92"/>
      <c r="T392" s="92"/>
      <c r="U392" s="92"/>
      <c r="V392" s="92"/>
      <c r="W392" s="92"/>
      <c r="X392" s="92"/>
      <c r="Y392" s="92"/>
      <c r="Z392" s="92"/>
      <c r="AA392" s="93"/>
      <c r="AB392" s="93"/>
      <c r="AC392" s="93"/>
    </row>
    <row r="393" spans="3:29" ht="14.1" customHeight="1">
      <c r="C393" s="94"/>
      <c r="D393" s="95"/>
      <c r="E393" s="258"/>
      <c r="F393" s="96"/>
      <c r="G393" s="96"/>
      <c r="I393" s="97"/>
      <c r="J393" s="98"/>
      <c r="K393" s="99"/>
      <c r="L393" s="99"/>
      <c r="M393" s="99"/>
      <c r="N393" s="99"/>
      <c r="O393" s="99"/>
      <c r="P393" s="99"/>
      <c r="Q393" s="100"/>
      <c r="R393" s="100"/>
      <c r="S393" s="92"/>
      <c r="T393" s="92"/>
      <c r="U393" s="92"/>
      <c r="V393" s="92"/>
      <c r="W393" s="92"/>
      <c r="X393" s="92"/>
      <c r="Y393" s="92"/>
      <c r="Z393" s="92"/>
      <c r="AA393" s="93"/>
      <c r="AB393" s="93"/>
      <c r="AC393" s="93"/>
    </row>
    <row r="394" spans="3:29" ht="14.1" customHeight="1">
      <c r="C394" s="94"/>
      <c r="D394" s="95"/>
      <c r="E394" s="258"/>
      <c r="F394" s="96"/>
      <c r="G394" s="96"/>
      <c r="I394" s="97"/>
      <c r="J394" s="98"/>
      <c r="K394" s="99"/>
      <c r="L394" s="99"/>
      <c r="M394" s="99"/>
      <c r="N394" s="99"/>
      <c r="O394" s="99"/>
      <c r="P394" s="99"/>
      <c r="Q394" s="100"/>
      <c r="R394" s="100"/>
      <c r="S394" s="92"/>
      <c r="T394" s="92"/>
      <c r="U394" s="92"/>
      <c r="V394" s="92"/>
      <c r="W394" s="92"/>
      <c r="X394" s="92"/>
      <c r="Y394" s="92"/>
      <c r="Z394" s="92"/>
      <c r="AA394" s="93"/>
      <c r="AB394" s="93"/>
      <c r="AC394" s="93"/>
    </row>
    <row r="395" spans="3:29" ht="14.1" customHeight="1">
      <c r="C395" s="94"/>
      <c r="D395" s="95"/>
      <c r="E395" s="258"/>
      <c r="F395" s="96"/>
      <c r="G395" s="96"/>
      <c r="I395" s="97"/>
      <c r="J395" s="98"/>
      <c r="K395" s="99"/>
      <c r="L395" s="99"/>
      <c r="M395" s="99"/>
      <c r="N395" s="99"/>
      <c r="O395" s="99"/>
      <c r="P395" s="99"/>
      <c r="Q395" s="100"/>
      <c r="R395" s="100"/>
      <c r="S395" s="92"/>
      <c r="T395" s="92"/>
      <c r="U395" s="92"/>
      <c r="V395" s="92"/>
      <c r="W395" s="92"/>
      <c r="X395" s="92"/>
      <c r="Y395" s="92"/>
      <c r="Z395" s="92"/>
      <c r="AA395" s="93"/>
      <c r="AB395" s="93"/>
      <c r="AC395" s="93"/>
    </row>
    <row r="396" spans="3:29" ht="14.1" customHeight="1">
      <c r="C396" s="94"/>
      <c r="D396" s="95"/>
      <c r="E396" s="258"/>
      <c r="F396" s="96"/>
      <c r="G396" s="96"/>
      <c r="I396" s="97"/>
      <c r="J396" s="98"/>
      <c r="K396" s="99"/>
      <c r="L396" s="99"/>
      <c r="M396" s="99"/>
      <c r="N396" s="99"/>
      <c r="O396" s="99"/>
      <c r="P396" s="99"/>
      <c r="Q396" s="100"/>
      <c r="R396" s="100"/>
      <c r="S396" s="92"/>
      <c r="T396" s="92"/>
      <c r="U396" s="92"/>
      <c r="V396" s="92"/>
      <c r="W396" s="92"/>
      <c r="X396" s="92"/>
      <c r="Y396" s="92"/>
      <c r="Z396" s="92"/>
      <c r="AA396" s="93"/>
      <c r="AB396" s="93"/>
      <c r="AC396" s="93"/>
    </row>
    <row r="397" spans="3:29" ht="14.1" customHeight="1">
      <c r="C397" s="94"/>
      <c r="D397" s="95"/>
      <c r="E397" s="258"/>
      <c r="F397" s="96"/>
      <c r="G397" s="96"/>
      <c r="I397" s="97"/>
      <c r="J397" s="98"/>
      <c r="K397" s="99"/>
      <c r="L397" s="99"/>
      <c r="M397" s="99"/>
      <c r="N397" s="99"/>
      <c r="O397" s="99"/>
      <c r="P397" s="99"/>
      <c r="Q397" s="100"/>
      <c r="R397" s="100"/>
      <c r="S397" s="92"/>
      <c r="T397" s="92"/>
      <c r="U397" s="92"/>
      <c r="V397" s="92"/>
      <c r="W397" s="92"/>
      <c r="X397" s="92"/>
      <c r="Y397" s="92"/>
      <c r="Z397" s="92"/>
      <c r="AA397" s="93"/>
      <c r="AB397" s="93"/>
      <c r="AC397" s="93"/>
    </row>
    <row r="398" spans="3:29" ht="14.1" customHeight="1">
      <c r="C398" s="94"/>
      <c r="D398" s="95"/>
      <c r="E398" s="258"/>
      <c r="F398" s="96"/>
      <c r="G398" s="96"/>
      <c r="I398" s="97"/>
      <c r="J398" s="98"/>
      <c r="K398" s="99"/>
      <c r="L398" s="99"/>
      <c r="M398" s="99"/>
      <c r="N398" s="99"/>
      <c r="O398" s="99"/>
      <c r="P398" s="99"/>
      <c r="Q398" s="100"/>
      <c r="R398" s="100"/>
      <c r="S398" s="92"/>
      <c r="T398" s="92"/>
      <c r="U398" s="92"/>
      <c r="V398" s="92"/>
      <c r="W398" s="92"/>
      <c r="X398" s="92"/>
      <c r="Y398" s="92"/>
      <c r="Z398" s="92"/>
      <c r="AA398" s="93"/>
      <c r="AB398" s="93"/>
      <c r="AC398" s="93"/>
    </row>
    <row r="399" spans="3:29" ht="14.1" customHeight="1">
      <c r="C399" s="94"/>
      <c r="D399" s="95"/>
      <c r="E399" s="258"/>
      <c r="F399" s="96"/>
      <c r="G399" s="96"/>
      <c r="I399" s="97"/>
      <c r="J399" s="98"/>
      <c r="K399" s="99"/>
      <c r="L399" s="99"/>
      <c r="M399" s="99"/>
      <c r="N399" s="99"/>
      <c r="O399" s="99"/>
      <c r="P399" s="99"/>
      <c r="Q399" s="100"/>
      <c r="R399" s="100"/>
      <c r="S399" s="92"/>
      <c r="T399" s="92"/>
      <c r="U399" s="92"/>
      <c r="V399" s="92"/>
      <c r="W399" s="92"/>
      <c r="X399" s="92"/>
      <c r="Y399" s="92"/>
      <c r="Z399" s="92"/>
      <c r="AA399" s="93"/>
      <c r="AB399" s="93"/>
      <c r="AC399" s="93"/>
    </row>
    <row r="400" spans="3:29" ht="14.1" customHeight="1">
      <c r="C400" s="94"/>
      <c r="D400" s="95"/>
      <c r="E400" s="258"/>
      <c r="F400" s="96"/>
      <c r="G400" s="96"/>
      <c r="I400" s="97"/>
      <c r="J400" s="98"/>
      <c r="K400" s="99"/>
      <c r="L400" s="99"/>
      <c r="M400" s="99"/>
      <c r="N400" s="99"/>
      <c r="O400" s="99"/>
      <c r="P400" s="99"/>
      <c r="Q400" s="100"/>
      <c r="R400" s="100"/>
      <c r="S400" s="92"/>
      <c r="T400" s="92"/>
      <c r="U400" s="92"/>
      <c r="V400" s="92"/>
      <c r="W400" s="92"/>
      <c r="X400" s="92"/>
      <c r="Y400" s="92"/>
      <c r="Z400" s="92"/>
      <c r="AA400" s="93"/>
      <c r="AB400" s="93"/>
      <c r="AC400" s="93"/>
    </row>
    <row r="401" spans="3:29" ht="14.1" customHeight="1">
      <c r="C401" s="94"/>
      <c r="D401" s="95"/>
      <c r="E401" s="258"/>
      <c r="F401" s="96"/>
      <c r="G401" s="96"/>
      <c r="I401" s="97"/>
      <c r="J401" s="98"/>
      <c r="K401" s="99"/>
      <c r="L401" s="99"/>
      <c r="M401" s="99"/>
      <c r="N401" s="99"/>
      <c r="O401" s="99"/>
      <c r="P401" s="99"/>
      <c r="Q401" s="100"/>
      <c r="R401" s="100"/>
      <c r="S401" s="92"/>
      <c r="T401" s="92"/>
      <c r="U401" s="92"/>
      <c r="V401" s="92"/>
      <c r="W401" s="92"/>
      <c r="X401" s="92"/>
      <c r="Y401" s="92"/>
      <c r="Z401" s="92"/>
      <c r="AA401" s="93"/>
      <c r="AB401" s="93"/>
      <c r="AC401" s="93"/>
    </row>
    <row r="402" spans="3:29" ht="14.1" customHeight="1">
      <c r="C402" s="94"/>
      <c r="D402" s="95"/>
      <c r="E402" s="258"/>
      <c r="F402" s="96"/>
      <c r="G402" s="96"/>
      <c r="I402" s="97"/>
      <c r="J402" s="98"/>
      <c r="K402" s="99"/>
      <c r="L402" s="99"/>
      <c r="M402" s="99"/>
      <c r="N402" s="99"/>
      <c r="O402" s="99"/>
      <c r="P402" s="99"/>
      <c r="Q402" s="100"/>
      <c r="R402" s="100"/>
      <c r="S402" s="92"/>
      <c r="T402" s="92"/>
      <c r="U402" s="92"/>
      <c r="V402" s="92"/>
      <c r="W402" s="92"/>
      <c r="X402" s="92"/>
      <c r="Y402" s="92"/>
      <c r="Z402" s="92"/>
      <c r="AA402" s="93"/>
      <c r="AB402" s="93"/>
      <c r="AC402" s="93"/>
    </row>
    <row r="403" spans="3:29" ht="14.1" customHeight="1">
      <c r="C403" s="94"/>
      <c r="D403" s="95"/>
      <c r="E403" s="258"/>
      <c r="F403" s="96"/>
      <c r="G403" s="96"/>
      <c r="I403" s="97"/>
      <c r="J403" s="98"/>
      <c r="K403" s="99"/>
      <c r="L403" s="99"/>
      <c r="M403" s="99"/>
      <c r="N403" s="99"/>
      <c r="O403" s="99"/>
      <c r="P403" s="99"/>
      <c r="Q403" s="100"/>
      <c r="R403" s="100"/>
      <c r="S403" s="92"/>
      <c r="T403" s="92"/>
      <c r="U403" s="92"/>
      <c r="V403" s="92"/>
      <c r="W403" s="92"/>
      <c r="X403" s="92"/>
      <c r="Y403" s="92"/>
      <c r="Z403" s="92"/>
      <c r="AA403" s="93"/>
      <c r="AB403" s="93"/>
      <c r="AC403" s="93"/>
    </row>
    <row r="404" spans="3:29" ht="14.1" customHeight="1">
      <c r="C404" s="94"/>
      <c r="D404" s="95"/>
      <c r="E404" s="258"/>
      <c r="F404" s="96"/>
      <c r="G404" s="96"/>
      <c r="I404" s="97"/>
      <c r="J404" s="98"/>
      <c r="K404" s="99"/>
      <c r="L404" s="99"/>
      <c r="M404" s="99"/>
      <c r="N404" s="99"/>
      <c r="O404" s="99"/>
      <c r="P404" s="99"/>
      <c r="Q404" s="100"/>
      <c r="R404" s="100"/>
      <c r="S404" s="92"/>
      <c r="T404" s="92"/>
      <c r="U404" s="92"/>
      <c r="V404" s="92"/>
      <c r="W404" s="92"/>
      <c r="X404" s="92"/>
      <c r="Y404" s="92"/>
      <c r="Z404" s="92"/>
      <c r="AA404" s="93"/>
      <c r="AB404" s="93"/>
      <c r="AC404" s="93"/>
    </row>
    <row r="405" spans="3:29" ht="14.1" customHeight="1">
      <c r="C405" s="94"/>
      <c r="D405" s="95"/>
      <c r="E405" s="258"/>
      <c r="F405" s="96"/>
      <c r="G405" s="96"/>
      <c r="I405" s="97"/>
      <c r="J405" s="98"/>
      <c r="K405" s="99"/>
      <c r="L405" s="99"/>
      <c r="M405" s="99"/>
      <c r="N405" s="99"/>
      <c r="O405" s="99"/>
      <c r="P405" s="99"/>
      <c r="Q405" s="100"/>
      <c r="R405" s="100"/>
      <c r="S405" s="92"/>
      <c r="T405" s="92"/>
      <c r="U405" s="92"/>
      <c r="V405" s="92"/>
      <c r="W405" s="92"/>
      <c r="X405" s="92"/>
      <c r="Y405" s="92"/>
      <c r="Z405" s="92"/>
      <c r="AA405" s="93"/>
      <c r="AB405" s="93"/>
      <c r="AC405" s="93"/>
    </row>
    <row r="406" spans="3:29" ht="14.1" customHeight="1">
      <c r="C406" s="94"/>
      <c r="D406" s="95"/>
      <c r="E406" s="258"/>
      <c r="F406" s="96"/>
      <c r="G406" s="96"/>
      <c r="I406" s="97"/>
      <c r="J406" s="98"/>
      <c r="K406" s="99"/>
      <c r="L406" s="99"/>
      <c r="M406" s="99"/>
      <c r="N406" s="99"/>
      <c r="O406" s="99"/>
      <c r="P406" s="99"/>
      <c r="Q406" s="100"/>
      <c r="R406" s="100"/>
      <c r="S406" s="92"/>
      <c r="T406" s="92"/>
      <c r="U406" s="92"/>
      <c r="V406" s="92"/>
      <c r="W406" s="92"/>
      <c r="X406" s="92"/>
      <c r="Y406" s="92"/>
      <c r="Z406" s="92"/>
      <c r="AA406" s="93"/>
      <c r="AB406" s="93"/>
      <c r="AC406" s="93"/>
    </row>
    <row r="407" spans="3:29" ht="14.1" customHeight="1">
      <c r="C407" s="94"/>
      <c r="D407" s="95"/>
      <c r="E407" s="258"/>
      <c r="F407" s="96"/>
      <c r="G407" s="96"/>
      <c r="I407" s="97"/>
      <c r="J407" s="98"/>
      <c r="K407" s="99"/>
      <c r="L407" s="99"/>
      <c r="M407" s="99"/>
      <c r="N407" s="99"/>
      <c r="O407" s="99"/>
      <c r="P407" s="99"/>
      <c r="Q407" s="100"/>
      <c r="R407" s="100"/>
      <c r="S407" s="92"/>
      <c r="T407" s="92"/>
      <c r="U407" s="92"/>
      <c r="V407" s="92"/>
      <c r="W407" s="92"/>
      <c r="X407" s="92"/>
      <c r="Y407" s="92"/>
      <c r="Z407" s="92"/>
      <c r="AA407" s="93"/>
      <c r="AB407" s="93"/>
      <c r="AC407" s="93"/>
    </row>
    <row r="408" spans="3:29" ht="14.1" customHeight="1">
      <c r="C408" s="94"/>
      <c r="D408" s="95"/>
      <c r="E408" s="258"/>
      <c r="F408" s="96"/>
      <c r="G408" s="96"/>
      <c r="I408" s="97"/>
      <c r="J408" s="98"/>
      <c r="K408" s="99"/>
      <c r="L408" s="99"/>
      <c r="M408" s="99"/>
      <c r="N408" s="99"/>
      <c r="O408" s="99"/>
      <c r="P408" s="99"/>
      <c r="Q408" s="100"/>
      <c r="R408" s="100"/>
      <c r="S408" s="92"/>
      <c r="T408" s="92"/>
      <c r="U408" s="92"/>
      <c r="V408" s="92"/>
      <c r="W408" s="92"/>
      <c r="X408" s="92"/>
      <c r="Y408" s="92"/>
      <c r="Z408" s="92"/>
      <c r="AA408" s="93"/>
      <c r="AB408" s="93"/>
      <c r="AC408" s="93"/>
    </row>
    <row r="409" spans="3:29" ht="14.1" customHeight="1">
      <c r="C409" s="94"/>
      <c r="D409" s="95"/>
      <c r="E409" s="258"/>
      <c r="F409" s="96"/>
      <c r="G409" s="96"/>
      <c r="I409" s="97"/>
      <c r="J409" s="98"/>
      <c r="K409" s="99"/>
      <c r="L409" s="99"/>
      <c r="M409" s="99"/>
      <c r="N409" s="99"/>
      <c r="O409" s="99"/>
      <c r="P409" s="99"/>
      <c r="Q409" s="100"/>
      <c r="R409" s="100"/>
      <c r="S409" s="92"/>
      <c r="T409" s="92"/>
      <c r="U409" s="92"/>
      <c r="V409" s="92"/>
      <c r="W409" s="92"/>
      <c r="X409" s="92"/>
      <c r="Y409" s="92"/>
      <c r="Z409" s="92"/>
      <c r="AA409" s="93"/>
      <c r="AB409" s="93"/>
      <c r="AC409" s="93"/>
    </row>
    <row r="410" spans="3:29" ht="14.1" customHeight="1">
      <c r="C410" s="94"/>
      <c r="D410" s="95"/>
      <c r="E410" s="258"/>
      <c r="F410" s="96"/>
      <c r="G410" s="96"/>
      <c r="I410" s="97"/>
      <c r="J410" s="98"/>
      <c r="K410" s="99"/>
      <c r="L410" s="99"/>
      <c r="M410" s="99"/>
      <c r="N410" s="99"/>
      <c r="O410" s="99"/>
      <c r="P410" s="99"/>
      <c r="Q410" s="100"/>
      <c r="R410" s="100"/>
      <c r="S410" s="92"/>
      <c r="T410" s="92"/>
      <c r="U410" s="92"/>
      <c r="V410" s="92"/>
      <c r="W410" s="92"/>
      <c r="X410" s="92"/>
      <c r="Y410" s="92"/>
      <c r="Z410" s="92"/>
      <c r="AA410" s="93"/>
      <c r="AB410" s="93"/>
      <c r="AC410" s="93"/>
    </row>
    <row r="411" spans="3:29" ht="14.1" customHeight="1">
      <c r="C411" s="94"/>
      <c r="D411" s="95"/>
      <c r="E411" s="258"/>
      <c r="F411" s="96"/>
      <c r="G411" s="96"/>
      <c r="I411" s="97"/>
      <c r="J411" s="98"/>
      <c r="K411" s="99"/>
      <c r="L411" s="99"/>
      <c r="M411" s="99"/>
      <c r="N411" s="99"/>
      <c r="O411" s="99"/>
      <c r="P411" s="99"/>
      <c r="Q411" s="100"/>
      <c r="R411" s="100"/>
      <c r="S411" s="92"/>
      <c r="T411" s="92"/>
      <c r="U411" s="92"/>
      <c r="V411" s="92"/>
      <c r="W411" s="92"/>
      <c r="X411" s="92"/>
      <c r="Y411" s="92"/>
      <c r="Z411" s="92"/>
      <c r="AA411" s="93"/>
      <c r="AB411" s="93"/>
      <c r="AC411" s="93"/>
    </row>
    <row r="412" spans="3:29" ht="14.1" customHeight="1">
      <c r="C412" s="94"/>
      <c r="D412" s="95"/>
      <c r="E412" s="258"/>
      <c r="F412" s="96"/>
      <c r="G412" s="96"/>
      <c r="I412" s="97"/>
      <c r="J412" s="98"/>
      <c r="K412" s="99"/>
      <c r="L412" s="99"/>
      <c r="M412" s="99"/>
      <c r="N412" s="99"/>
      <c r="O412" s="99"/>
      <c r="P412" s="99"/>
      <c r="Q412" s="100"/>
      <c r="R412" s="100"/>
      <c r="S412" s="92"/>
      <c r="T412" s="92"/>
      <c r="U412" s="92"/>
      <c r="V412" s="92"/>
      <c r="W412" s="92"/>
      <c r="X412" s="92"/>
      <c r="Y412" s="92"/>
      <c r="Z412" s="92"/>
      <c r="AA412" s="93"/>
      <c r="AB412" s="93"/>
      <c r="AC412" s="93"/>
    </row>
    <row r="413" spans="3:29" ht="14.1" customHeight="1">
      <c r="C413" s="94"/>
      <c r="D413" s="95"/>
      <c r="E413" s="258"/>
      <c r="F413" s="96"/>
      <c r="G413" s="96"/>
      <c r="I413" s="97"/>
      <c r="J413" s="98"/>
      <c r="K413" s="99"/>
      <c r="L413" s="99"/>
      <c r="M413" s="99"/>
      <c r="N413" s="99"/>
      <c r="O413" s="99"/>
      <c r="P413" s="99"/>
      <c r="Q413" s="100"/>
      <c r="R413" s="100"/>
      <c r="S413" s="92"/>
      <c r="T413" s="92"/>
      <c r="U413" s="92"/>
      <c r="V413" s="92"/>
      <c r="W413" s="92"/>
      <c r="X413" s="92"/>
      <c r="Y413" s="92"/>
      <c r="Z413" s="92"/>
      <c r="AA413" s="93"/>
      <c r="AB413" s="93"/>
      <c r="AC413" s="93"/>
    </row>
    <row r="414" spans="3:29" ht="14.1" customHeight="1">
      <c r="C414" s="94"/>
      <c r="D414" s="95"/>
      <c r="E414" s="258"/>
      <c r="F414" s="96"/>
      <c r="G414" s="96"/>
      <c r="I414" s="97"/>
      <c r="J414" s="98"/>
      <c r="K414" s="99"/>
      <c r="L414" s="99"/>
      <c r="M414" s="99"/>
      <c r="N414" s="99"/>
      <c r="O414" s="99"/>
      <c r="P414" s="99"/>
      <c r="Q414" s="100"/>
      <c r="R414" s="100"/>
      <c r="S414" s="92"/>
      <c r="T414" s="92"/>
      <c r="U414" s="92"/>
      <c r="V414" s="92"/>
      <c r="W414" s="92"/>
      <c r="X414" s="92"/>
      <c r="Y414" s="92"/>
      <c r="Z414" s="92"/>
      <c r="AA414" s="93"/>
      <c r="AB414" s="93"/>
      <c r="AC414" s="93"/>
    </row>
    <row r="415" spans="3:29" ht="14.1" customHeight="1">
      <c r="C415" s="94"/>
      <c r="D415" s="95"/>
      <c r="E415" s="258"/>
      <c r="F415" s="96"/>
      <c r="G415" s="96"/>
      <c r="I415" s="97"/>
      <c r="J415" s="98"/>
      <c r="K415" s="99"/>
      <c r="L415" s="99"/>
      <c r="M415" s="99"/>
      <c r="N415" s="99"/>
      <c r="O415" s="99"/>
      <c r="P415" s="99"/>
      <c r="Q415" s="100"/>
      <c r="R415" s="100"/>
      <c r="S415" s="92"/>
      <c r="T415" s="92"/>
      <c r="U415" s="92"/>
      <c r="V415" s="92"/>
      <c r="W415" s="92"/>
      <c r="X415" s="92"/>
      <c r="Y415" s="92"/>
      <c r="Z415" s="92"/>
      <c r="AA415" s="93"/>
      <c r="AB415" s="93"/>
      <c r="AC415" s="93"/>
    </row>
    <row r="416" spans="3:29" ht="14.1" customHeight="1">
      <c r="C416" s="94"/>
      <c r="D416" s="95"/>
      <c r="E416" s="258"/>
      <c r="F416" s="96"/>
      <c r="G416" s="96"/>
      <c r="I416" s="97"/>
      <c r="J416" s="98"/>
      <c r="K416" s="99"/>
      <c r="L416" s="99"/>
      <c r="M416" s="99"/>
      <c r="N416" s="99"/>
      <c r="O416" s="99"/>
      <c r="P416" s="99"/>
      <c r="Q416" s="100"/>
      <c r="R416" s="100"/>
      <c r="S416" s="92"/>
      <c r="T416" s="92"/>
      <c r="U416" s="92"/>
      <c r="V416" s="92"/>
      <c r="W416" s="92"/>
      <c r="X416" s="92"/>
      <c r="Y416" s="92"/>
      <c r="Z416" s="92"/>
      <c r="AA416" s="93"/>
      <c r="AB416" s="93"/>
      <c r="AC416" s="93"/>
    </row>
    <row r="417" spans="3:29" ht="14.1" customHeight="1">
      <c r="C417" s="94"/>
      <c r="D417" s="95"/>
      <c r="E417" s="258"/>
      <c r="F417" s="96"/>
      <c r="G417" s="96"/>
      <c r="I417" s="97"/>
      <c r="J417" s="98"/>
      <c r="K417" s="99"/>
      <c r="L417" s="99"/>
      <c r="M417" s="99"/>
      <c r="N417" s="99"/>
      <c r="O417" s="99"/>
      <c r="P417" s="99"/>
      <c r="Q417" s="100"/>
      <c r="R417" s="100"/>
      <c r="S417" s="92"/>
      <c r="T417" s="92"/>
      <c r="U417" s="92"/>
      <c r="V417" s="92"/>
      <c r="W417" s="92"/>
      <c r="X417" s="92"/>
      <c r="Y417" s="92"/>
      <c r="Z417" s="92"/>
      <c r="AA417" s="93"/>
      <c r="AB417" s="93"/>
      <c r="AC417" s="93"/>
    </row>
    <row r="418" spans="3:29" ht="14.1" customHeight="1">
      <c r="C418" s="94"/>
      <c r="D418" s="95"/>
      <c r="E418" s="258"/>
      <c r="F418" s="96"/>
      <c r="G418" s="96"/>
      <c r="I418" s="97"/>
      <c r="J418" s="98"/>
      <c r="K418" s="99"/>
      <c r="L418" s="99"/>
      <c r="M418" s="99"/>
      <c r="N418" s="99"/>
      <c r="O418" s="99"/>
      <c r="P418" s="99"/>
      <c r="Q418" s="100"/>
      <c r="R418" s="100"/>
      <c r="S418" s="92"/>
      <c r="T418" s="92"/>
      <c r="U418" s="92"/>
      <c r="V418" s="92"/>
      <c r="W418" s="92"/>
      <c r="X418" s="92"/>
      <c r="Y418" s="92"/>
      <c r="Z418" s="92"/>
      <c r="AA418" s="93"/>
      <c r="AB418" s="93"/>
      <c r="AC418" s="93"/>
    </row>
    <row r="419" spans="3:29" ht="14.1" customHeight="1">
      <c r="C419" s="94"/>
      <c r="D419" s="95"/>
      <c r="E419" s="258"/>
      <c r="F419" s="96"/>
      <c r="G419" s="96"/>
      <c r="I419" s="97"/>
      <c r="J419" s="98"/>
      <c r="K419" s="99"/>
      <c r="L419" s="99"/>
      <c r="M419" s="99"/>
      <c r="N419" s="99"/>
      <c r="O419" s="99"/>
      <c r="P419" s="99"/>
      <c r="Q419" s="100"/>
      <c r="R419" s="100"/>
      <c r="S419" s="92"/>
      <c r="T419" s="92"/>
      <c r="U419" s="92"/>
      <c r="V419" s="92"/>
      <c r="W419" s="92"/>
      <c r="X419" s="92"/>
      <c r="Y419" s="92"/>
      <c r="Z419" s="92"/>
      <c r="AA419" s="93"/>
      <c r="AB419" s="93"/>
      <c r="AC419" s="93"/>
    </row>
    <row r="420" spans="3:29" ht="14.1" customHeight="1">
      <c r="C420" s="94"/>
      <c r="D420" s="95"/>
      <c r="E420" s="258"/>
      <c r="F420" s="96"/>
      <c r="G420" s="96"/>
      <c r="I420" s="97"/>
      <c r="J420" s="98"/>
      <c r="K420" s="99"/>
      <c r="L420" s="99"/>
      <c r="M420" s="99"/>
      <c r="N420" s="99"/>
      <c r="O420" s="99"/>
      <c r="P420" s="99"/>
      <c r="Q420" s="100"/>
      <c r="R420" s="100"/>
      <c r="S420" s="92"/>
      <c r="T420" s="92"/>
      <c r="U420" s="92"/>
      <c r="V420" s="92"/>
      <c r="W420" s="92"/>
      <c r="X420" s="92"/>
      <c r="Y420" s="92"/>
      <c r="Z420" s="92"/>
      <c r="AA420" s="93"/>
      <c r="AB420" s="93"/>
      <c r="AC420" s="93"/>
    </row>
    <row r="421" spans="3:29" ht="14.1" customHeight="1">
      <c r="C421" s="94"/>
      <c r="D421" s="95"/>
      <c r="E421" s="258"/>
      <c r="F421" s="96"/>
      <c r="G421" s="96"/>
      <c r="I421" s="97"/>
      <c r="J421" s="98"/>
      <c r="K421" s="99"/>
      <c r="L421" s="99"/>
      <c r="M421" s="99"/>
      <c r="N421" s="99"/>
      <c r="O421" s="99"/>
      <c r="P421" s="99"/>
      <c r="Q421" s="100"/>
      <c r="R421" s="100"/>
      <c r="S421" s="92"/>
      <c r="T421" s="92"/>
      <c r="U421" s="92"/>
      <c r="V421" s="92"/>
      <c r="W421" s="92"/>
      <c r="X421" s="92"/>
      <c r="Y421" s="92"/>
      <c r="Z421" s="92"/>
      <c r="AA421" s="93"/>
      <c r="AB421" s="93"/>
      <c r="AC421" s="93"/>
    </row>
    <row r="422" spans="3:29" ht="14.1" customHeight="1">
      <c r="C422" s="94"/>
      <c r="D422" s="95"/>
      <c r="E422" s="258"/>
      <c r="F422" s="96"/>
      <c r="G422" s="96"/>
      <c r="I422" s="97"/>
      <c r="J422" s="98"/>
      <c r="K422" s="99"/>
      <c r="L422" s="99"/>
      <c r="M422" s="99"/>
      <c r="N422" s="99"/>
      <c r="O422" s="99"/>
      <c r="P422" s="99"/>
      <c r="Q422" s="100"/>
      <c r="R422" s="100"/>
      <c r="S422" s="92"/>
      <c r="T422" s="92"/>
      <c r="U422" s="92"/>
      <c r="V422" s="92"/>
      <c r="W422" s="92"/>
      <c r="X422" s="92"/>
      <c r="Y422" s="92"/>
      <c r="Z422" s="92"/>
      <c r="AA422" s="93"/>
      <c r="AB422" s="93"/>
      <c r="AC422" s="93"/>
    </row>
    <row r="423" spans="3:29" ht="14.1" customHeight="1">
      <c r="C423" s="94"/>
      <c r="D423" s="95"/>
      <c r="E423" s="258"/>
      <c r="F423" s="96"/>
      <c r="G423" s="96"/>
      <c r="I423" s="97"/>
      <c r="J423" s="98"/>
      <c r="K423" s="99"/>
      <c r="L423" s="99"/>
      <c r="M423" s="99"/>
      <c r="N423" s="99"/>
      <c r="O423" s="99"/>
      <c r="P423" s="99"/>
      <c r="Q423" s="100"/>
      <c r="R423" s="100"/>
      <c r="S423" s="92"/>
      <c r="T423" s="92"/>
      <c r="U423" s="92"/>
      <c r="V423" s="92"/>
      <c r="W423" s="92"/>
      <c r="X423" s="92"/>
      <c r="Y423" s="92"/>
      <c r="Z423" s="92"/>
      <c r="AA423" s="93"/>
      <c r="AB423" s="93"/>
      <c r="AC423" s="93"/>
    </row>
    <row r="424" spans="3:29" ht="14.1" customHeight="1">
      <c r="C424" s="94"/>
      <c r="D424" s="95"/>
      <c r="E424" s="258"/>
      <c r="F424" s="96"/>
      <c r="G424" s="96"/>
      <c r="I424" s="97"/>
      <c r="J424" s="98"/>
      <c r="K424" s="99"/>
      <c r="L424" s="99"/>
      <c r="M424" s="99"/>
      <c r="N424" s="99"/>
      <c r="O424" s="99"/>
      <c r="P424" s="99"/>
      <c r="Q424" s="100"/>
      <c r="R424" s="100"/>
      <c r="S424" s="92"/>
      <c r="T424" s="92"/>
      <c r="U424" s="92"/>
      <c r="V424" s="92"/>
      <c r="W424" s="92"/>
      <c r="X424" s="92"/>
      <c r="Y424" s="92"/>
      <c r="Z424" s="92"/>
      <c r="AA424" s="93"/>
      <c r="AB424" s="93"/>
      <c r="AC424" s="93"/>
    </row>
    <row r="425" spans="3:29" ht="14.1" customHeight="1">
      <c r="C425" s="94"/>
      <c r="D425" s="95"/>
      <c r="E425" s="258"/>
      <c r="F425" s="96"/>
      <c r="G425" s="96"/>
      <c r="I425" s="97"/>
      <c r="J425" s="98"/>
      <c r="K425" s="99"/>
      <c r="L425" s="99"/>
      <c r="M425" s="99"/>
      <c r="N425" s="99"/>
      <c r="O425" s="99"/>
      <c r="P425" s="99"/>
      <c r="Q425" s="100"/>
      <c r="R425" s="100"/>
      <c r="S425" s="92"/>
      <c r="T425" s="92"/>
      <c r="U425" s="92"/>
      <c r="V425" s="92"/>
      <c r="W425" s="92"/>
      <c r="X425" s="92"/>
      <c r="Y425" s="92"/>
      <c r="Z425" s="92"/>
      <c r="AA425" s="93"/>
      <c r="AB425" s="93"/>
      <c r="AC425" s="93"/>
    </row>
    <row r="426" spans="3:29" ht="14.1" customHeight="1">
      <c r="C426" s="94"/>
      <c r="D426" s="95"/>
      <c r="E426" s="258"/>
      <c r="F426" s="96"/>
      <c r="G426" s="96"/>
      <c r="I426" s="97"/>
      <c r="J426" s="98"/>
      <c r="K426" s="99"/>
      <c r="L426" s="99"/>
      <c r="M426" s="99"/>
      <c r="N426" s="99"/>
      <c r="O426" s="99"/>
      <c r="P426" s="99"/>
      <c r="Q426" s="100"/>
      <c r="R426" s="100"/>
      <c r="S426" s="92"/>
      <c r="T426" s="92"/>
      <c r="U426" s="92"/>
      <c r="V426" s="92"/>
      <c r="W426" s="92"/>
      <c r="X426" s="92"/>
      <c r="Y426" s="92"/>
      <c r="Z426" s="92"/>
      <c r="AA426" s="93"/>
      <c r="AB426" s="93"/>
      <c r="AC426" s="93"/>
    </row>
    <row r="427" spans="3:29" ht="14.1" customHeight="1">
      <c r="C427" s="94"/>
      <c r="D427" s="95"/>
      <c r="E427" s="258"/>
      <c r="F427" s="96"/>
      <c r="G427" s="96"/>
      <c r="I427" s="97"/>
      <c r="J427" s="98"/>
      <c r="K427" s="99"/>
      <c r="L427" s="99"/>
      <c r="M427" s="99"/>
      <c r="N427" s="99"/>
      <c r="O427" s="99"/>
      <c r="P427" s="99"/>
      <c r="Q427" s="100"/>
      <c r="R427" s="100"/>
      <c r="S427" s="92"/>
      <c r="T427" s="92"/>
      <c r="U427" s="92"/>
      <c r="V427" s="92"/>
      <c r="W427" s="92"/>
      <c r="X427" s="92"/>
      <c r="Y427" s="92"/>
      <c r="Z427" s="92"/>
      <c r="AA427" s="93"/>
      <c r="AB427" s="93"/>
      <c r="AC427" s="93"/>
    </row>
    <row r="428" spans="3:29" ht="14.1" customHeight="1">
      <c r="C428" s="94"/>
      <c r="D428" s="95"/>
      <c r="E428" s="258"/>
      <c r="F428" s="96"/>
      <c r="G428" s="96"/>
      <c r="I428" s="97"/>
      <c r="J428" s="98"/>
      <c r="K428" s="99"/>
      <c r="L428" s="99"/>
      <c r="M428" s="99"/>
      <c r="N428" s="99"/>
      <c r="O428" s="99"/>
      <c r="P428" s="99"/>
      <c r="Q428" s="100"/>
      <c r="R428" s="100"/>
      <c r="S428" s="92"/>
      <c r="T428" s="92"/>
      <c r="U428" s="92"/>
      <c r="V428" s="92"/>
      <c r="W428" s="92"/>
      <c r="X428" s="92"/>
      <c r="Y428" s="92"/>
      <c r="Z428" s="92"/>
      <c r="AA428" s="93"/>
      <c r="AB428" s="93"/>
      <c r="AC428" s="93"/>
    </row>
    <row r="429" spans="3:29" ht="14.1" customHeight="1">
      <c r="C429" s="94"/>
      <c r="D429" s="95"/>
      <c r="E429" s="258"/>
      <c r="F429" s="96"/>
      <c r="G429" s="96"/>
      <c r="I429" s="97"/>
      <c r="J429" s="98"/>
      <c r="K429" s="99"/>
      <c r="L429" s="99"/>
      <c r="M429" s="99"/>
      <c r="N429" s="99"/>
      <c r="O429" s="99"/>
      <c r="P429" s="99"/>
      <c r="Q429" s="100"/>
      <c r="R429" s="100"/>
      <c r="S429" s="92"/>
      <c r="T429" s="92"/>
      <c r="U429" s="92"/>
      <c r="V429" s="92"/>
      <c r="W429" s="92"/>
      <c r="X429" s="92"/>
      <c r="Y429" s="92"/>
      <c r="Z429" s="92"/>
      <c r="AA429" s="93"/>
      <c r="AB429" s="93"/>
      <c r="AC429" s="93"/>
    </row>
    <row r="430" spans="3:29" ht="14.1" customHeight="1">
      <c r="C430" s="94"/>
      <c r="D430" s="95"/>
      <c r="E430" s="258"/>
      <c r="F430" s="96"/>
      <c r="G430" s="96"/>
      <c r="I430" s="97"/>
      <c r="J430" s="98"/>
      <c r="K430" s="99"/>
      <c r="L430" s="99"/>
      <c r="M430" s="99"/>
      <c r="N430" s="99"/>
      <c r="O430" s="99"/>
      <c r="P430" s="99"/>
      <c r="Q430" s="100"/>
      <c r="R430" s="100"/>
      <c r="S430" s="92"/>
      <c r="T430" s="92"/>
      <c r="U430" s="92"/>
      <c r="V430" s="92"/>
      <c r="W430" s="92"/>
      <c r="X430" s="92"/>
      <c r="Y430" s="92"/>
      <c r="Z430" s="92"/>
      <c r="AA430" s="93"/>
      <c r="AB430" s="93"/>
      <c r="AC430" s="93"/>
    </row>
    <row r="431" spans="3:29" ht="14.1" customHeight="1">
      <c r="C431" s="94"/>
      <c r="D431" s="95"/>
      <c r="E431" s="258"/>
      <c r="F431" s="96"/>
      <c r="G431" s="96"/>
      <c r="I431" s="97"/>
      <c r="J431" s="98"/>
      <c r="K431" s="99"/>
      <c r="L431" s="99"/>
      <c r="M431" s="99"/>
      <c r="N431" s="99"/>
      <c r="O431" s="99"/>
      <c r="P431" s="99"/>
      <c r="Q431" s="100"/>
      <c r="R431" s="100"/>
      <c r="S431" s="92"/>
      <c r="T431" s="92"/>
      <c r="U431" s="92"/>
      <c r="V431" s="92"/>
      <c r="W431" s="92"/>
      <c r="X431" s="92"/>
      <c r="Y431" s="92"/>
      <c r="Z431" s="92"/>
      <c r="AA431" s="93"/>
      <c r="AB431" s="93"/>
      <c r="AC431" s="93"/>
    </row>
    <row r="432" spans="3:29" ht="14.1" customHeight="1">
      <c r="C432" s="94"/>
      <c r="D432" s="95"/>
      <c r="E432" s="258"/>
      <c r="F432" s="96"/>
      <c r="G432" s="96"/>
      <c r="I432" s="97"/>
      <c r="J432" s="98"/>
      <c r="K432" s="99"/>
      <c r="L432" s="99"/>
      <c r="M432" s="99"/>
      <c r="N432" s="99"/>
      <c r="O432" s="99"/>
      <c r="P432" s="99"/>
      <c r="Q432" s="100"/>
      <c r="R432" s="100"/>
      <c r="S432" s="92"/>
      <c r="T432" s="92"/>
      <c r="U432" s="92"/>
      <c r="V432" s="92"/>
      <c r="W432" s="92"/>
      <c r="X432" s="92"/>
      <c r="Y432" s="92"/>
      <c r="Z432" s="92"/>
      <c r="AA432" s="93"/>
      <c r="AB432" s="93"/>
      <c r="AC432" s="93"/>
    </row>
    <row r="433" spans="3:29" ht="14.1" customHeight="1">
      <c r="C433" s="94"/>
      <c r="D433" s="95"/>
      <c r="E433" s="258"/>
      <c r="F433" s="96"/>
      <c r="G433" s="96"/>
      <c r="I433" s="97"/>
      <c r="J433" s="98"/>
      <c r="K433" s="99"/>
      <c r="L433" s="99"/>
      <c r="M433" s="99"/>
      <c r="N433" s="99"/>
      <c r="O433" s="99"/>
      <c r="P433" s="99"/>
      <c r="Q433" s="100"/>
      <c r="R433" s="100"/>
      <c r="S433" s="92"/>
      <c r="T433" s="92"/>
      <c r="U433" s="92"/>
      <c r="V433" s="92"/>
      <c r="W433" s="92"/>
      <c r="X433" s="92"/>
      <c r="Y433" s="92"/>
      <c r="Z433" s="92"/>
      <c r="AA433" s="93"/>
      <c r="AB433" s="93"/>
      <c r="AC433" s="93"/>
    </row>
    <row r="434" spans="3:29" ht="14.1" customHeight="1">
      <c r="C434" s="94"/>
      <c r="D434" s="95"/>
      <c r="E434" s="258"/>
      <c r="F434" s="96"/>
      <c r="G434" s="96"/>
      <c r="I434" s="97"/>
      <c r="J434" s="98"/>
      <c r="K434" s="99"/>
      <c r="L434" s="99"/>
      <c r="M434" s="99"/>
      <c r="N434" s="99"/>
      <c r="O434" s="99"/>
      <c r="P434" s="99"/>
      <c r="Q434" s="100"/>
      <c r="R434" s="100"/>
      <c r="S434" s="92"/>
      <c r="T434" s="92"/>
      <c r="U434" s="92"/>
      <c r="V434" s="92"/>
      <c r="W434" s="92"/>
      <c r="X434" s="92"/>
      <c r="Y434" s="92"/>
      <c r="Z434" s="92"/>
      <c r="AA434" s="93"/>
      <c r="AB434" s="93"/>
      <c r="AC434" s="93"/>
    </row>
    <row r="435" spans="3:29" ht="14.1" customHeight="1">
      <c r="C435" s="94"/>
      <c r="D435" s="95"/>
      <c r="E435" s="258"/>
      <c r="F435" s="96"/>
      <c r="G435" s="96"/>
      <c r="I435" s="97"/>
      <c r="J435" s="98"/>
      <c r="K435" s="99"/>
      <c r="L435" s="99"/>
      <c r="M435" s="99"/>
      <c r="N435" s="99"/>
      <c r="O435" s="99"/>
      <c r="P435" s="99"/>
      <c r="Q435" s="100"/>
      <c r="R435" s="100"/>
      <c r="S435" s="92"/>
      <c r="T435" s="92"/>
      <c r="U435" s="92"/>
      <c r="V435" s="92"/>
      <c r="W435" s="92"/>
      <c r="X435" s="92"/>
      <c r="Y435" s="92"/>
      <c r="Z435" s="92"/>
      <c r="AA435" s="93"/>
      <c r="AB435" s="93"/>
      <c r="AC435" s="93"/>
    </row>
    <row r="436" spans="3:29" ht="14.1" customHeight="1">
      <c r="C436" s="94"/>
      <c r="D436" s="95"/>
      <c r="E436" s="258"/>
      <c r="F436" s="96"/>
      <c r="G436" s="96"/>
      <c r="I436" s="97"/>
      <c r="J436" s="98"/>
      <c r="K436" s="99"/>
      <c r="L436" s="99"/>
      <c r="M436" s="99"/>
      <c r="N436" s="99"/>
      <c r="O436" s="99"/>
      <c r="P436" s="99"/>
      <c r="Q436" s="100"/>
      <c r="R436" s="100"/>
      <c r="S436" s="92"/>
      <c r="T436" s="92"/>
      <c r="U436" s="92"/>
      <c r="V436" s="92"/>
      <c r="W436" s="92"/>
      <c r="X436" s="92"/>
      <c r="Y436" s="92"/>
      <c r="Z436" s="92"/>
      <c r="AA436" s="93"/>
      <c r="AB436" s="93"/>
      <c r="AC436" s="93"/>
    </row>
    <row r="437" spans="3:29" ht="14.1" customHeight="1">
      <c r="C437" s="94"/>
      <c r="D437" s="95"/>
      <c r="E437" s="258"/>
      <c r="F437" s="96"/>
      <c r="G437" s="96"/>
      <c r="I437" s="97"/>
      <c r="J437" s="98"/>
      <c r="K437" s="99"/>
      <c r="L437" s="99"/>
      <c r="M437" s="99"/>
      <c r="N437" s="99"/>
      <c r="O437" s="99"/>
      <c r="P437" s="99"/>
      <c r="Q437" s="100"/>
      <c r="R437" s="100"/>
      <c r="S437" s="92"/>
      <c r="T437" s="92"/>
      <c r="U437" s="92"/>
      <c r="V437" s="92"/>
      <c r="W437" s="92"/>
      <c r="X437" s="92"/>
      <c r="Y437" s="92"/>
      <c r="Z437" s="92"/>
      <c r="AA437" s="93"/>
      <c r="AB437" s="93"/>
      <c r="AC437" s="93"/>
    </row>
    <row r="438" spans="3:29" ht="14.1" customHeight="1">
      <c r="C438" s="94"/>
      <c r="D438" s="95"/>
      <c r="E438" s="258"/>
      <c r="F438" s="96"/>
      <c r="G438" s="96"/>
      <c r="I438" s="97"/>
      <c r="J438" s="98"/>
      <c r="K438" s="99"/>
      <c r="L438" s="99"/>
      <c r="M438" s="99"/>
      <c r="N438" s="99"/>
      <c r="O438" s="99"/>
      <c r="P438" s="99"/>
      <c r="Q438" s="100"/>
      <c r="R438" s="100"/>
      <c r="S438" s="92"/>
      <c r="T438" s="92"/>
      <c r="U438" s="92"/>
      <c r="V438" s="92"/>
      <c r="W438" s="92"/>
      <c r="X438" s="92"/>
      <c r="Y438" s="92"/>
      <c r="Z438" s="92"/>
      <c r="AA438" s="93"/>
      <c r="AB438" s="93"/>
      <c r="AC438" s="93"/>
    </row>
    <row r="439" spans="3:29" ht="14.1" customHeight="1">
      <c r="C439" s="94"/>
      <c r="D439" s="95"/>
      <c r="E439" s="258"/>
      <c r="F439" s="96"/>
      <c r="G439" s="96"/>
      <c r="I439" s="97"/>
      <c r="J439" s="98"/>
      <c r="K439" s="99"/>
      <c r="L439" s="99"/>
      <c r="M439" s="99"/>
      <c r="N439" s="99"/>
      <c r="O439" s="99"/>
      <c r="P439" s="99"/>
      <c r="Q439" s="100"/>
      <c r="R439" s="100"/>
      <c r="S439" s="92"/>
      <c r="T439" s="92"/>
      <c r="U439" s="92"/>
      <c r="V439" s="92"/>
      <c r="W439" s="92"/>
      <c r="X439" s="92"/>
      <c r="Y439" s="92"/>
      <c r="Z439" s="92"/>
      <c r="AA439" s="93"/>
      <c r="AB439" s="93"/>
      <c r="AC439" s="93"/>
    </row>
    <row r="440" spans="3:29" ht="14.1" customHeight="1">
      <c r="C440" s="94"/>
      <c r="D440" s="95"/>
      <c r="E440" s="258"/>
      <c r="F440" s="96"/>
      <c r="G440" s="96"/>
      <c r="I440" s="97"/>
      <c r="J440" s="98"/>
      <c r="K440" s="99"/>
      <c r="L440" s="99"/>
      <c r="M440" s="99"/>
      <c r="N440" s="99"/>
      <c r="O440" s="99"/>
      <c r="P440" s="99"/>
      <c r="Q440" s="100"/>
      <c r="R440" s="100"/>
      <c r="S440" s="92"/>
      <c r="T440" s="92"/>
      <c r="U440" s="92"/>
      <c r="V440" s="92"/>
      <c r="W440" s="92"/>
      <c r="X440" s="92"/>
      <c r="Y440" s="92"/>
      <c r="Z440" s="92"/>
      <c r="AA440" s="93"/>
      <c r="AB440" s="93"/>
      <c r="AC440" s="93"/>
    </row>
    <row r="441" spans="3:29" ht="14.1" customHeight="1">
      <c r="C441" s="94"/>
      <c r="D441" s="95"/>
      <c r="E441" s="258"/>
      <c r="F441" s="96"/>
      <c r="G441" s="96"/>
      <c r="I441" s="97"/>
      <c r="J441" s="98"/>
      <c r="K441" s="99"/>
      <c r="L441" s="99"/>
      <c r="M441" s="99"/>
      <c r="N441" s="99"/>
      <c r="O441" s="99"/>
      <c r="P441" s="99"/>
      <c r="Q441" s="100"/>
      <c r="R441" s="100"/>
      <c r="S441" s="92"/>
      <c r="T441" s="92"/>
      <c r="U441" s="92"/>
      <c r="V441" s="92"/>
      <c r="W441" s="92"/>
      <c r="X441" s="92"/>
      <c r="Y441" s="92"/>
      <c r="Z441" s="92"/>
      <c r="AA441" s="93"/>
      <c r="AB441" s="93"/>
      <c r="AC441" s="93"/>
    </row>
    <row r="442" spans="3:29" ht="14.1" customHeight="1">
      <c r="C442" s="94"/>
      <c r="D442" s="95"/>
      <c r="E442" s="258"/>
      <c r="F442" s="96"/>
      <c r="G442" s="96"/>
      <c r="I442" s="97"/>
      <c r="J442" s="98"/>
      <c r="K442" s="99"/>
      <c r="L442" s="99"/>
      <c r="M442" s="99"/>
      <c r="N442" s="99"/>
      <c r="O442" s="99"/>
      <c r="P442" s="99"/>
      <c r="Q442" s="100"/>
      <c r="R442" s="100"/>
      <c r="S442" s="92"/>
      <c r="T442" s="92"/>
      <c r="U442" s="92"/>
      <c r="V442" s="92"/>
      <c r="W442" s="92"/>
      <c r="X442" s="92"/>
      <c r="Y442" s="92"/>
      <c r="Z442" s="92"/>
      <c r="AA442" s="93"/>
      <c r="AB442" s="93"/>
      <c r="AC442" s="93"/>
    </row>
    <row r="443" spans="3:29" ht="14.1" customHeight="1">
      <c r="C443" s="94"/>
      <c r="D443" s="95"/>
      <c r="E443" s="258"/>
      <c r="F443" s="96"/>
      <c r="G443" s="96"/>
      <c r="I443" s="97"/>
      <c r="J443" s="98"/>
      <c r="K443" s="99"/>
      <c r="L443" s="99"/>
      <c r="M443" s="99"/>
      <c r="N443" s="99"/>
      <c r="O443" s="99"/>
      <c r="P443" s="99"/>
      <c r="Q443" s="100"/>
      <c r="R443" s="100"/>
      <c r="S443" s="92"/>
      <c r="T443" s="92"/>
      <c r="U443" s="92"/>
      <c r="V443" s="92"/>
      <c r="W443" s="92"/>
      <c r="X443" s="92"/>
      <c r="Y443" s="92"/>
      <c r="Z443" s="92"/>
      <c r="AA443" s="93"/>
      <c r="AB443" s="93"/>
      <c r="AC443" s="93"/>
    </row>
    <row r="444" spans="3:29" ht="14.1" customHeight="1">
      <c r="C444" s="94"/>
      <c r="D444" s="95"/>
      <c r="E444" s="258"/>
      <c r="F444" s="96"/>
      <c r="G444" s="96"/>
      <c r="I444" s="97"/>
      <c r="J444" s="98"/>
      <c r="K444" s="99"/>
      <c r="L444" s="99"/>
      <c r="M444" s="99"/>
      <c r="N444" s="99"/>
      <c r="O444" s="99"/>
      <c r="P444" s="99"/>
      <c r="Q444" s="100"/>
      <c r="R444" s="100"/>
      <c r="S444" s="92"/>
      <c r="T444" s="92"/>
      <c r="U444" s="92"/>
      <c r="V444" s="92"/>
      <c r="W444" s="92"/>
      <c r="X444" s="92"/>
      <c r="Y444" s="92"/>
      <c r="Z444" s="92"/>
      <c r="AA444" s="93"/>
      <c r="AB444" s="93"/>
      <c r="AC444" s="93"/>
    </row>
    <row r="445" spans="3:29" ht="14.1" customHeight="1">
      <c r="C445" s="94"/>
      <c r="D445" s="95"/>
      <c r="E445" s="258"/>
      <c r="F445" s="96"/>
      <c r="G445" s="96"/>
      <c r="I445" s="97"/>
      <c r="J445" s="98"/>
      <c r="K445" s="99"/>
      <c r="L445" s="99"/>
      <c r="M445" s="99"/>
      <c r="N445" s="99"/>
      <c r="O445" s="99"/>
      <c r="P445" s="99"/>
      <c r="Q445" s="100"/>
      <c r="R445" s="100"/>
      <c r="S445" s="92"/>
      <c r="T445" s="92"/>
      <c r="U445" s="92"/>
      <c r="V445" s="92"/>
      <c r="W445" s="92"/>
      <c r="X445" s="92"/>
      <c r="Y445" s="92"/>
      <c r="Z445" s="92"/>
      <c r="AA445" s="93"/>
      <c r="AB445" s="93"/>
      <c r="AC445" s="93"/>
    </row>
    <row r="446" spans="3:29" ht="14.1" customHeight="1">
      <c r="C446" s="94"/>
      <c r="D446" s="95"/>
      <c r="E446" s="258"/>
      <c r="F446" s="96"/>
      <c r="G446" s="96"/>
      <c r="I446" s="97"/>
      <c r="J446" s="98"/>
      <c r="K446" s="99"/>
      <c r="L446" s="99"/>
      <c r="M446" s="99"/>
      <c r="N446" s="99"/>
      <c r="O446" s="99"/>
      <c r="P446" s="99"/>
      <c r="Q446" s="100"/>
      <c r="R446" s="100"/>
      <c r="S446" s="92"/>
      <c r="T446" s="92"/>
      <c r="U446" s="92"/>
      <c r="V446" s="92"/>
      <c r="W446" s="92"/>
      <c r="X446" s="92"/>
      <c r="Y446" s="92"/>
      <c r="Z446" s="92"/>
      <c r="AA446" s="93"/>
      <c r="AB446" s="93"/>
      <c r="AC446" s="93"/>
    </row>
    <row r="447" spans="3:29" ht="14.1" customHeight="1">
      <c r="C447" s="94"/>
      <c r="D447" s="95"/>
      <c r="E447" s="258"/>
      <c r="F447" s="96"/>
      <c r="G447" s="96"/>
      <c r="I447" s="97"/>
      <c r="J447" s="98"/>
      <c r="K447" s="99"/>
      <c r="L447" s="99"/>
      <c r="M447" s="99"/>
      <c r="N447" s="99"/>
      <c r="O447" s="99"/>
      <c r="P447" s="99"/>
      <c r="Q447" s="100"/>
      <c r="R447" s="100"/>
      <c r="S447" s="92"/>
      <c r="T447" s="92"/>
      <c r="U447" s="92"/>
      <c r="V447" s="92"/>
      <c r="W447" s="92"/>
      <c r="X447" s="92"/>
      <c r="Y447" s="92"/>
      <c r="Z447" s="92"/>
      <c r="AA447" s="93"/>
      <c r="AB447" s="93"/>
      <c r="AC447" s="93"/>
    </row>
    <row r="448" spans="3:29" ht="14.1" customHeight="1">
      <c r="C448" s="94"/>
      <c r="D448" s="95"/>
      <c r="E448" s="258"/>
      <c r="F448" s="96"/>
      <c r="G448" s="96"/>
      <c r="I448" s="97"/>
      <c r="J448" s="98"/>
      <c r="K448" s="99"/>
      <c r="L448" s="99"/>
      <c r="M448" s="99"/>
      <c r="N448" s="99"/>
      <c r="O448" s="99"/>
      <c r="P448" s="99"/>
      <c r="Q448" s="100"/>
      <c r="R448" s="100"/>
      <c r="S448" s="92"/>
      <c r="T448" s="92"/>
      <c r="U448" s="92"/>
      <c r="V448" s="92"/>
      <c r="W448" s="92"/>
      <c r="X448" s="92"/>
      <c r="Y448" s="92"/>
      <c r="Z448" s="92"/>
      <c r="AA448" s="93"/>
      <c r="AB448" s="93"/>
      <c r="AC448" s="93"/>
    </row>
    <row r="449" spans="3:29" ht="14.1" customHeight="1">
      <c r="C449" s="94"/>
      <c r="D449" s="95"/>
      <c r="E449" s="258"/>
      <c r="F449" s="96"/>
      <c r="G449" s="96"/>
      <c r="I449" s="97"/>
      <c r="J449" s="98"/>
      <c r="K449" s="99"/>
      <c r="L449" s="99"/>
      <c r="M449" s="99"/>
      <c r="N449" s="99"/>
      <c r="O449" s="99"/>
      <c r="P449" s="99"/>
      <c r="Q449" s="100"/>
      <c r="R449" s="100"/>
      <c r="S449" s="92"/>
      <c r="T449" s="92"/>
      <c r="U449" s="92"/>
      <c r="V449" s="92"/>
      <c r="W449" s="92"/>
      <c r="X449" s="92"/>
      <c r="Y449" s="92"/>
      <c r="Z449" s="92"/>
      <c r="AA449" s="93"/>
      <c r="AB449" s="93"/>
      <c r="AC449" s="93"/>
    </row>
    <row r="450" spans="3:29" ht="14.1" customHeight="1">
      <c r="C450" s="94"/>
      <c r="D450" s="95"/>
      <c r="E450" s="258"/>
      <c r="F450" s="96"/>
      <c r="G450" s="96"/>
      <c r="I450" s="97"/>
      <c r="J450" s="98"/>
      <c r="K450" s="99"/>
      <c r="L450" s="99"/>
      <c r="M450" s="99"/>
      <c r="N450" s="99"/>
      <c r="O450" s="99"/>
      <c r="P450" s="99"/>
      <c r="Q450" s="100"/>
      <c r="R450" s="100"/>
      <c r="S450" s="92"/>
      <c r="T450" s="92"/>
      <c r="U450" s="92"/>
      <c r="V450" s="92"/>
      <c r="W450" s="92"/>
      <c r="X450" s="92"/>
      <c r="Y450" s="92"/>
      <c r="Z450" s="92"/>
      <c r="AA450" s="93"/>
      <c r="AB450" s="93"/>
      <c r="AC450" s="93"/>
    </row>
    <row r="451" spans="3:29" ht="14.1" customHeight="1">
      <c r="C451" s="94"/>
      <c r="D451" s="95"/>
      <c r="E451" s="258"/>
      <c r="F451" s="96"/>
      <c r="G451" s="96"/>
      <c r="I451" s="97"/>
      <c r="J451" s="98"/>
      <c r="K451" s="99"/>
      <c r="L451" s="99"/>
      <c r="M451" s="99"/>
      <c r="N451" s="99"/>
      <c r="O451" s="99"/>
      <c r="P451" s="99"/>
      <c r="Q451" s="100"/>
      <c r="R451" s="100"/>
      <c r="S451" s="92"/>
      <c r="T451" s="92"/>
      <c r="U451" s="92"/>
      <c r="V451" s="92"/>
      <c r="W451" s="92"/>
      <c r="X451" s="92"/>
      <c r="Y451" s="92"/>
      <c r="Z451" s="92"/>
      <c r="AA451" s="93"/>
      <c r="AB451" s="93"/>
      <c r="AC451" s="93"/>
    </row>
    <row r="452" spans="3:29" ht="14.1" customHeight="1">
      <c r="C452" s="94"/>
      <c r="D452" s="95"/>
      <c r="E452" s="258"/>
      <c r="F452" s="96"/>
      <c r="G452" s="96"/>
      <c r="I452" s="97"/>
      <c r="J452" s="98"/>
      <c r="K452" s="99"/>
      <c r="L452" s="99"/>
      <c r="M452" s="99"/>
      <c r="N452" s="99"/>
      <c r="O452" s="99"/>
      <c r="P452" s="99"/>
      <c r="Q452" s="100"/>
      <c r="R452" s="100"/>
      <c r="S452" s="92"/>
      <c r="T452" s="92"/>
      <c r="U452" s="92"/>
      <c r="V452" s="92"/>
      <c r="W452" s="92"/>
      <c r="X452" s="92"/>
      <c r="Y452" s="92"/>
      <c r="Z452" s="92"/>
      <c r="AA452" s="93"/>
      <c r="AB452" s="93"/>
      <c r="AC452" s="93"/>
    </row>
    <row r="453" spans="3:29" ht="14.1" customHeight="1">
      <c r="C453" s="94"/>
      <c r="D453" s="95"/>
      <c r="E453" s="258"/>
      <c r="F453" s="96"/>
      <c r="G453" s="96"/>
      <c r="I453" s="97"/>
      <c r="J453" s="98"/>
      <c r="K453" s="99"/>
      <c r="L453" s="99"/>
      <c r="M453" s="99"/>
      <c r="N453" s="99"/>
      <c r="O453" s="99"/>
      <c r="P453" s="99"/>
      <c r="Q453" s="100"/>
      <c r="R453" s="100"/>
      <c r="S453" s="92"/>
      <c r="T453" s="92"/>
      <c r="U453" s="92"/>
      <c r="V453" s="92"/>
      <c r="W453" s="92"/>
      <c r="X453" s="92"/>
      <c r="Y453" s="92"/>
      <c r="Z453" s="92"/>
      <c r="AA453" s="93"/>
      <c r="AB453" s="93"/>
      <c r="AC453" s="93"/>
    </row>
    <row r="454" spans="3:29" ht="14.1" customHeight="1">
      <c r="C454" s="94"/>
      <c r="D454" s="95"/>
      <c r="E454" s="258"/>
      <c r="F454" s="96"/>
      <c r="G454" s="96"/>
      <c r="I454" s="97"/>
      <c r="J454" s="98"/>
      <c r="K454" s="99"/>
      <c r="L454" s="99"/>
      <c r="M454" s="99"/>
      <c r="N454" s="99"/>
      <c r="O454" s="99"/>
      <c r="P454" s="99"/>
      <c r="Q454" s="100"/>
      <c r="R454" s="100"/>
      <c r="S454" s="92"/>
      <c r="T454" s="92"/>
      <c r="U454" s="92"/>
      <c r="V454" s="92"/>
      <c r="W454" s="92"/>
      <c r="X454" s="92"/>
      <c r="Y454" s="92"/>
      <c r="Z454" s="92"/>
      <c r="AA454" s="93"/>
      <c r="AB454" s="93"/>
      <c r="AC454" s="93"/>
    </row>
    <row r="455" spans="3:29" ht="14.1" customHeight="1">
      <c r="C455" s="94"/>
      <c r="D455" s="95"/>
      <c r="E455" s="258"/>
      <c r="F455" s="96"/>
      <c r="G455" s="96"/>
      <c r="I455" s="97"/>
      <c r="J455" s="98"/>
      <c r="K455" s="99"/>
      <c r="L455" s="99"/>
      <c r="M455" s="99"/>
      <c r="N455" s="99"/>
      <c r="O455" s="99"/>
      <c r="P455" s="99"/>
      <c r="Q455" s="100"/>
      <c r="R455" s="100"/>
      <c r="S455" s="92"/>
      <c r="T455" s="92"/>
      <c r="U455" s="92"/>
      <c r="V455" s="92"/>
      <c r="W455" s="92"/>
      <c r="X455" s="92"/>
      <c r="Y455" s="92"/>
      <c r="Z455" s="92"/>
      <c r="AA455" s="93"/>
      <c r="AB455" s="93"/>
      <c r="AC455" s="93"/>
    </row>
    <row r="456" spans="3:29" ht="14.1" customHeight="1">
      <c r="C456" s="94"/>
      <c r="D456" s="95"/>
      <c r="E456" s="258"/>
      <c r="F456" s="96"/>
      <c r="G456" s="96"/>
      <c r="I456" s="97"/>
      <c r="J456" s="98"/>
      <c r="K456" s="99"/>
      <c r="L456" s="99"/>
      <c r="M456" s="99"/>
      <c r="N456" s="99"/>
      <c r="O456" s="99"/>
      <c r="P456" s="99"/>
      <c r="Q456" s="100"/>
      <c r="R456" s="100"/>
      <c r="S456" s="92"/>
      <c r="T456" s="92"/>
      <c r="U456" s="92"/>
      <c r="V456" s="92"/>
      <c r="W456" s="92"/>
      <c r="X456" s="92"/>
      <c r="Y456" s="92"/>
      <c r="Z456" s="92"/>
      <c r="AA456" s="93"/>
      <c r="AB456" s="93"/>
      <c r="AC456" s="93"/>
    </row>
    <row r="457" spans="3:29" ht="14.1" customHeight="1">
      <c r="C457" s="94"/>
      <c r="D457" s="95"/>
      <c r="E457" s="258"/>
      <c r="F457" s="96"/>
      <c r="G457" s="96"/>
      <c r="I457" s="97"/>
      <c r="J457" s="98"/>
      <c r="K457" s="99"/>
      <c r="L457" s="99"/>
      <c r="M457" s="99"/>
      <c r="N457" s="99"/>
      <c r="O457" s="99"/>
      <c r="P457" s="99"/>
      <c r="Q457" s="100"/>
      <c r="R457" s="100"/>
      <c r="S457" s="92"/>
      <c r="T457" s="92"/>
      <c r="U457" s="92"/>
      <c r="V457" s="92"/>
      <c r="W457" s="92"/>
      <c r="X457" s="92"/>
      <c r="Y457" s="92"/>
      <c r="Z457" s="92"/>
      <c r="AA457" s="93"/>
      <c r="AB457" s="93"/>
      <c r="AC457" s="93"/>
    </row>
    <row r="458" spans="3:29" ht="14.1" customHeight="1">
      <c r="C458" s="94"/>
      <c r="D458" s="95"/>
      <c r="E458" s="258"/>
      <c r="F458" s="96"/>
      <c r="G458" s="96"/>
      <c r="I458" s="97"/>
      <c r="J458" s="98"/>
      <c r="K458" s="99"/>
      <c r="L458" s="99"/>
      <c r="M458" s="99"/>
      <c r="N458" s="99"/>
      <c r="O458" s="99"/>
      <c r="P458" s="99"/>
      <c r="Q458" s="100"/>
      <c r="R458" s="100"/>
      <c r="S458" s="92"/>
      <c r="T458" s="92"/>
      <c r="U458" s="92"/>
      <c r="V458" s="92"/>
      <c r="W458" s="92"/>
      <c r="X458" s="92"/>
      <c r="Y458" s="92"/>
      <c r="Z458" s="92"/>
      <c r="AA458" s="93"/>
      <c r="AB458" s="93"/>
      <c r="AC458" s="93"/>
    </row>
    <row r="459" spans="3:29" ht="14.1" customHeight="1">
      <c r="C459" s="94"/>
      <c r="D459" s="95"/>
      <c r="E459" s="258"/>
      <c r="F459" s="96"/>
      <c r="G459" s="96"/>
      <c r="I459" s="97"/>
      <c r="J459" s="98"/>
      <c r="K459" s="99"/>
      <c r="L459" s="99"/>
      <c r="M459" s="99"/>
      <c r="N459" s="99"/>
      <c r="O459" s="99"/>
      <c r="P459" s="99"/>
      <c r="Q459" s="100"/>
      <c r="R459" s="100"/>
      <c r="S459" s="92"/>
      <c r="T459" s="92"/>
      <c r="U459" s="92"/>
      <c r="V459" s="92"/>
      <c r="W459" s="92"/>
      <c r="X459" s="92"/>
      <c r="Y459" s="92"/>
      <c r="Z459" s="92"/>
      <c r="AA459" s="93"/>
      <c r="AB459" s="93"/>
      <c r="AC459" s="93"/>
    </row>
    <row r="460" spans="3:29" ht="14.1" customHeight="1">
      <c r="C460" s="94"/>
      <c r="D460" s="95"/>
      <c r="E460" s="258"/>
      <c r="F460" s="96"/>
      <c r="G460" s="96"/>
      <c r="I460" s="97"/>
      <c r="J460" s="98"/>
      <c r="K460" s="99"/>
      <c r="L460" s="99"/>
      <c r="M460" s="99"/>
      <c r="N460" s="99"/>
      <c r="O460" s="99"/>
      <c r="P460" s="99"/>
      <c r="Q460" s="100"/>
      <c r="R460" s="100"/>
      <c r="S460" s="92"/>
      <c r="T460" s="92"/>
      <c r="U460" s="92"/>
      <c r="V460" s="92"/>
      <c r="W460" s="92"/>
      <c r="X460" s="92"/>
      <c r="Y460" s="92"/>
      <c r="Z460" s="92"/>
      <c r="AA460" s="93"/>
      <c r="AB460" s="93"/>
      <c r="AC460" s="93"/>
    </row>
    <row r="461" spans="3:29" ht="14.1" customHeight="1">
      <c r="C461" s="94"/>
      <c r="D461" s="95"/>
      <c r="E461" s="258"/>
      <c r="F461" s="96"/>
      <c r="G461" s="96"/>
      <c r="I461" s="97"/>
      <c r="J461" s="98"/>
      <c r="K461" s="99"/>
      <c r="L461" s="99"/>
      <c r="M461" s="99"/>
      <c r="N461" s="99"/>
      <c r="O461" s="99"/>
      <c r="P461" s="99"/>
      <c r="Q461" s="100"/>
      <c r="R461" s="100"/>
      <c r="S461" s="92"/>
      <c r="T461" s="92"/>
      <c r="U461" s="92"/>
      <c r="V461" s="92"/>
      <c r="W461" s="92"/>
      <c r="X461" s="92"/>
      <c r="Y461" s="92"/>
      <c r="Z461" s="92"/>
      <c r="AA461" s="93"/>
      <c r="AB461" s="93"/>
      <c r="AC461" s="93"/>
    </row>
    <row r="462" spans="3:29" ht="14.1" customHeight="1">
      <c r="C462" s="94"/>
      <c r="D462" s="95"/>
      <c r="E462" s="258"/>
      <c r="F462" s="96"/>
      <c r="G462" s="96"/>
      <c r="I462" s="97"/>
      <c r="J462" s="98"/>
      <c r="K462" s="99"/>
      <c r="L462" s="99"/>
      <c r="M462" s="99"/>
      <c r="N462" s="99"/>
      <c r="O462" s="99"/>
      <c r="P462" s="99"/>
      <c r="Q462" s="100"/>
      <c r="R462" s="100"/>
      <c r="S462" s="92"/>
      <c r="T462" s="92"/>
      <c r="U462" s="92"/>
      <c r="V462" s="92"/>
      <c r="W462" s="92"/>
      <c r="X462" s="92"/>
      <c r="Y462" s="92"/>
      <c r="Z462" s="92"/>
      <c r="AA462" s="93"/>
      <c r="AB462" s="93"/>
      <c r="AC462" s="93"/>
    </row>
    <row r="463" spans="3:29" ht="14.1" customHeight="1">
      <c r="C463" s="94"/>
      <c r="D463" s="95"/>
      <c r="E463" s="258"/>
      <c r="F463" s="96"/>
      <c r="G463" s="96"/>
      <c r="I463" s="97"/>
      <c r="J463" s="98"/>
      <c r="K463" s="99"/>
      <c r="L463" s="99"/>
      <c r="M463" s="99"/>
      <c r="N463" s="99"/>
      <c r="O463" s="99"/>
      <c r="P463" s="99"/>
      <c r="Q463" s="100"/>
      <c r="R463" s="100"/>
      <c r="S463" s="92"/>
      <c r="T463" s="92"/>
      <c r="U463" s="92"/>
      <c r="V463" s="92"/>
      <c r="W463" s="92"/>
      <c r="X463" s="92"/>
      <c r="Y463" s="92"/>
      <c r="Z463" s="92"/>
      <c r="AA463" s="93"/>
      <c r="AB463" s="93"/>
      <c r="AC463" s="93"/>
    </row>
    <row r="464" spans="3:29" ht="14.1" customHeight="1">
      <c r="C464" s="94"/>
      <c r="D464" s="95"/>
      <c r="E464" s="258"/>
      <c r="F464" s="96"/>
      <c r="G464" s="96"/>
      <c r="I464" s="97"/>
      <c r="J464" s="98"/>
      <c r="K464" s="99"/>
      <c r="L464" s="99"/>
      <c r="M464" s="99"/>
      <c r="N464" s="99"/>
      <c r="O464" s="99"/>
      <c r="P464" s="99"/>
      <c r="Q464" s="100"/>
      <c r="R464" s="100"/>
      <c r="S464" s="92"/>
      <c r="T464" s="92"/>
      <c r="U464" s="92"/>
      <c r="V464" s="92"/>
      <c r="W464" s="92"/>
      <c r="X464" s="92"/>
      <c r="Y464" s="92"/>
      <c r="Z464" s="92"/>
      <c r="AA464" s="93"/>
      <c r="AB464" s="93"/>
      <c r="AC464" s="93"/>
    </row>
    <row r="465" spans="3:29" ht="14.1" customHeight="1">
      <c r="C465" s="94"/>
      <c r="D465" s="95"/>
      <c r="E465" s="258"/>
      <c r="F465" s="96"/>
      <c r="G465" s="96"/>
      <c r="I465" s="97"/>
      <c r="J465" s="98"/>
      <c r="K465" s="99"/>
      <c r="L465" s="99"/>
      <c r="M465" s="99"/>
      <c r="N465" s="99"/>
      <c r="O465" s="99"/>
      <c r="P465" s="99"/>
      <c r="Q465" s="100"/>
      <c r="R465" s="100"/>
      <c r="S465" s="92"/>
      <c r="T465" s="92"/>
      <c r="U465" s="92"/>
      <c r="V465" s="92"/>
      <c r="W465" s="92"/>
      <c r="X465" s="92"/>
      <c r="Y465" s="92"/>
      <c r="Z465" s="92"/>
      <c r="AA465" s="93"/>
      <c r="AB465" s="93"/>
      <c r="AC465" s="93"/>
    </row>
    <row r="466" spans="3:29" ht="14.1" customHeight="1">
      <c r="C466" s="94"/>
      <c r="D466" s="95"/>
      <c r="E466" s="258"/>
      <c r="F466" s="96"/>
      <c r="G466" s="96"/>
      <c r="I466" s="97"/>
      <c r="J466" s="98"/>
      <c r="K466" s="99"/>
      <c r="L466" s="99"/>
      <c r="M466" s="99"/>
      <c r="N466" s="99"/>
      <c r="O466" s="99"/>
      <c r="P466" s="99"/>
      <c r="Q466" s="100"/>
      <c r="R466" s="100"/>
      <c r="S466" s="92"/>
      <c r="T466" s="92"/>
      <c r="U466" s="92"/>
      <c r="V466" s="92"/>
      <c r="W466" s="92"/>
      <c r="X466" s="92"/>
      <c r="Y466" s="92"/>
      <c r="Z466" s="92"/>
      <c r="AA466" s="93"/>
      <c r="AB466" s="93"/>
      <c r="AC466" s="93"/>
    </row>
    <row r="467" spans="3:29" ht="14.1" customHeight="1">
      <c r="C467" s="94"/>
      <c r="D467" s="95"/>
      <c r="E467" s="258"/>
      <c r="F467" s="96"/>
      <c r="G467" s="96"/>
      <c r="I467" s="97"/>
      <c r="J467" s="98"/>
      <c r="K467" s="99"/>
      <c r="L467" s="99"/>
      <c r="M467" s="99"/>
      <c r="N467" s="99"/>
      <c r="O467" s="99"/>
      <c r="P467" s="99"/>
      <c r="Q467" s="100"/>
      <c r="R467" s="100"/>
      <c r="S467" s="92"/>
      <c r="T467" s="92"/>
      <c r="U467" s="92"/>
      <c r="V467" s="92"/>
      <c r="W467" s="92"/>
      <c r="X467" s="92"/>
      <c r="Y467" s="92"/>
      <c r="Z467" s="92"/>
      <c r="AA467" s="93"/>
      <c r="AB467" s="93"/>
      <c r="AC467" s="93"/>
    </row>
    <row r="468" spans="3:29" ht="14.1" customHeight="1">
      <c r="C468" s="94"/>
      <c r="D468" s="95"/>
      <c r="E468" s="258"/>
      <c r="F468" s="96"/>
      <c r="G468" s="96"/>
      <c r="I468" s="97"/>
      <c r="J468" s="98"/>
      <c r="K468" s="99"/>
      <c r="L468" s="99"/>
      <c r="M468" s="99"/>
      <c r="N468" s="99"/>
      <c r="O468" s="99"/>
      <c r="P468" s="99"/>
      <c r="Q468" s="100"/>
      <c r="R468" s="100"/>
      <c r="S468" s="92"/>
      <c r="T468" s="92"/>
      <c r="U468" s="92"/>
      <c r="V468" s="92"/>
      <c r="W468" s="92"/>
      <c r="X468" s="92"/>
      <c r="Y468" s="92"/>
      <c r="Z468" s="92"/>
      <c r="AA468" s="93"/>
      <c r="AB468" s="93"/>
      <c r="AC468" s="93"/>
    </row>
    <row r="469" spans="3:29" ht="14.1" customHeight="1">
      <c r="C469" s="94"/>
      <c r="D469" s="95"/>
      <c r="E469" s="258"/>
      <c r="F469" s="96"/>
      <c r="G469" s="96"/>
      <c r="I469" s="97"/>
      <c r="J469" s="98"/>
      <c r="K469" s="99"/>
      <c r="L469" s="99"/>
      <c r="M469" s="99"/>
      <c r="N469" s="99"/>
      <c r="O469" s="99"/>
      <c r="P469" s="99"/>
      <c r="Q469" s="100"/>
      <c r="R469" s="100"/>
      <c r="S469" s="92"/>
      <c r="T469" s="92"/>
      <c r="U469" s="92"/>
      <c r="V469" s="92"/>
      <c r="W469" s="92"/>
      <c r="X469" s="92"/>
      <c r="Y469" s="92"/>
      <c r="Z469" s="92"/>
      <c r="AA469" s="93"/>
      <c r="AB469" s="93"/>
      <c r="AC469" s="93"/>
    </row>
    <row r="470" spans="3:29" ht="14.1" customHeight="1">
      <c r="C470" s="94"/>
      <c r="D470" s="95"/>
      <c r="E470" s="258"/>
      <c r="F470" s="96"/>
      <c r="G470" s="96"/>
      <c r="I470" s="97"/>
      <c r="J470" s="98"/>
      <c r="K470" s="99"/>
      <c r="L470" s="99"/>
      <c r="M470" s="99"/>
      <c r="N470" s="99"/>
      <c r="O470" s="99"/>
      <c r="P470" s="99"/>
      <c r="Q470" s="100"/>
      <c r="R470" s="100"/>
      <c r="S470" s="92"/>
      <c r="T470" s="92"/>
      <c r="U470" s="92"/>
      <c r="V470" s="92"/>
      <c r="W470" s="92"/>
      <c r="X470" s="92"/>
      <c r="Y470" s="92"/>
      <c r="Z470" s="92"/>
      <c r="AA470" s="93"/>
      <c r="AB470" s="93"/>
      <c r="AC470" s="93"/>
    </row>
    <row r="471" spans="3:29" ht="14.1" customHeight="1">
      <c r="C471" s="94"/>
      <c r="D471" s="95"/>
      <c r="E471" s="258"/>
      <c r="F471" s="96"/>
      <c r="G471" s="96"/>
      <c r="I471" s="97"/>
      <c r="J471" s="98"/>
      <c r="K471" s="99"/>
      <c r="L471" s="99"/>
      <c r="M471" s="99"/>
      <c r="N471" s="99"/>
      <c r="O471" s="99"/>
      <c r="P471" s="99"/>
      <c r="Q471" s="100"/>
      <c r="R471" s="100"/>
      <c r="S471" s="92"/>
      <c r="T471" s="92"/>
      <c r="U471" s="92"/>
      <c r="V471" s="92"/>
      <c r="W471" s="92"/>
      <c r="X471" s="92"/>
      <c r="Y471" s="92"/>
      <c r="Z471" s="92"/>
      <c r="AA471" s="93"/>
      <c r="AB471" s="93"/>
      <c r="AC471" s="93"/>
    </row>
    <row r="472" spans="3:29" ht="14.1" customHeight="1">
      <c r="C472" s="94"/>
      <c r="D472" s="95"/>
      <c r="E472" s="258"/>
      <c r="F472" s="96"/>
      <c r="G472" s="96"/>
      <c r="I472" s="97"/>
      <c r="J472" s="98"/>
      <c r="K472" s="99"/>
      <c r="L472" s="99"/>
      <c r="M472" s="99"/>
      <c r="N472" s="99"/>
      <c r="O472" s="99"/>
      <c r="P472" s="99"/>
      <c r="Q472" s="100"/>
      <c r="R472" s="100"/>
      <c r="S472" s="92"/>
      <c r="T472" s="92"/>
      <c r="U472" s="92"/>
      <c r="V472" s="92"/>
      <c r="W472" s="92"/>
      <c r="X472" s="92"/>
      <c r="Y472" s="92"/>
      <c r="Z472" s="92"/>
      <c r="AA472" s="93"/>
      <c r="AB472" s="93"/>
      <c r="AC472" s="93"/>
    </row>
    <row r="473" spans="3:29" ht="14.1" customHeight="1">
      <c r="C473" s="94"/>
      <c r="D473" s="95"/>
      <c r="E473" s="258"/>
      <c r="F473" s="96"/>
      <c r="G473" s="96"/>
      <c r="I473" s="97"/>
      <c r="J473" s="98"/>
      <c r="K473" s="99"/>
      <c r="L473" s="99"/>
      <c r="M473" s="99"/>
      <c r="N473" s="99"/>
      <c r="O473" s="99"/>
      <c r="P473" s="99"/>
      <c r="Q473" s="100"/>
      <c r="R473" s="100"/>
      <c r="S473" s="92"/>
      <c r="T473" s="92"/>
      <c r="U473" s="92"/>
      <c r="V473" s="92"/>
      <c r="W473" s="92"/>
      <c r="X473" s="92"/>
      <c r="Y473" s="92"/>
      <c r="Z473" s="92"/>
      <c r="AA473" s="93"/>
      <c r="AB473" s="93"/>
      <c r="AC473" s="93"/>
    </row>
    <row r="474" spans="3:29" ht="14.1" customHeight="1">
      <c r="C474" s="94"/>
      <c r="D474" s="95"/>
      <c r="E474" s="258"/>
      <c r="F474" s="96"/>
      <c r="G474" s="96"/>
      <c r="I474" s="97"/>
      <c r="J474" s="98"/>
      <c r="K474" s="99"/>
      <c r="L474" s="99"/>
      <c r="M474" s="99"/>
      <c r="N474" s="99"/>
      <c r="O474" s="99"/>
      <c r="P474" s="99"/>
      <c r="Q474" s="100"/>
      <c r="R474" s="100"/>
      <c r="S474" s="92"/>
      <c r="T474" s="92"/>
      <c r="U474" s="92"/>
      <c r="V474" s="92"/>
      <c r="W474" s="92"/>
      <c r="X474" s="92"/>
      <c r="Y474" s="92"/>
      <c r="Z474" s="92"/>
      <c r="AA474" s="93"/>
      <c r="AB474" s="93"/>
      <c r="AC474" s="93"/>
    </row>
    <row r="475" spans="3:29" ht="14.1" customHeight="1">
      <c r="C475" s="94"/>
      <c r="D475" s="95"/>
      <c r="E475" s="258"/>
      <c r="F475" s="96"/>
      <c r="G475" s="96"/>
      <c r="I475" s="97"/>
      <c r="J475" s="98"/>
      <c r="K475" s="99"/>
      <c r="L475" s="99"/>
      <c r="M475" s="99"/>
      <c r="N475" s="99"/>
      <c r="O475" s="99"/>
      <c r="P475" s="99"/>
      <c r="Q475" s="100"/>
      <c r="R475" s="100"/>
      <c r="S475" s="92"/>
      <c r="T475" s="92"/>
      <c r="U475" s="92"/>
      <c r="V475" s="92"/>
      <c r="W475" s="92"/>
      <c r="X475" s="92"/>
      <c r="Y475" s="92"/>
      <c r="Z475" s="92"/>
      <c r="AA475" s="93"/>
      <c r="AB475" s="93"/>
      <c r="AC475" s="93"/>
    </row>
    <row r="476" spans="3:29" ht="14.1" customHeight="1">
      <c r="C476" s="94"/>
      <c r="D476" s="95"/>
      <c r="E476" s="258"/>
      <c r="F476" s="96"/>
      <c r="G476" s="96"/>
      <c r="I476" s="97"/>
      <c r="J476" s="98"/>
      <c r="K476" s="99"/>
      <c r="L476" s="99"/>
      <c r="M476" s="99"/>
      <c r="N476" s="99"/>
      <c r="O476" s="99"/>
      <c r="P476" s="99"/>
      <c r="Q476" s="100"/>
      <c r="R476" s="100"/>
      <c r="S476" s="92"/>
      <c r="T476" s="92"/>
      <c r="U476" s="92"/>
      <c r="V476" s="92"/>
      <c r="W476" s="92"/>
      <c r="X476" s="92"/>
      <c r="Y476" s="92"/>
      <c r="Z476" s="92"/>
      <c r="AA476" s="93"/>
      <c r="AB476" s="93"/>
      <c r="AC476" s="93"/>
    </row>
    <row r="477" spans="3:29" ht="14.1" customHeight="1">
      <c r="C477" s="94"/>
      <c r="D477" s="95"/>
      <c r="E477" s="258"/>
      <c r="F477" s="96"/>
      <c r="G477" s="96"/>
      <c r="I477" s="97"/>
      <c r="J477" s="98"/>
      <c r="K477" s="99"/>
      <c r="L477" s="99"/>
      <c r="M477" s="99"/>
      <c r="N477" s="99"/>
      <c r="O477" s="99"/>
      <c r="P477" s="99"/>
      <c r="Q477" s="100"/>
      <c r="R477" s="100"/>
      <c r="S477" s="92"/>
      <c r="T477" s="92"/>
      <c r="U477" s="92"/>
      <c r="V477" s="92"/>
      <c r="W477" s="92"/>
      <c r="X477" s="92"/>
      <c r="Y477" s="92"/>
      <c r="Z477" s="92"/>
      <c r="AA477" s="93"/>
      <c r="AB477" s="93"/>
      <c r="AC477" s="93"/>
    </row>
    <row r="478" spans="3:29" ht="14.1" customHeight="1">
      <c r="C478" s="94"/>
      <c r="D478" s="95"/>
      <c r="E478" s="258"/>
      <c r="F478" s="96"/>
      <c r="G478" s="96"/>
      <c r="I478" s="97"/>
      <c r="J478" s="98"/>
      <c r="K478" s="99"/>
      <c r="L478" s="99"/>
      <c r="M478" s="99"/>
      <c r="N478" s="99"/>
      <c r="O478" s="99"/>
      <c r="P478" s="99"/>
      <c r="Q478" s="100"/>
      <c r="R478" s="100"/>
      <c r="S478" s="92"/>
      <c r="T478" s="92"/>
      <c r="U478" s="92"/>
      <c r="V478" s="92"/>
      <c r="W478" s="92"/>
      <c r="X478" s="92"/>
      <c r="Y478" s="92"/>
      <c r="Z478" s="92"/>
      <c r="AA478" s="93"/>
      <c r="AB478" s="93"/>
      <c r="AC478" s="93"/>
    </row>
    <row r="479" spans="3:29" ht="14.1" customHeight="1">
      <c r="C479" s="94"/>
      <c r="D479" s="95"/>
      <c r="E479" s="258"/>
      <c r="F479" s="96"/>
      <c r="G479" s="96"/>
      <c r="I479" s="97"/>
      <c r="J479" s="98"/>
      <c r="K479" s="99"/>
      <c r="L479" s="99"/>
      <c r="M479" s="99"/>
      <c r="N479" s="99"/>
      <c r="O479" s="99"/>
      <c r="P479" s="99"/>
      <c r="Q479" s="100"/>
      <c r="R479" s="100"/>
      <c r="S479" s="92"/>
      <c r="T479" s="92"/>
      <c r="U479" s="92"/>
      <c r="V479" s="92"/>
      <c r="W479" s="92"/>
      <c r="X479" s="92"/>
      <c r="Y479" s="92"/>
      <c r="Z479" s="92"/>
      <c r="AA479" s="93"/>
      <c r="AB479" s="93"/>
      <c r="AC479" s="93"/>
    </row>
    <row r="480" spans="3:29" ht="14.1" customHeight="1">
      <c r="C480" s="94"/>
      <c r="D480" s="95"/>
      <c r="E480" s="258"/>
      <c r="F480" s="96"/>
      <c r="G480" s="96"/>
      <c r="I480" s="97"/>
      <c r="J480" s="98"/>
      <c r="K480" s="99"/>
      <c r="L480" s="99"/>
      <c r="M480" s="99"/>
      <c r="N480" s="99"/>
      <c r="O480" s="99"/>
      <c r="P480" s="99"/>
      <c r="Q480" s="100"/>
      <c r="R480" s="100"/>
      <c r="S480" s="92"/>
      <c r="T480" s="92"/>
      <c r="U480" s="92"/>
      <c r="V480" s="92"/>
      <c r="W480" s="92"/>
      <c r="X480" s="92"/>
      <c r="Y480" s="92"/>
      <c r="Z480" s="92"/>
      <c r="AA480" s="93"/>
      <c r="AB480" s="93"/>
      <c r="AC480" s="93"/>
    </row>
    <row r="481" spans="3:29" ht="14.1" customHeight="1">
      <c r="C481" s="94"/>
      <c r="D481" s="95"/>
      <c r="E481" s="258"/>
      <c r="F481" s="96"/>
      <c r="G481" s="96"/>
      <c r="I481" s="97"/>
      <c r="J481" s="98"/>
      <c r="K481" s="99"/>
      <c r="L481" s="99"/>
      <c r="M481" s="99"/>
      <c r="N481" s="99"/>
      <c r="O481" s="99"/>
      <c r="P481" s="99"/>
      <c r="Q481" s="100"/>
      <c r="R481" s="100"/>
      <c r="S481" s="92"/>
      <c r="T481" s="92"/>
      <c r="U481" s="92"/>
      <c r="V481" s="92"/>
      <c r="W481" s="92"/>
      <c r="X481" s="92"/>
      <c r="Y481" s="92"/>
      <c r="Z481" s="92"/>
      <c r="AA481" s="93"/>
      <c r="AB481" s="93"/>
      <c r="AC481" s="93"/>
    </row>
    <row r="482" spans="3:29" ht="14.1" customHeight="1">
      <c r="C482" s="94"/>
      <c r="D482" s="95"/>
      <c r="E482" s="258"/>
      <c r="F482" s="96"/>
      <c r="G482" s="96"/>
      <c r="I482" s="97"/>
      <c r="J482" s="98"/>
      <c r="K482" s="99"/>
      <c r="L482" s="99"/>
      <c r="M482" s="99"/>
      <c r="N482" s="99"/>
      <c r="O482" s="99"/>
      <c r="P482" s="99"/>
      <c r="Q482" s="100"/>
      <c r="R482" s="100"/>
      <c r="S482" s="92"/>
      <c r="T482" s="92"/>
      <c r="U482" s="92"/>
      <c r="V482" s="92"/>
      <c r="W482" s="92"/>
      <c r="X482" s="92"/>
      <c r="Y482" s="92"/>
      <c r="Z482" s="92"/>
      <c r="AA482" s="93"/>
      <c r="AB482" s="93"/>
      <c r="AC482" s="93"/>
    </row>
    <row r="483" spans="3:29" ht="14.1" customHeight="1">
      <c r="C483" s="94"/>
      <c r="D483" s="95"/>
      <c r="E483" s="258"/>
      <c r="F483" s="96"/>
      <c r="G483" s="96"/>
      <c r="I483" s="97"/>
      <c r="J483" s="98"/>
      <c r="K483" s="99"/>
      <c r="L483" s="99"/>
      <c r="M483" s="99"/>
      <c r="N483" s="99"/>
      <c r="O483" s="99"/>
      <c r="P483" s="99"/>
      <c r="Q483" s="100"/>
      <c r="R483" s="100"/>
      <c r="S483" s="92"/>
      <c r="T483" s="92"/>
      <c r="U483" s="92"/>
      <c r="V483" s="92"/>
      <c r="W483" s="92"/>
      <c r="X483" s="92"/>
      <c r="Y483" s="92"/>
      <c r="Z483" s="92"/>
      <c r="AA483" s="93"/>
      <c r="AB483" s="93"/>
      <c r="AC483" s="93"/>
    </row>
    <row r="484" spans="3:29" ht="14.1" customHeight="1">
      <c r="C484" s="94"/>
      <c r="D484" s="95"/>
      <c r="E484" s="258"/>
      <c r="F484" s="96"/>
      <c r="G484" s="96"/>
      <c r="I484" s="97"/>
      <c r="J484" s="98"/>
      <c r="K484" s="99"/>
      <c r="L484" s="99"/>
      <c r="M484" s="99"/>
      <c r="N484" s="99"/>
      <c r="O484" s="99"/>
      <c r="P484" s="99"/>
      <c r="Q484" s="100"/>
      <c r="R484" s="100"/>
      <c r="S484" s="92"/>
      <c r="T484" s="92"/>
      <c r="U484" s="92"/>
      <c r="V484" s="92"/>
      <c r="W484" s="92"/>
      <c r="X484" s="92"/>
      <c r="Y484" s="92"/>
      <c r="Z484" s="92"/>
      <c r="AA484" s="93"/>
      <c r="AB484" s="93"/>
      <c r="AC484" s="93"/>
    </row>
    <row r="485" spans="3:29" ht="14.1" customHeight="1">
      <c r="C485" s="94"/>
      <c r="D485" s="95"/>
      <c r="E485" s="258"/>
      <c r="F485" s="96"/>
      <c r="G485" s="96"/>
      <c r="I485" s="97"/>
      <c r="J485" s="98"/>
      <c r="K485" s="99"/>
      <c r="L485" s="99"/>
      <c r="M485" s="99"/>
      <c r="N485" s="99"/>
      <c r="O485" s="99"/>
      <c r="P485" s="99"/>
      <c r="Q485" s="100"/>
      <c r="R485" s="100"/>
      <c r="S485" s="92"/>
      <c r="T485" s="92"/>
      <c r="U485" s="92"/>
      <c r="V485" s="92"/>
      <c r="W485" s="92"/>
      <c r="X485" s="92"/>
      <c r="Y485" s="92"/>
      <c r="Z485" s="92"/>
      <c r="AA485" s="93"/>
      <c r="AB485" s="93"/>
      <c r="AC485" s="93"/>
    </row>
    <row r="486" spans="3:29" ht="14.1" customHeight="1">
      <c r="C486" s="94"/>
      <c r="D486" s="95"/>
      <c r="E486" s="258"/>
      <c r="F486" s="96"/>
      <c r="G486" s="96"/>
      <c r="I486" s="97"/>
      <c r="J486" s="98"/>
      <c r="K486" s="99"/>
      <c r="L486" s="99"/>
      <c r="M486" s="99"/>
      <c r="N486" s="99"/>
      <c r="O486" s="99"/>
      <c r="P486" s="99"/>
      <c r="Q486" s="100"/>
      <c r="R486" s="100"/>
      <c r="S486" s="92"/>
      <c r="T486" s="92"/>
      <c r="U486" s="92"/>
      <c r="V486" s="92"/>
      <c r="W486" s="92"/>
      <c r="X486" s="92"/>
      <c r="Y486" s="92"/>
      <c r="Z486" s="92"/>
      <c r="AA486" s="93"/>
      <c r="AB486" s="93"/>
      <c r="AC486" s="93"/>
    </row>
    <row r="487" spans="3:29" ht="14.1" customHeight="1">
      <c r="C487" s="94"/>
      <c r="D487" s="95"/>
      <c r="E487" s="258"/>
      <c r="F487" s="96"/>
      <c r="G487" s="96"/>
      <c r="I487" s="97"/>
      <c r="J487" s="98"/>
      <c r="K487" s="99"/>
      <c r="L487" s="99"/>
      <c r="M487" s="99"/>
      <c r="N487" s="99"/>
      <c r="O487" s="99"/>
      <c r="P487" s="99"/>
      <c r="Q487" s="100"/>
      <c r="R487" s="100"/>
      <c r="S487" s="92"/>
      <c r="T487" s="92"/>
      <c r="U487" s="92"/>
      <c r="V487" s="92"/>
      <c r="W487" s="92"/>
      <c r="X487" s="92"/>
      <c r="Y487" s="92"/>
      <c r="Z487" s="92"/>
      <c r="AA487" s="93"/>
      <c r="AB487" s="93"/>
      <c r="AC487" s="93"/>
    </row>
    <row r="488" spans="3:29" ht="14.1" customHeight="1">
      <c r="C488" s="94"/>
      <c r="D488" s="95"/>
      <c r="E488" s="258"/>
      <c r="F488" s="96"/>
      <c r="G488" s="96"/>
      <c r="I488" s="97"/>
      <c r="J488" s="98"/>
      <c r="K488" s="99"/>
      <c r="L488" s="99"/>
      <c r="M488" s="99"/>
      <c r="N488" s="99"/>
      <c r="O488" s="99"/>
      <c r="P488" s="99"/>
      <c r="Q488" s="100"/>
      <c r="R488" s="100"/>
      <c r="S488" s="92"/>
      <c r="T488" s="92"/>
      <c r="U488" s="92"/>
      <c r="V488" s="92"/>
      <c r="W488" s="92"/>
      <c r="X488" s="92"/>
      <c r="Y488" s="92"/>
      <c r="Z488" s="92"/>
      <c r="AA488" s="93"/>
      <c r="AB488" s="93"/>
      <c r="AC488" s="93"/>
    </row>
    <row r="489" spans="3:29" ht="14.1" customHeight="1">
      <c r="C489" s="94"/>
      <c r="D489" s="95"/>
      <c r="E489" s="258"/>
      <c r="F489" s="96"/>
      <c r="G489" s="96"/>
      <c r="I489" s="97"/>
      <c r="J489" s="98"/>
      <c r="K489" s="99"/>
      <c r="L489" s="99"/>
      <c r="M489" s="99"/>
      <c r="N489" s="99"/>
      <c r="O489" s="99"/>
      <c r="P489" s="99"/>
      <c r="Q489" s="100"/>
      <c r="R489" s="100"/>
      <c r="S489" s="92"/>
      <c r="T489" s="92"/>
      <c r="U489" s="92"/>
      <c r="V489" s="92"/>
      <c r="W489" s="92"/>
      <c r="X489" s="92"/>
      <c r="Y489" s="92"/>
      <c r="Z489" s="92"/>
      <c r="AA489" s="93"/>
      <c r="AB489" s="93"/>
      <c r="AC489" s="93"/>
    </row>
    <row r="490" spans="3:29" ht="14.1" customHeight="1">
      <c r="C490" s="94"/>
      <c r="D490" s="95"/>
      <c r="E490" s="258"/>
      <c r="F490" s="96"/>
      <c r="G490" s="96"/>
      <c r="I490" s="97"/>
      <c r="J490" s="98"/>
      <c r="K490" s="99"/>
      <c r="L490" s="99"/>
      <c r="M490" s="99"/>
      <c r="N490" s="99"/>
      <c r="O490" s="99"/>
      <c r="P490" s="99"/>
      <c r="Q490" s="100"/>
      <c r="R490" s="100"/>
      <c r="S490" s="92"/>
      <c r="T490" s="92"/>
      <c r="U490" s="92"/>
      <c r="V490" s="92"/>
      <c r="W490" s="92"/>
      <c r="X490" s="92"/>
      <c r="Y490" s="92"/>
      <c r="Z490" s="92"/>
      <c r="AA490" s="93"/>
      <c r="AB490" s="93"/>
      <c r="AC490" s="93"/>
    </row>
    <row r="491" spans="3:29" ht="14.1" customHeight="1">
      <c r="C491" s="94"/>
      <c r="D491" s="95"/>
      <c r="E491" s="258"/>
      <c r="F491" s="96"/>
      <c r="G491" s="96"/>
      <c r="I491" s="97"/>
      <c r="J491" s="98"/>
      <c r="K491" s="99"/>
      <c r="L491" s="99"/>
      <c r="M491" s="99"/>
      <c r="N491" s="99"/>
      <c r="O491" s="99"/>
      <c r="P491" s="99"/>
      <c r="Q491" s="100"/>
      <c r="R491" s="100"/>
      <c r="S491" s="92"/>
      <c r="T491" s="92"/>
      <c r="U491" s="92"/>
      <c r="V491" s="92"/>
      <c r="W491" s="92"/>
      <c r="X491" s="92"/>
      <c r="Y491" s="92"/>
      <c r="Z491" s="92"/>
      <c r="AA491" s="93"/>
      <c r="AB491" s="93"/>
      <c r="AC491" s="93"/>
    </row>
    <row r="492" spans="3:29" ht="14.1" customHeight="1">
      <c r="C492" s="94"/>
      <c r="D492" s="95"/>
      <c r="E492" s="258"/>
      <c r="F492" s="96"/>
      <c r="G492" s="96"/>
      <c r="I492" s="97"/>
      <c r="J492" s="98"/>
      <c r="K492" s="99"/>
      <c r="L492" s="99"/>
      <c r="M492" s="99"/>
      <c r="N492" s="99"/>
      <c r="O492" s="99"/>
      <c r="P492" s="99"/>
      <c r="Q492" s="100"/>
      <c r="R492" s="100"/>
      <c r="S492" s="92"/>
      <c r="T492" s="92"/>
      <c r="U492" s="92"/>
      <c r="V492" s="92"/>
      <c r="W492" s="92"/>
      <c r="X492" s="92"/>
      <c r="Y492" s="92"/>
      <c r="Z492" s="92"/>
      <c r="AA492" s="93"/>
      <c r="AB492" s="93"/>
      <c r="AC492" s="93"/>
    </row>
    <row r="493" spans="3:29" ht="14.1" customHeight="1">
      <c r="C493" s="94"/>
      <c r="D493" s="95"/>
      <c r="E493" s="258"/>
      <c r="F493" s="96"/>
      <c r="G493" s="96"/>
      <c r="I493" s="97"/>
      <c r="J493" s="98"/>
      <c r="K493" s="99"/>
      <c r="L493" s="99"/>
      <c r="M493" s="99"/>
      <c r="N493" s="99"/>
      <c r="O493" s="99"/>
      <c r="P493" s="99"/>
      <c r="Q493" s="100"/>
      <c r="R493" s="100"/>
      <c r="S493" s="92"/>
      <c r="T493" s="92"/>
      <c r="U493" s="92"/>
      <c r="V493" s="92"/>
      <c r="W493" s="92"/>
      <c r="X493" s="92"/>
      <c r="Y493" s="92"/>
      <c r="Z493" s="92"/>
      <c r="AA493" s="93"/>
      <c r="AB493" s="93"/>
      <c r="AC493" s="93"/>
    </row>
    <row r="494" spans="3:29" ht="14.1" customHeight="1">
      <c r="C494" s="94"/>
      <c r="D494" s="95"/>
      <c r="E494" s="258"/>
      <c r="F494" s="96"/>
      <c r="G494" s="96"/>
      <c r="I494" s="97"/>
      <c r="J494" s="98"/>
      <c r="K494" s="99"/>
      <c r="L494" s="99"/>
      <c r="M494" s="99"/>
      <c r="N494" s="99"/>
      <c r="O494" s="99"/>
      <c r="P494" s="99"/>
      <c r="Q494" s="100"/>
      <c r="R494" s="100"/>
      <c r="S494" s="92"/>
      <c r="T494" s="92"/>
      <c r="U494" s="92"/>
      <c r="V494" s="92"/>
      <c r="W494" s="92"/>
      <c r="X494" s="92"/>
      <c r="Y494" s="92"/>
      <c r="Z494" s="92"/>
      <c r="AA494" s="93"/>
      <c r="AB494" s="93"/>
      <c r="AC494" s="93"/>
    </row>
    <row r="495" spans="3:29" ht="14.1" customHeight="1">
      <c r="C495" s="94"/>
      <c r="D495" s="95"/>
      <c r="E495" s="258"/>
      <c r="F495" s="96"/>
      <c r="G495" s="96"/>
      <c r="I495" s="97"/>
      <c r="J495" s="98"/>
      <c r="K495" s="99"/>
      <c r="L495" s="99"/>
      <c r="M495" s="99"/>
      <c r="N495" s="99"/>
      <c r="O495" s="99"/>
      <c r="P495" s="99"/>
      <c r="Q495" s="100"/>
      <c r="R495" s="100"/>
      <c r="S495" s="92"/>
      <c r="T495" s="92"/>
      <c r="U495" s="92"/>
      <c r="V495" s="92"/>
      <c r="W495" s="92"/>
      <c r="X495" s="92"/>
      <c r="Y495" s="92"/>
      <c r="Z495" s="92"/>
      <c r="AA495" s="93"/>
      <c r="AB495" s="93"/>
      <c r="AC495" s="93"/>
    </row>
    <row r="496" spans="3:29" ht="14.1" customHeight="1">
      <c r="C496" s="94"/>
      <c r="D496" s="95"/>
      <c r="E496" s="258"/>
      <c r="F496" s="96"/>
      <c r="G496" s="96"/>
      <c r="I496" s="97"/>
      <c r="J496" s="98"/>
      <c r="K496" s="99"/>
      <c r="L496" s="99"/>
      <c r="M496" s="99"/>
      <c r="N496" s="99"/>
      <c r="O496" s="99"/>
      <c r="P496" s="99"/>
      <c r="Q496" s="100"/>
      <c r="R496" s="100"/>
      <c r="S496" s="92"/>
      <c r="T496" s="92"/>
      <c r="U496" s="92"/>
      <c r="V496" s="92"/>
      <c r="W496" s="92"/>
      <c r="X496" s="92"/>
      <c r="Y496" s="92"/>
      <c r="Z496" s="92"/>
      <c r="AA496" s="93"/>
      <c r="AB496" s="93"/>
      <c r="AC496" s="93"/>
    </row>
    <row r="497" spans="3:29" ht="14.1" customHeight="1">
      <c r="C497" s="94"/>
      <c r="D497" s="95"/>
      <c r="E497" s="258"/>
      <c r="F497" s="96"/>
      <c r="G497" s="96"/>
      <c r="I497" s="97"/>
      <c r="J497" s="98"/>
      <c r="K497" s="99"/>
      <c r="L497" s="99"/>
      <c r="M497" s="99"/>
      <c r="N497" s="99"/>
      <c r="O497" s="99"/>
      <c r="P497" s="99"/>
      <c r="Q497" s="100"/>
      <c r="R497" s="100"/>
      <c r="S497" s="92"/>
      <c r="T497" s="92"/>
      <c r="U497" s="92"/>
      <c r="V497" s="92"/>
      <c r="W497" s="92"/>
      <c r="X497" s="92"/>
      <c r="Y497" s="92"/>
      <c r="Z497" s="92"/>
      <c r="AA497" s="93"/>
      <c r="AB497" s="93"/>
      <c r="AC497" s="93"/>
    </row>
    <row r="498" spans="3:29" ht="14.1" customHeight="1">
      <c r="C498" s="94"/>
      <c r="D498" s="95"/>
      <c r="E498" s="258"/>
      <c r="F498" s="96"/>
      <c r="G498" s="96"/>
      <c r="I498" s="97"/>
      <c r="J498" s="98"/>
      <c r="K498" s="99"/>
      <c r="L498" s="99"/>
      <c r="M498" s="99"/>
      <c r="N498" s="99"/>
      <c r="O498" s="99"/>
      <c r="P498" s="99"/>
      <c r="Q498" s="100"/>
      <c r="R498" s="100"/>
      <c r="S498" s="92"/>
      <c r="T498" s="92"/>
      <c r="U498" s="92"/>
      <c r="V498" s="92"/>
      <c r="W498" s="92"/>
      <c r="X498" s="92"/>
      <c r="Y498" s="92"/>
      <c r="Z498" s="92"/>
      <c r="AA498" s="93"/>
      <c r="AB498" s="93"/>
      <c r="AC498" s="93"/>
    </row>
    <row r="499" spans="3:29" ht="14.1" customHeight="1">
      <c r="C499" s="94"/>
      <c r="D499" s="95"/>
      <c r="E499" s="258"/>
      <c r="F499" s="96"/>
      <c r="G499" s="96"/>
      <c r="I499" s="97"/>
      <c r="J499" s="98"/>
      <c r="K499" s="99"/>
      <c r="L499" s="99"/>
      <c r="M499" s="99"/>
      <c r="N499" s="99"/>
      <c r="O499" s="99"/>
      <c r="P499" s="99"/>
      <c r="Q499" s="100"/>
      <c r="R499" s="100"/>
      <c r="S499" s="92"/>
      <c r="T499" s="92"/>
      <c r="U499" s="92"/>
      <c r="V499" s="92"/>
      <c r="W499" s="92"/>
      <c r="X499" s="92"/>
      <c r="Y499" s="92"/>
      <c r="Z499" s="92"/>
      <c r="AA499" s="93"/>
      <c r="AB499" s="93"/>
      <c r="AC499" s="93"/>
    </row>
    <row r="500" spans="3:29" ht="14.1" customHeight="1">
      <c r="C500" s="94"/>
      <c r="D500" s="95"/>
      <c r="E500" s="258"/>
      <c r="F500" s="96"/>
      <c r="G500" s="96"/>
      <c r="I500" s="97"/>
      <c r="J500" s="98"/>
      <c r="K500" s="99"/>
      <c r="L500" s="99"/>
      <c r="M500" s="99"/>
      <c r="N500" s="99"/>
      <c r="O500" s="99"/>
      <c r="P500" s="99"/>
      <c r="Q500" s="100"/>
      <c r="R500" s="100"/>
      <c r="S500" s="92"/>
      <c r="T500" s="92"/>
      <c r="U500" s="92"/>
      <c r="V500" s="92"/>
      <c r="W500" s="92"/>
      <c r="X500" s="92"/>
      <c r="Y500" s="92"/>
      <c r="Z500" s="92"/>
      <c r="AA500" s="93"/>
      <c r="AB500" s="93"/>
      <c r="AC500" s="93"/>
    </row>
    <row r="501" spans="3:29" ht="14.1" customHeight="1">
      <c r="C501" s="94"/>
      <c r="D501" s="95"/>
      <c r="E501" s="258"/>
      <c r="F501" s="96"/>
      <c r="G501" s="96"/>
      <c r="I501" s="97"/>
      <c r="J501" s="98"/>
      <c r="K501" s="99"/>
      <c r="L501" s="99"/>
      <c r="M501" s="99"/>
      <c r="N501" s="99"/>
      <c r="O501" s="99"/>
      <c r="P501" s="99"/>
      <c r="Q501" s="100"/>
      <c r="R501" s="100"/>
      <c r="S501" s="92"/>
      <c r="T501" s="92"/>
      <c r="U501" s="92"/>
      <c r="V501" s="92"/>
      <c r="W501" s="92"/>
      <c r="X501" s="92"/>
      <c r="Y501" s="92"/>
      <c r="Z501" s="92"/>
      <c r="AA501" s="93"/>
      <c r="AB501" s="93"/>
      <c r="AC501" s="93"/>
    </row>
    <row r="502" spans="3:29" ht="14.1" customHeight="1">
      <c r="C502" s="94"/>
      <c r="D502" s="95"/>
      <c r="E502" s="258"/>
      <c r="F502" s="96"/>
      <c r="G502" s="96"/>
      <c r="I502" s="97"/>
      <c r="J502" s="98"/>
      <c r="K502" s="99"/>
      <c r="L502" s="99"/>
      <c r="M502" s="99"/>
      <c r="N502" s="99"/>
      <c r="O502" s="99"/>
      <c r="P502" s="99"/>
      <c r="Q502" s="100"/>
      <c r="R502" s="100"/>
      <c r="S502" s="92"/>
      <c r="T502" s="92"/>
      <c r="U502" s="92"/>
      <c r="V502" s="92"/>
      <c r="W502" s="92"/>
      <c r="X502" s="92"/>
      <c r="Y502" s="92"/>
      <c r="Z502" s="92"/>
      <c r="AA502" s="93"/>
      <c r="AB502" s="93"/>
      <c r="AC502" s="93"/>
    </row>
    <row r="503" spans="3:29" ht="14.1" customHeight="1">
      <c r="C503" s="94"/>
      <c r="D503" s="95"/>
      <c r="E503" s="258"/>
      <c r="F503" s="96"/>
      <c r="G503" s="96"/>
      <c r="I503" s="97"/>
      <c r="J503" s="98"/>
      <c r="K503" s="99"/>
      <c r="L503" s="99"/>
      <c r="M503" s="99"/>
      <c r="N503" s="99"/>
      <c r="O503" s="99"/>
      <c r="P503" s="99"/>
      <c r="Q503" s="100"/>
      <c r="R503" s="100"/>
      <c r="S503" s="92"/>
      <c r="T503" s="92"/>
      <c r="U503" s="92"/>
      <c r="V503" s="92"/>
      <c r="W503" s="92"/>
      <c r="X503" s="92"/>
      <c r="Y503" s="92"/>
      <c r="Z503" s="92"/>
      <c r="AA503" s="93"/>
      <c r="AB503" s="93"/>
      <c r="AC503" s="93"/>
    </row>
    <row r="504" spans="3:29" ht="14.1" customHeight="1">
      <c r="C504" s="94"/>
      <c r="D504" s="95"/>
      <c r="E504" s="258"/>
      <c r="F504" s="96"/>
      <c r="G504" s="96"/>
      <c r="I504" s="97"/>
      <c r="J504" s="98"/>
      <c r="K504" s="99"/>
      <c r="L504" s="99"/>
      <c r="M504" s="99"/>
      <c r="N504" s="99"/>
      <c r="O504" s="99"/>
      <c r="P504" s="99"/>
      <c r="Q504" s="100"/>
      <c r="R504" s="100"/>
      <c r="S504" s="92"/>
      <c r="T504" s="92"/>
      <c r="U504" s="92"/>
      <c r="V504" s="92"/>
      <c r="W504" s="92"/>
      <c r="X504" s="92"/>
      <c r="Y504" s="92"/>
      <c r="Z504" s="92"/>
      <c r="AA504" s="93"/>
      <c r="AB504" s="93"/>
      <c r="AC504" s="93"/>
    </row>
    <row r="505" spans="3:29" ht="14.1" customHeight="1">
      <c r="C505" s="94"/>
      <c r="D505" s="95"/>
      <c r="E505" s="258"/>
      <c r="F505" s="96"/>
      <c r="G505" s="96"/>
      <c r="I505" s="97"/>
      <c r="J505" s="98"/>
      <c r="K505" s="99"/>
      <c r="L505" s="99"/>
      <c r="M505" s="99"/>
      <c r="N505" s="99"/>
      <c r="O505" s="99"/>
      <c r="P505" s="99"/>
      <c r="Q505" s="100"/>
      <c r="R505" s="100"/>
      <c r="S505" s="92"/>
      <c r="T505" s="92"/>
      <c r="U505" s="92"/>
      <c r="V505" s="92"/>
      <c r="W505" s="92"/>
      <c r="X505" s="92"/>
      <c r="Y505" s="92"/>
      <c r="Z505" s="92"/>
      <c r="AA505" s="93"/>
      <c r="AB505" s="93"/>
      <c r="AC505" s="93"/>
    </row>
    <row r="506" spans="3:29" ht="14.1" customHeight="1">
      <c r="C506" s="94"/>
      <c r="D506" s="95"/>
      <c r="E506" s="258"/>
      <c r="F506" s="96"/>
      <c r="G506" s="96"/>
      <c r="I506" s="97"/>
      <c r="J506" s="98"/>
      <c r="K506" s="99"/>
      <c r="L506" s="99"/>
      <c r="M506" s="99"/>
      <c r="N506" s="99"/>
      <c r="O506" s="99"/>
      <c r="P506" s="99"/>
      <c r="Q506" s="100"/>
      <c r="R506" s="100"/>
      <c r="S506" s="92"/>
      <c r="T506" s="92"/>
      <c r="U506" s="92"/>
      <c r="V506" s="92"/>
      <c r="W506" s="92"/>
      <c r="X506" s="92"/>
      <c r="Y506" s="92"/>
      <c r="Z506" s="92"/>
      <c r="AA506" s="93"/>
      <c r="AB506" s="93"/>
      <c r="AC506" s="93"/>
    </row>
    <row r="507" spans="3:29" ht="14.1" customHeight="1">
      <c r="C507" s="94"/>
      <c r="D507" s="95"/>
      <c r="E507" s="258"/>
      <c r="F507" s="96"/>
      <c r="G507" s="96"/>
      <c r="I507" s="97"/>
      <c r="J507" s="98"/>
      <c r="K507" s="99"/>
      <c r="L507" s="99"/>
      <c r="M507" s="99"/>
      <c r="N507" s="99"/>
      <c r="O507" s="99"/>
      <c r="P507" s="99"/>
      <c r="Q507" s="100"/>
      <c r="R507" s="100"/>
      <c r="S507" s="92"/>
      <c r="T507" s="92"/>
      <c r="U507" s="92"/>
      <c r="V507" s="92"/>
      <c r="W507" s="92"/>
      <c r="X507" s="92"/>
      <c r="Y507" s="92"/>
      <c r="Z507" s="92"/>
      <c r="AA507" s="93"/>
      <c r="AB507" s="93"/>
      <c r="AC507" s="93"/>
    </row>
    <row r="508" spans="3:29" ht="14.1" customHeight="1">
      <c r="C508" s="94"/>
      <c r="D508" s="95"/>
      <c r="E508" s="258"/>
      <c r="F508" s="96"/>
      <c r="G508" s="96"/>
      <c r="I508" s="97"/>
      <c r="J508" s="98"/>
      <c r="K508" s="99"/>
      <c r="L508" s="99"/>
      <c r="M508" s="99"/>
      <c r="N508" s="99"/>
      <c r="O508" s="99"/>
      <c r="P508" s="99"/>
      <c r="Q508" s="100"/>
      <c r="R508" s="100"/>
      <c r="S508" s="92"/>
      <c r="T508" s="92"/>
      <c r="U508" s="92"/>
      <c r="V508" s="92"/>
      <c r="W508" s="92"/>
      <c r="X508" s="92"/>
      <c r="Y508" s="92"/>
      <c r="Z508" s="92"/>
      <c r="AA508" s="93"/>
      <c r="AB508" s="93"/>
      <c r="AC508" s="93"/>
    </row>
    <row r="509" spans="3:29" ht="14.1" customHeight="1">
      <c r="C509" s="94"/>
      <c r="D509" s="95"/>
      <c r="E509" s="258"/>
      <c r="F509" s="96"/>
      <c r="G509" s="96"/>
      <c r="I509" s="97"/>
      <c r="J509" s="98"/>
      <c r="K509" s="99"/>
      <c r="L509" s="99"/>
      <c r="M509" s="99"/>
      <c r="N509" s="99"/>
      <c r="O509" s="99"/>
      <c r="P509" s="99"/>
      <c r="Q509" s="100"/>
      <c r="R509" s="100"/>
      <c r="S509" s="92"/>
      <c r="T509" s="92"/>
      <c r="U509" s="92"/>
      <c r="V509" s="92"/>
      <c r="W509" s="92"/>
      <c r="X509" s="92"/>
      <c r="Y509" s="92"/>
      <c r="Z509" s="92"/>
      <c r="AA509" s="93"/>
      <c r="AB509" s="93"/>
      <c r="AC509" s="93"/>
    </row>
    <row r="510" spans="3:29" ht="14.1" customHeight="1">
      <c r="C510" s="94"/>
      <c r="D510" s="95"/>
      <c r="E510" s="258"/>
      <c r="F510" s="96"/>
      <c r="G510" s="96"/>
      <c r="I510" s="97"/>
      <c r="J510" s="98"/>
      <c r="K510" s="99"/>
      <c r="L510" s="99"/>
      <c r="M510" s="99"/>
      <c r="N510" s="99"/>
      <c r="O510" s="99"/>
      <c r="P510" s="99"/>
      <c r="Q510" s="100"/>
      <c r="R510" s="100"/>
      <c r="S510" s="92"/>
      <c r="T510" s="92"/>
      <c r="U510" s="92"/>
      <c r="V510" s="92"/>
      <c r="W510" s="92"/>
      <c r="X510" s="92"/>
      <c r="Y510" s="92"/>
      <c r="Z510" s="92"/>
      <c r="AA510" s="93"/>
      <c r="AB510" s="93"/>
      <c r="AC510" s="93"/>
    </row>
    <row r="511" spans="3:29" ht="14.1" customHeight="1">
      <c r="C511" s="94"/>
      <c r="D511" s="95"/>
      <c r="E511" s="258"/>
      <c r="F511" s="96"/>
      <c r="G511" s="96"/>
      <c r="I511" s="97"/>
      <c r="J511" s="98"/>
      <c r="K511" s="99"/>
      <c r="L511" s="99"/>
      <c r="M511" s="99"/>
      <c r="N511" s="99"/>
      <c r="O511" s="99"/>
      <c r="P511" s="99"/>
      <c r="Q511" s="100"/>
      <c r="R511" s="100"/>
      <c r="S511" s="92"/>
      <c r="T511" s="92"/>
      <c r="U511" s="92"/>
      <c r="V511" s="92"/>
      <c r="W511" s="92"/>
      <c r="X511" s="92"/>
      <c r="Y511" s="92"/>
      <c r="Z511" s="92"/>
      <c r="AA511" s="93"/>
      <c r="AB511" s="93"/>
      <c r="AC511" s="93"/>
    </row>
    <row r="512" spans="3:29" ht="14.1" customHeight="1">
      <c r="C512" s="94"/>
      <c r="D512" s="95"/>
      <c r="E512" s="258"/>
      <c r="F512" s="96"/>
      <c r="G512" s="96"/>
      <c r="I512" s="97"/>
      <c r="J512" s="98"/>
      <c r="K512" s="99"/>
      <c r="L512" s="99"/>
      <c r="M512" s="99"/>
      <c r="N512" s="99"/>
      <c r="O512" s="99"/>
      <c r="P512" s="99"/>
      <c r="Q512" s="100"/>
      <c r="R512" s="100"/>
      <c r="S512" s="92"/>
      <c r="T512" s="92"/>
      <c r="U512" s="92"/>
      <c r="V512" s="92"/>
      <c r="W512" s="92"/>
      <c r="X512" s="92"/>
      <c r="Y512" s="92"/>
      <c r="Z512" s="92"/>
      <c r="AA512" s="93"/>
      <c r="AB512" s="93"/>
      <c r="AC512" s="93"/>
    </row>
    <row r="513" spans="3:29" ht="14.1" customHeight="1">
      <c r="C513" s="94"/>
      <c r="D513" s="95"/>
      <c r="E513" s="258"/>
      <c r="F513" s="96"/>
      <c r="G513" s="96"/>
      <c r="I513" s="97"/>
      <c r="J513" s="98"/>
      <c r="K513" s="99"/>
      <c r="L513" s="99"/>
      <c r="M513" s="99"/>
      <c r="N513" s="99"/>
      <c r="O513" s="99"/>
      <c r="P513" s="99"/>
      <c r="Q513" s="100"/>
      <c r="R513" s="100"/>
      <c r="S513" s="92"/>
      <c r="T513" s="92"/>
      <c r="U513" s="92"/>
      <c r="V513" s="92"/>
      <c r="W513" s="92"/>
      <c r="X513" s="92"/>
      <c r="Y513" s="92"/>
      <c r="Z513" s="92"/>
      <c r="AA513" s="93"/>
      <c r="AB513" s="93"/>
      <c r="AC513" s="93"/>
    </row>
    <row r="514" spans="3:29" ht="14.1" customHeight="1">
      <c r="C514" s="94"/>
      <c r="D514" s="95"/>
      <c r="E514" s="258"/>
      <c r="F514" s="96"/>
      <c r="G514" s="96"/>
      <c r="I514" s="97"/>
      <c r="J514" s="98"/>
      <c r="K514" s="99"/>
      <c r="L514" s="99"/>
      <c r="M514" s="99"/>
      <c r="N514" s="99"/>
      <c r="O514" s="99"/>
      <c r="P514" s="99"/>
      <c r="Q514" s="100"/>
      <c r="R514" s="100"/>
      <c r="S514" s="92"/>
      <c r="T514" s="92"/>
      <c r="U514" s="92"/>
      <c r="V514" s="92"/>
      <c r="W514" s="92"/>
      <c r="X514" s="92"/>
      <c r="Y514" s="92"/>
      <c r="Z514" s="92"/>
      <c r="AA514" s="93"/>
      <c r="AB514" s="93"/>
      <c r="AC514" s="93"/>
    </row>
    <row r="515" spans="3:29" ht="14.1" customHeight="1">
      <c r="C515" s="94"/>
      <c r="D515" s="95"/>
      <c r="E515" s="258"/>
      <c r="F515" s="96"/>
      <c r="G515" s="96"/>
      <c r="I515" s="97"/>
      <c r="J515" s="98"/>
      <c r="K515" s="99"/>
      <c r="L515" s="99"/>
      <c r="M515" s="99"/>
      <c r="N515" s="99"/>
      <c r="O515" s="99"/>
      <c r="P515" s="99"/>
      <c r="Q515" s="100"/>
      <c r="R515" s="100"/>
      <c r="S515" s="92"/>
      <c r="T515" s="92"/>
      <c r="U515" s="92"/>
      <c r="V515" s="92"/>
      <c r="W515" s="92"/>
      <c r="X515" s="92"/>
      <c r="Y515" s="92"/>
      <c r="Z515" s="92"/>
      <c r="AA515" s="93"/>
      <c r="AB515" s="93"/>
      <c r="AC515" s="93"/>
    </row>
    <row r="516" spans="3:29" ht="14.1" customHeight="1">
      <c r="C516" s="94"/>
      <c r="D516" s="95"/>
      <c r="E516" s="258"/>
      <c r="F516" s="96"/>
      <c r="G516" s="96"/>
      <c r="I516" s="97"/>
      <c r="J516" s="98"/>
      <c r="K516" s="99"/>
      <c r="L516" s="99"/>
      <c r="M516" s="99"/>
      <c r="N516" s="99"/>
      <c r="O516" s="99"/>
      <c r="P516" s="99"/>
      <c r="Q516" s="100"/>
      <c r="R516" s="100"/>
      <c r="S516" s="92"/>
      <c r="T516" s="92"/>
      <c r="U516" s="92"/>
      <c r="V516" s="92"/>
      <c r="W516" s="92"/>
      <c r="X516" s="92"/>
      <c r="Y516" s="92"/>
      <c r="Z516" s="92"/>
      <c r="AA516" s="93"/>
      <c r="AB516" s="93"/>
      <c r="AC516" s="93"/>
    </row>
    <row r="517" spans="3:29" ht="14.1" customHeight="1">
      <c r="C517" s="94"/>
      <c r="D517" s="95"/>
      <c r="E517" s="258"/>
      <c r="F517" s="96"/>
      <c r="G517" s="96"/>
      <c r="I517" s="97"/>
      <c r="J517" s="98"/>
      <c r="K517" s="99"/>
      <c r="L517" s="99"/>
      <c r="M517" s="99"/>
      <c r="N517" s="99"/>
      <c r="O517" s="99"/>
      <c r="P517" s="99"/>
      <c r="Q517" s="100"/>
      <c r="R517" s="100"/>
      <c r="S517" s="92"/>
      <c r="T517" s="92"/>
      <c r="U517" s="92"/>
      <c r="V517" s="92"/>
      <c r="W517" s="92"/>
      <c r="X517" s="92"/>
      <c r="Y517" s="92"/>
      <c r="Z517" s="92"/>
      <c r="AA517" s="93"/>
      <c r="AB517" s="93"/>
      <c r="AC517" s="93"/>
    </row>
    <row r="518" spans="3:29" ht="14.1" customHeight="1">
      <c r="C518" s="94"/>
      <c r="D518" s="95"/>
      <c r="E518" s="258"/>
      <c r="F518" s="96"/>
      <c r="G518" s="96"/>
      <c r="I518" s="97"/>
      <c r="J518" s="98"/>
      <c r="K518" s="99"/>
      <c r="L518" s="99"/>
      <c r="M518" s="99"/>
      <c r="N518" s="99"/>
      <c r="O518" s="99"/>
      <c r="P518" s="99"/>
      <c r="Q518" s="100"/>
      <c r="R518" s="100"/>
      <c r="S518" s="92"/>
      <c r="T518" s="92"/>
      <c r="U518" s="92"/>
      <c r="V518" s="92"/>
      <c r="W518" s="92"/>
      <c r="X518" s="92"/>
      <c r="Y518" s="92"/>
      <c r="Z518" s="92"/>
      <c r="AA518" s="93"/>
      <c r="AB518" s="93"/>
      <c r="AC518" s="93"/>
    </row>
    <row r="519" spans="3:29" ht="14.1" customHeight="1">
      <c r="C519" s="94"/>
      <c r="D519" s="95"/>
      <c r="E519" s="258"/>
      <c r="F519" s="96"/>
      <c r="G519" s="96"/>
      <c r="I519" s="97"/>
      <c r="J519" s="98"/>
      <c r="K519" s="99"/>
      <c r="L519" s="99"/>
      <c r="M519" s="99"/>
      <c r="N519" s="99"/>
      <c r="O519" s="99"/>
      <c r="P519" s="99"/>
      <c r="Q519" s="100"/>
      <c r="R519" s="100"/>
      <c r="S519" s="92"/>
      <c r="T519" s="92"/>
      <c r="U519" s="92"/>
      <c r="V519" s="92"/>
      <c r="W519" s="92"/>
      <c r="X519" s="92"/>
      <c r="Y519" s="92"/>
      <c r="Z519" s="92"/>
      <c r="AA519" s="93"/>
      <c r="AB519" s="93"/>
      <c r="AC519" s="93"/>
    </row>
    <row r="520" spans="3:29" ht="14.1" customHeight="1">
      <c r="C520" s="94"/>
      <c r="D520" s="95"/>
      <c r="E520" s="258"/>
      <c r="F520" s="96"/>
      <c r="G520" s="96"/>
      <c r="I520" s="97"/>
      <c r="J520" s="98"/>
      <c r="K520" s="99"/>
      <c r="L520" s="99"/>
      <c r="M520" s="99"/>
      <c r="N520" s="99"/>
      <c r="O520" s="99"/>
      <c r="P520" s="99"/>
      <c r="Q520" s="100"/>
      <c r="R520" s="100"/>
      <c r="S520" s="92"/>
      <c r="T520" s="92"/>
      <c r="U520" s="92"/>
      <c r="V520" s="92"/>
      <c r="W520" s="92"/>
      <c r="X520" s="92"/>
      <c r="Y520" s="92"/>
      <c r="Z520" s="92"/>
      <c r="AA520" s="93"/>
      <c r="AB520" s="93"/>
      <c r="AC520" s="93"/>
    </row>
    <row r="521" spans="3:29" ht="14.1" customHeight="1">
      <c r="C521" s="94"/>
      <c r="D521" s="95"/>
      <c r="E521" s="258"/>
      <c r="F521" s="96"/>
      <c r="G521" s="96"/>
      <c r="I521" s="97"/>
      <c r="J521" s="98"/>
      <c r="K521" s="99"/>
      <c r="L521" s="99"/>
      <c r="M521" s="99"/>
      <c r="N521" s="99"/>
      <c r="O521" s="99"/>
      <c r="P521" s="99"/>
      <c r="Q521" s="100"/>
      <c r="R521" s="100"/>
      <c r="S521" s="92"/>
      <c r="T521" s="92"/>
      <c r="U521" s="92"/>
      <c r="V521" s="92"/>
      <c r="W521" s="92"/>
      <c r="X521" s="92"/>
      <c r="Y521" s="92"/>
      <c r="Z521" s="92"/>
      <c r="AA521" s="93"/>
      <c r="AB521" s="93"/>
      <c r="AC521" s="93"/>
    </row>
    <row r="522" spans="3:29" ht="14.1" customHeight="1">
      <c r="C522" s="94"/>
      <c r="D522" s="95"/>
      <c r="E522" s="258"/>
      <c r="F522" s="96"/>
      <c r="G522" s="96"/>
      <c r="I522" s="97"/>
      <c r="J522" s="98"/>
      <c r="K522" s="99"/>
      <c r="L522" s="99"/>
      <c r="M522" s="99"/>
      <c r="N522" s="99"/>
      <c r="O522" s="99"/>
      <c r="P522" s="99"/>
      <c r="Q522" s="100"/>
      <c r="R522" s="100"/>
      <c r="S522" s="92"/>
      <c r="T522" s="92"/>
      <c r="U522" s="92"/>
      <c r="V522" s="92"/>
      <c r="W522" s="92"/>
      <c r="X522" s="92"/>
      <c r="Y522" s="92"/>
      <c r="Z522" s="92"/>
      <c r="AA522" s="93"/>
      <c r="AB522" s="93"/>
      <c r="AC522" s="93"/>
    </row>
    <row r="523" spans="3:29" ht="14.1" customHeight="1">
      <c r="C523" s="94"/>
      <c r="D523" s="95"/>
      <c r="E523" s="258"/>
      <c r="F523" s="96"/>
      <c r="G523" s="96"/>
      <c r="I523" s="97"/>
      <c r="J523" s="98"/>
      <c r="K523" s="99"/>
      <c r="L523" s="99"/>
      <c r="M523" s="99"/>
      <c r="N523" s="99"/>
      <c r="O523" s="99"/>
      <c r="P523" s="99"/>
      <c r="Q523" s="100"/>
      <c r="R523" s="100"/>
      <c r="S523" s="92"/>
      <c r="T523" s="92"/>
      <c r="U523" s="92"/>
      <c r="V523" s="92"/>
      <c r="W523" s="92"/>
      <c r="X523" s="92"/>
      <c r="Y523" s="92"/>
      <c r="Z523" s="92"/>
      <c r="AA523" s="93"/>
      <c r="AB523" s="93"/>
      <c r="AC523" s="93"/>
    </row>
    <row r="524" spans="3:29" ht="14.1" customHeight="1">
      <c r="C524" s="94"/>
      <c r="D524" s="95"/>
      <c r="E524" s="258"/>
      <c r="F524" s="96"/>
      <c r="G524" s="96"/>
      <c r="I524" s="97"/>
      <c r="J524" s="98"/>
      <c r="K524" s="99"/>
      <c r="L524" s="99"/>
      <c r="M524" s="99"/>
      <c r="N524" s="99"/>
      <c r="O524" s="99"/>
      <c r="P524" s="99"/>
      <c r="Q524" s="100"/>
      <c r="R524" s="100"/>
      <c r="S524" s="92"/>
      <c r="T524" s="92"/>
      <c r="U524" s="92"/>
      <c r="V524" s="92"/>
      <c r="W524" s="92"/>
      <c r="X524" s="92"/>
      <c r="Y524" s="92"/>
      <c r="Z524" s="92"/>
      <c r="AA524" s="93"/>
      <c r="AB524" s="93"/>
      <c r="AC524" s="93"/>
    </row>
    <row r="525" spans="3:29" ht="14.1" customHeight="1">
      <c r="C525" s="94"/>
      <c r="D525" s="95"/>
      <c r="E525" s="258"/>
      <c r="F525" s="96"/>
      <c r="G525" s="96"/>
      <c r="I525" s="97"/>
      <c r="J525" s="98"/>
      <c r="K525" s="99"/>
      <c r="L525" s="99"/>
      <c r="M525" s="99"/>
      <c r="N525" s="99"/>
      <c r="O525" s="99"/>
      <c r="P525" s="99"/>
      <c r="Q525" s="100"/>
      <c r="R525" s="100"/>
      <c r="S525" s="92"/>
      <c r="T525" s="92"/>
      <c r="U525" s="92"/>
      <c r="V525" s="92"/>
      <c r="W525" s="92"/>
      <c r="X525" s="92"/>
      <c r="Y525" s="92"/>
      <c r="Z525" s="92"/>
      <c r="AA525" s="93"/>
      <c r="AB525" s="93"/>
      <c r="AC525" s="93"/>
    </row>
    <row r="526" spans="3:29" ht="14.1" customHeight="1">
      <c r="C526" s="94"/>
      <c r="D526" s="95"/>
      <c r="E526" s="258"/>
      <c r="F526" s="96"/>
      <c r="G526" s="96"/>
      <c r="I526" s="97"/>
      <c r="J526" s="98"/>
      <c r="K526" s="99"/>
      <c r="L526" s="99"/>
      <c r="M526" s="99"/>
      <c r="N526" s="99"/>
      <c r="O526" s="99"/>
      <c r="P526" s="99"/>
      <c r="Q526" s="100"/>
      <c r="R526" s="100"/>
      <c r="S526" s="92"/>
      <c r="T526" s="92"/>
      <c r="U526" s="92"/>
      <c r="V526" s="92"/>
      <c r="W526" s="92"/>
      <c r="X526" s="92"/>
      <c r="Y526" s="92"/>
      <c r="Z526" s="92"/>
      <c r="AA526" s="93"/>
      <c r="AB526" s="93"/>
      <c r="AC526" s="93"/>
    </row>
    <row r="527" spans="3:29" ht="14.1" customHeight="1">
      <c r="C527" s="94"/>
      <c r="D527" s="95"/>
      <c r="E527" s="258"/>
      <c r="F527" s="96"/>
      <c r="G527" s="96"/>
      <c r="I527" s="97"/>
      <c r="J527" s="98"/>
      <c r="K527" s="99"/>
      <c r="L527" s="99"/>
      <c r="M527" s="99"/>
      <c r="N527" s="99"/>
      <c r="O527" s="99"/>
      <c r="P527" s="99"/>
      <c r="Q527" s="100"/>
      <c r="R527" s="100"/>
      <c r="S527" s="92"/>
      <c r="T527" s="92"/>
      <c r="U527" s="92"/>
      <c r="V527" s="92"/>
      <c r="W527" s="92"/>
      <c r="X527" s="92"/>
      <c r="Y527" s="92"/>
      <c r="Z527" s="92"/>
      <c r="AA527" s="93"/>
      <c r="AB527" s="93"/>
      <c r="AC527" s="93"/>
    </row>
    <row r="528" spans="3:29" ht="14.1" customHeight="1">
      <c r="C528" s="94"/>
      <c r="D528" s="95"/>
      <c r="E528" s="258"/>
      <c r="F528" s="96"/>
      <c r="G528" s="96"/>
      <c r="I528" s="97"/>
      <c r="J528" s="98"/>
      <c r="K528" s="99"/>
      <c r="L528" s="99"/>
      <c r="M528" s="99"/>
      <c r="N528" s="99"/>
      <c r="O528" s="99"/>
      <c r="P528" s="99"/>
      <c r="Q528" s="100"/>
      <c r="R528" s="100"/>
      <c r="S528" s="92"/>
      <c r="T528" s="92"/>
      <c r="U528" s="92"/>
      <c r="V528" s="92"/>
      <c r="W528" s="92"/>
      <c r="X528" s="92"/>
      <c r="Y528" s="92"/>
      <c r="Z528" s="92"/>
      <c r="AA528" s="93"/>
      <c r="AB528" s="93"/>
      <c r="AC528" s="93"/>
    </row>
    <row r="529" spans="3:29" ht="14.1" customHeight="1">
      <c r="C529" s="94"/>
      <c r="D529" s="95"/>
      <c r="E529" s="258"/>
      <c r="F529" s="96"/>
      <c r="G529" s="96"/>
      <c r="I529" s="97"/>
      <c r="J529" s="98"/>
      <c r="K529" s="99"/>
      <c r="L529" s="99"/>
      <c r="M529" s="99"/>
      <c r="N529" s="99"/>
      <c r="O529" s="99"/>
      <c r="P529" s="99"/>
      <c r="Q529" s="100"/>
      <c r="R529" s="100"/>
      <c r="S529" s="92"/>
      <c r="T529" s="92"/>
      <c r="U529" s="92"/>
      <c r="V529" s="92"/>
      <c r="W529" s="92"/>
      <c r="X529" s="92"/>
      <c r="Y529" s="92"/>
      <c r="Z529" s="92"/>
      <c r="AA529" s="93"/>
      <c r="AB529" s="93"/>
      <c r="AC529" s="93"/>
    </row>
    <row r="530" spans="3:29" ht="14.1" customHeight="1">
      <c r="C530" s="94"/>
      <c r="D530" s="95"/>
      <c r="E530" s="258"/>
      <c r="F530" s="96"/>
      <c r="G530" s="96"/>
      <c r="I530" s="97"/>
      <c r="J530" s="98"/>
      <c r="K530" s="99"/>
      <c r="L530" s="99"/>
      <c r="M530" s="99"/>
      <c r="N530" s="99"/>
      <c r="O530" s="99"/>
      <c r="P530" s="99"/>
      <c r="Q530" s="100"/>
      <c r="R530" s="100"/>
      <c r="S530" s="92"/>
      <c r="T530" s="92"/>
      <c r="U530" s="92"/>
      <c r="V530" s="92"/>
      <c r="W530" s="92"/>
      <c r="X530" s="92"/>
      <c r="Y530" s="92"/>
      <c r="Z530" s="92"/>
      <c r="AA530" s="93"/>
      <c r="AB530" s="93"/>
      <c r="AC530" s="93"/>
    </row>
    <row r="531" spans="3:29" ht="14.1" customHeight="1">
      <c r="C531" s="94"/>
      <c r="D531" s="95"/>
      <c r="E531" s="258"/>
      <c r="F531" s="96"/>
      <c r="G531" s="96"/>
      <c r="I531" s="97"/>
      <c r="J531" s="98"/>
      <c r="K531" s="99"/>
      <c r="L531" s="99"/>
      <c r="M531" s="99"/>
      <c r="N531" s="99"/>
      <c r="O531" s="99"/>
      <c r="P531" s="99"/>
      <c r="Q531" s="100"/>
      <c r="R531" s="100"/>
      <c r="S531" s="92"/>
      <c r="T531" s="92"/>
      <c r="U531" s="92"/>
      <c r="V531" s="92"/>
      <c r="W531" s="92"/>
      <c r="X531" s="92"/>
      <c r="Y531" s="92"/>
      <c r="Z531" s="92"/>
      <c r="AA531" s="93"/>
      <c r="AB531" s="93"/>
      <c r="AC531" s="93"/>
    </row>
    <row r="532" spans="3:29" ht="14.1" customHeight="1">
      <c r="C532" s="94"/>
      <c r="D532" s="95"/>
      <c r="E532" s="258"/>
      <c r="F532" s="96"/>
      <c r="G532" s="96"/>
      <c r="I532" s="97"/>
      <c r="J532" s="98"/>
      <c r="K532" s="99"/>
      <c r="L532" s="99"/>
      <c r="M532" s="99"/>
      <c r="N532" s="99"/>
      <c r="O532" s="99"/>
      <c r="P532" s="99"/>
      <c r="Q532" s="100"/>
      <c r="R532" s="100"/>
      <c r="S532" s="92"/>
      <c r="T532" s="92"/>
      <c r="U532" s="92"/>
      <c r="V532" s="92"/>
      <c r="W532" s="92"/>
      <c r="X532" s="92"/>
      <c r="Y532" s="92"/>
      <c r="Z532" s="92"/>
      <c r="AA532" s="93"/>
      <c r="AB532" s="93"/>
      <c r="AC532" s="93"/>
    </row>
    <row r="533" spans="3:29" ht="14.1" customHeight="1">
      <c r="C533" s="94"/>
      <c r="D533" s="95"/>
      <c r="E533" s="258"/>
      <c r="F533" s="96"/>
      <c r="G533" s="96"/>
      <c r="I533" s="97"/>
      <c r="J533" s="98"/>
      <c r="K533" s="99"/>
      <c r="L533" s="99"/>
      <c r="M533" s="99"/>
      <c r="N533" s="99"/>
      <c r="O533" s="99"/>
      <c r="P533" s="99"/>
      <c r="Q533" s="100"/>
      <c r="R533" s="100"/>
      <c r="S533" s="92"/>
      <c r="T533" s="92"/>
      <c r="U533" s="92"/>
      <c r="V533" s="92"/>
      <c r="W533" s="92"/>
      <c r="X533" s="92"/>
      <c r="Y533" s="92"/>
      <c r="Z533" s="92"/>
      <c r="AA533" s="93"/>
      <c r="AB533" s="93"/>
      <c r="AC533" s="93"/>
    </row>
    <row r="534" spans="3:29" ht="14.1" customHeight="1">
      <c r="C534" s="94"/>
      <c r="D534" s="95"/>
      <c r="E534" s="258"/>
      <c r="F534" s="96"/>
      <c r="G534" s="96"/>
      <c r="I534" s="97"/>
      <c r="J534" s="98"/>
      <c r="K534" s="99"/>
      <c r="L534" s="99"/>
      <c r="M534" s="99"/>
      <c r="N534" s="99"/>
      <c r="O534" s="99"/>
      <c r="P534" s="99"/>
      <c r="Q534" s="100"/>
      <c r="R534" s="100"/>
      <c r="S534" s="92"/>
      <c r="T534" s="92"/>
      <c r="U534" s="92"/>
      <c r="V534" s="92"/>
      <c r="W534" s="92"/>
      <c r="X534" s="92"/>
      <c r="Y534" s="92"/>
      <c r="Z534" s="92"/>
      <c r="AA534" s="93"/>
      <c r="AB534" s="93"/>
      <c r="AC534" s="93"/>
    </row>
    <row r="535" spans="3:29" ht="14.1" customHeight="1">
      <c r="C535" s="94"/>
      <c r="D535" s="95"/>
      <c r="E535" s="258"/>
      <c r="F535" s="96"/>
      <c r="G535" s="96"/>
      <c r="I535" s="97"/>
      <c r="J535" s="98"/>
      <c r="K535" s="99"/>
      <c r="L535" s="99"/>
      <c r="M535" s="99"/>
      <c r="N535" s="99"/>
      <c r="O535" s="99"/>
      <c r="P535" s="99"/>
      <c r="Q535" s="100"/>
      <c r="R535" s="100"/>
      <c r="S535" s="92"/>
      <c r="T535" s="92"/>
      <c r="U535" s="92"/>
      <c r="V535" s="92"/>
      <c r="W535" s="92"/>
      <c r="X535" s="92"/>
      <c r="Y535" s="92"/>
      <c r="Z535" s="92"/>
      <c r="AA535" s="93"/>
      <c r="AB535" s="93"/>
      <c r="AC535" s="93"/>
    </row>
    <row r="536" spans="3:29" ht="14.1" customHeight="1">
      <c r="C536" s="94"/>
      <c r="D536" s="95"/>
      <c r="E536" s="258"/>
      <c r="F536" s="96"/>
      <c r="G536" s="96"/>
      <c r="I536" s="97"/>
      <c r="J536" s="98"/>
      <c r="K536" s="99"/>
      <c r="L536" s="99"/>
      <c r="M536" s="99"/>
      <c r="N536" s="99"/>
      <c r="O536" s="99"/>
      <c r="P536" s="99"/>
      <c r="Q536" s="100"/>
      <c r="R536" s="100"/>
      <c r="S536" s="92"/>
      <c r="T536" s="92"/>
      <c r="U536" s="92"/>
      <c r="V536" s="92"/>
      <c r="W536" s="92"/>
      <c r="X536" s="92"/>
      <c r="Y536" s="92"/>
      <c r="Z536" s="92"/>
      <c r="AA536" s="93"/>
      <c r="AB536" s="93"/>
      <c r="AC536" s="93"/>
    </row>
    <row r="537" spans="3:29" ht="14.1" customHeight="1">
      <c r="C537" s="94"/>
      <c r="D537" s="95"/>
      <c r="E537" s="258"/>
      <c r="F537" s="96"/>
      <c r="G537" s="96"/>
      <c r="I537" s="97"/>
      <c r="J537" s="98"/>
      <c r="K537" s="99"/>
      <c r="L537" s="99"/>
      <c r="M537" s="99"/>
      <c r="N537" s="99"/>
      <c r="O537" s="99"/>
      <c r="P537" s="99"/>
      <c r="Q537" s="100"/>
      <c r="R537" s="100"/>
      <c r="S537" s="92"/>
      <c r="T537" s="92"/>
      <c r="U537" s="92"/>
      <c r="V537" s="92"/>
      <c r="W537" s="92"/>
      <c r="X537" s="92"/>
      <c r="Y537" s="92"/>
      <c r="Z537" s="92"/>
      <c r="AA537" s="93"/>
      <c r="AB537" s="93"/>
      <c r="AC537" s="93"/>
    </row>
    <row r="538" spans="3:29" ht="14.1" customHeight="1">
      <c r="C538" s="94"/>
      <c r="D538" s="95"/>
      <c r="E538" s="258"/>
      <c r="F538" s="96"/>
      <c r="G538" s="96"/>
      <c r="I538" s="97"/>
      <c r="J538" s="98"/>
      <c r="K538" s="99"/>
      <c r="L538" s="99"/>
      <c r="M538" s="99"/>
      <c r="N538" s="99"/>
      <c r="O538" s="99"/>
      <c r="P538" s="99"/>
      <c r="Q538" s="100"/>
      <c r="R538" s="100"/>
      <c r="S538" s="92"/>
      <c r="T538" s="92"/>
      <c r="U538" s="92"/>
      <c r="V538" s="92"/>
      <c r="W538" s="92"/>
      <c r="X538" s="92"/>
      <c r="Y538" s="92"/>
      <c r="Z538" s="92"/>
      <c r="AA538" s="93"/>
      <c r="AB538" s="93"/>
      <c r="AC538" s="93"/>
    </row>
    <row r="539" spans="3:29" ht="14.1" customHeight="1">
      <c r="C539" s="94"/>
      <c r="D539" s="95"/>
      <c r="E539" s="258"/>
      <c r="F539" s="96"/>
      <c r="G539" s="96"/>
      <c r="I539" s="97"/>
      <c r="J539" s="98"/>
      <c r="K539" s="99"/>
      <c r="L539" s="99"/>
      <c r="M539" s="99"/>
      <c r="N539" s="99"/>
      <c r="O539" s="99"/>
      <c r="P539" s="99"/>
      <c r="Q539" s="100"/>
      <c r="R539" s="100"/>
      <c r="S539" s="92"/>
      <c r="T539" s="92"/>
      <c r="U539" s="92"/>
      <c r="V539" s="92"/>
      <c r="W539" s="92"/>
      <c r="X539" s="92"/>
      <c r="Y539" s="92"/>
      <c r="Z539" s="92"/>
      <c r="AA539" s="93"/>
      <c r="AB539" s="93"/>
      <c r="AC539" s="93"/>
    </row>
    <row r="540" spans="3:29" ht="14.1" customHeight="1">
      <c r="C540" s="94"/>
      <c r="D540" s="95"/>
      <c r="E540" s="258"/>
      <c r="F540" s="96"/>
      <c r="G540" s="96"/>
      <c r="I540" s="97"/>
      <c r="J540" s="98"/>
      <c r="K540" s="99"/>
      <c r="L540" s="99"/>
      <c r="M540" s="99"/>
      <c r="N540" s="99"/>
      <c r="O540" s="99"/>
      <c r="P540" s="99"/>
      <c r="Q540" s="100"/>
      <c r="R540" s="100"/>
      <c r="S540" s="92"/>
      <c r="T540" s="92"/>
      <c r="U540" s="92"/>
      <c r="V540" s="92"/>
      <c r="W540" s="92"/>
      <c r="X540" s="92"/>
      <c r="Y540" s="92"/>
      <c r="Z540" s="92"/>
      <c r="AA540" s="93"/>
      <c r="AB540" s="93"/>
      <c r="AC540" s="93"/>
    </row>
    <row r="541" spans="3:29" ht="14.1" customHeight="1">
      <c r="C541" s="94"/>
      <c r="D541" s="95"/>
      <c r="E541" s="258"/>
      <c r="F541" s="96"/>
      <c r="G541" s="96"/>
      <c r="I541" s="97"/>
      <c r="J541" s="98"/>
      <c r="K541" s="99"/>
      <c r="L541" s="99"/>
      <c r="M541" s="99"/>
      <c r="N541" s="99"/>
      <c r="O541" s="99"/>
      <c r="P541" s="99"/>
      <c r="Q541" s="100"/>
      <c r="R541" s="100"/>
      <c r="S541" s="92"/>
      <c r="T541" s="92"/>
      <c r="U541" s="92"/>
      <c r="V541" s="92"/>
      <c r="W541" s="92"/>
      <c r="X541" s="92"/>
      <c r="Y541" s="92"/>
      <c r="Z541" s="92"/>
      <c r="AA541" s="93"/>
      <c r="AB541" s="93"/>
      <c r="AC541" s="93"/>
    </row>
    <row r="542" spans="3:29" ht="14.1" customHeight="1">
      <c r="C542" s="94"/>
      <c r="D542" s="95"/>
      <c r="E542" s="258"/>
      <c r="F542" s="96"/>
      <c r="G542" s="96"/>
      <c r="I542" s="97"/>
      <c r="J542" s="98"/>
      <c r="K542" s="99"/>
      <c r="L542" s="99"/>
      <c r="M542" s="99"/>
      <c r="N542" s="99"/>
      <c r="O542" s="99"/>
      <c r="P542" s="99"/>
      <c r="Q542" s="100"/>
      <c r="R542" s="100"/>
      <c r="S542" s="92"/>
      <c r="T542" s="92"/>
      <c r="U542" s="92"/>
      <c r="V542" s="92"/>
      <c r="W542" s="92"/>
      <c r="X542" s="92"/>
      <c r="Y542" s="92"/>
      <c r="Z542" s="92"/>
      <c r="AA542" s="93"/>
      <c r="AB542" s="93"/>
      <c r="AC542" s="93"/>
    </row>
    <row r="543" spans="3:29" ht="14.1" customHeight="1">
      <c r="C543" s="94"/>
      <c r="D543" s="95"/>
      <c r="E543" s="258"/>
      <c r="F543" s="96"/>
      <c r="G543" s="96"/>
      <c r="I543" s="97"/>
      <c r="J543" s="98"/>
      <c r="K543" s="99"/>
      <c r="L543" s="99"/>
      <c r="M543" s="99"/>
      <c r="N543" s="99"/>
      <c r="O543" s="99"/>
      <c r="P543" s="99"/>
      <c r="Q543" s="100"/>
      <c r="R543" s="100"/>
      <c r="S543" s="92"/>
      <c r="T543" s="92"/>
      <c r="U543" s="92"/>
      <c r="V543" s="92"/>
      <c r="W543" s="92"/>
      <c r="X543" s="92"/>
      <c r="Y543" s="92"/>
      <c r="Z543" s="92"/>
      <c r="AA543" s="93"/>
      <c r="AB543" s="93"/>
      <c r="AC543" s="93"/>
    </row>
    <row r="544" spans="3:29" ht="14.1" customHeight="1">
      <c r="C544" s="94"/>
      <c r="D544" s="95"/>
      <c r="E544" s="258"/>
      <c r="F544" s="96"/>
      <c r="G544" s="96"/>
      <c r="I544" s="97"/>
      <c r="J544" s="98"/>
      <c r="K544" s="99"/>
      <c r="L544" s="99"/>
      <c r="M544" s="99"/>
      <c r="N544" s="99"/>
      <c r="O544" s="99"/>
      <c r="P544" s="99"/>
      <c r="Q544" s="100"/>
      <c r="R544" s="100"/>
      <c r="S544" s="92"/>
      <c r="T544" s="92"/>
      <c r="U544" s="92"/>
      <c r="V544" s="92"/>
      <c r="W544" s="92"/>
      <c r="X544" s="92"/>
      <c r="Y544" s="92"/>
      <c r="Z544" s="92"/>
      <c r="AA544" s="93"/>
      <c r="AB544" s="93"/>
      <c r="AC544" s="93"/>
    </row>
    <row r="545" spans="3:29" ht="14.1" customHeight="1">
      <c r="C545" s="94"/>
      <c r="D545" s="95"/>
      <c r="E545" s="258"/>
      <c r="F545" s="96"/>
      <c r="G545" s="96"/>
      <c r="I545" s="97"/>
      <c r="J545" s="98"/>
      <c r="K545" s="99"/>
      <c r="L545" s="99"/>
      <c r="M545" s="99"/>
      <c r="N545" s="99"/>
      <c r="O545" s="99"/>
      <c r="P545" s="99"/>
      <c r="Q545" s="100"/>
      <c r="R545" s="100"/>
      <c r="S545" s="92"/>
      <c r="T545" s="92"/>
      <c r="U545" s="92"/>
      <c r="V545" s="92"/>
      <c r="W545" s="92"/>
      <c r="X545" s="92"/>
      <c r="Y545" s="92"/>
      <c r="Z545" s="92"/>
      <c r="AA545" s="93"/>
      <c r="AB545" s="93"/>
      <c r="AC545" s="93"/>
    </row>
    <row r="546" spans="3:29" ht="14.1" customHeight="1">
      <c r="C546" s="94"/>
      <c r="D546" s="95"/>
      <c r="E546" s="258"/>
      <c r="F546" s="96"/>
      <c r="G546" s="96"/>
      <c r="I546" s="97"/>
      <c r="J546" s="98"/>
      <c r="K546" s="99"/>
      <c r="L546" s="99"/>
      <c r="M546" s="99"/>
      <c r="N546" s="99"/>
      <c r="O546" s="99"/>
      <c r="P546" s="99"/>
      <c r="Q546" s="100"/>
      <c r="R546" s="100"/>
      <c r="S546" s="92"/>
      <c r="T546" s="92"/>
      <c r="U546" s="92"/>
      <c r="V546" s="92"/>
      <c r="W546" s="92"/>
      <c r="X546" s="92"/>
      <c r="Y546" s="92"/>
      <c r="Z546" s="92"/>
      <c r="AA546" s="93"/>
      <c r="AB546" s="93"/>
      <c r="AC546" s="93"/>
    </row>
    <row r="547" spans="3:29" ht="14.1" customHeight="1">
      <c r="C547" s="94"/>
      <c r="D547" s="95"/>
      <c r="E547" s="258"/>
      <c r="F547" s="96"/>
      <c r="G547" s="96"/>
      <c r="I547" s="97"/>
      <c r="J547" s="98"/>
      <c r="K547" s="99"/>
      <c r="L547" s="99"/>
      <c r="M547" s="99"/>
      <c r="N547" s="99"/>
      <c r="O547" s="99"/>
      <c r="P547" s="99"/>
      <c r="Q547" s="100"/>
      <c r="R547" s="100"/>
      <c r="S547" s="92"/>
      <c r="T547" s="92"/>
      <c r="U547" s="92"/>
      <c r="V547" s="92"/>
      <c r="W547" s="92"/>
      <c r="X547" s="92"/>
      <c r="Y547" s="92"/>
      <c r="Z547" s="92"/>
      <c r="AA547" s="93"/>
      <c r="AB547" s="93"/>
      <c r="AC547" s="93"/>
    </row>
    <row r="548" spans="3:29" ht="14.1" customHeight="1">
      <c r="C548" s="94"/>
      <c r="D548" s="95"/>
      <c r="E548" s="258"/>
      <c r="F548" s="96"/>
      <c r="G548" s="96"/>
      <c r="I548" s="97"/>
      <c r="J548" s="98"/>
      <c r="K548" s="99"/>
      <c r="L548" s="99"/>
      <c r="M548" s="99"/>
      <c r="N548" s="99"/>
      <c r="O548" s="99"/>
      <c r="P548" s="99"/>
      <c r="Q548" s="100"/>
      <c r="R548" s="100"/>
      <c r="S548" s="92"/>
      <c r="T548" s="92"/>
      <c r="U548" s="92"/>
      <c r="V548" s="92"/>
      <c r="W548" s="92"/>
      <c r="X548" s="92"/>
      <c r="Y548" s="92"/>
      <c r="Z548" s="92"/>
      <c r="AA548" s="93"/>
      <c r="AB548" s="93"/>
      <c r="AC548" s="93"/>
    </row>
    <row r="549" spans="3:29" ht="14.1" customHeight="1">
      <c r="C549" s="94"/>
      <c r="D549" s="95"/>
      <c r="E549" s="258"/>
      <c r="F549" s="96"/>
      <c r="G549" s="96"/>
      <c r="I549" s="97"/>
      <c r="J549" s="98"/>
      <c r="K549" s="99"/>
      <c r="L549" s="99"/>
      <c r="M549" s="99"/>
      <c r="N549" s="99"/>
      <c r="O549" s="99"/>
      <c r="P549" s="99"/>
      <c r="Q549" s="100"/>
      <c r="R549" s="100"/>
      <c r="S549" s="92"/>
      <c r="T549" s="92"/>
      <c r="U549" s="92"/>
      <c r="V549" s="92"/>
      <c r="W549" s="92"/>
      <c r="X549" s="92"/>
      <c r="Y549" s="92"/>
      <c r="Z549" s="92"/>
      <c r="AA549" s="93"/>
      <c r="AB549" s="93"/>
      <c r="AC549" s="93"/>
    </row>
    <row r="550" spans="3:29" ht="14.1" customHeight="1">
      <c r="C550" s="94"/>
      <c r="D550" s="95"/>
      <c r="E550" s="258"/>
      <c r="F550" s="96"/>
      <c r="G550" s="96"/>
      <c r="I550" s="97"/>
      <c r="J550" s="98"/>
      <c r="K550" s="99"/>
      <c r="L550" s="99"/>
      <c r="M550" s="99"/>
      <c r="N550" s="99"/>
      <c r="O550" s="99"/>
      <c r="P550" s="99"/>
      <c r="Q550" s="100"/>
      <c r="R550" s="100"/>
      <c r="S550" s="92"/>
      <c r="T550" s="92"/>
      <c r="U550" s="92"/>
      <c r="V550" s="92"/>
      <c r="W550" s="92"/>
      <c r="X550" s="92"/>
      <c r="Y550" s="92"/>
      <c r="Z550" s="92"/>
      <c r="AA550" s="93"/>
      <c r="AB550" s="93"/>
      <c r="AC550" s="93"/>
    </row>
    <row r="551" spans="3:29" ht="14.1" customHeight="1">
      <c r="C551" s="94"/>
      <c r="D551" s="95"/>
      <c r="E551" s="258"/>
      <c r="F551" s="96"/>
      <c r="G551" s="96"/>
      <c r="I551" s="97"/>
      <c r="J551" s="98"/>
      <c r="K551" s="99"/>
      <c r="L551" s="99"/>
      <c r="M551" s="99"/>
      <c r="N551" s="99"/>
      <c r="O551" s="99"/>
      <c r="P551" s="99"/>
      <c r="Q551" s="100"/>
      <c r="R551" s="100"/>
      <c r="S551" s="92"/>
      <c r="T551" s="92"/>
      <c r="U551" s="92"/>
      <c r="V551" s="92"/>
      <c r="W551" s="92"/>
      <c r="X551" s="92"/>
      <c r="Y551" s="92"/>
      <c r="Z551" s="92"/>
      <c r="AA551" s="93"/>
      <c r="AB551" s="93"/>
      <c r="AC551" s="93"/>
    </row>
    <row r="552" spans="3:29" ht="14.1" customHeight="1">
      <c r="C552" s="94"/>
      <c r="D552" s="95"/>
      <c r="E552" s="258"/>
      <c r="F552" s="96"/>
      <c r="G552" s="96"/>
      <c r="I552" s="97"/>
      <c r="J552" s="98"/>
      <c r="K552" s="99"/>
      <c r="L552" s="99"/>
      <c r="M552" s="99"/>
      <c r="N552" s="99"/>
      <c r="O552" s="99"/>
      <c r="P552" s="99"/>
      <c r="Q552" s="100"/>
      <c r="R552" s="100"/>
      <c r="S552" s="92"/>
      <c r="T552" s="92"/>
      <c r="U552" s="92"/>
      <c r="V552" s="92"/>
      <c r="W552" s="92"/>
      <c r="X552" s="92"/>
      <c r="Y552" s="92"/>
      <c r="Z552" s="92"/>
      <c r="AA552" s="93"/>
      <c r="AB552" s="93"/>
      <c r="AC552" s="93"/>
    </row>
    <row r="553" spans="3:29" ht="14.1" customHeight="1">
      <c r="C553" s="94"/>
      <c r="D553" s="95"/>
      <c r="E553" s="258"/>
      <c r="F553" s="96"/>
      <c r="G553" s="96"/>
      <c r="I553" s="97"/>
      <c r="J553" s="98"/>
      <c r="K553" s="99"/>
      <c r="L553" s="99"/>
      <c r="M553" s="99"/>
      <c r="N553" s="99"/>
      <c r="O553" s="99"/>
      <c r="P553" s="99"/>
      <c r="Q553" s="100"/>
      <c r="R553" s="100"/>
      <c r="S553" s="92"/>
      <c r="T553" s="92"/>
      <c r="U553" s="92"/>
      <c r="V553" s="92"/>
      <c r="W553" s="92"/>
      <c r="X553" s="92"/>
      <c r="Y553" s="92"/>
      <c r="Z553" s="92"/>
      <c r="AA553" s="93"/>
      <c r="AB553" s="93"/>
      <c r="AC553" s="93"/>
    </row>
    <row r="554" spans="3:29" ht="14.1" customHeight="1">
      <c r="C554" s="94"/>
      <c r="D554" s="95"/>
      <c r="E554" s="258"/>
      <c r="F554" s="96"/>
      <c r="G554" s="96"/>
      <c r="I554" s="97"/>
      <c r="J554" s="98"/>
      <c r="K554" s="99"/>
      <c r="L554" s="99"/>
      <c r="M554" s="99"/>
      <c r="N554" s="99"/>
      <c r="O554" s="99"/>
      <c r="P554" s="99"/>
      <c r="Q554" s="100"/>
      <c r="R554" s="100"/>
      <c r="S554" s="92"/>
      <c r="T554" s="92"/>
      <c r="U554" s="92"/>
      <c r="V554" s="92"/>
      <c r="W554" s="92"/>
      <c r="X554" s="92"/>
      <c r="Y554" s="92"/>
      <c r="Z554" s="92"/>
      <c r="AA554" s="93"/>
      <c r="AB554" s="93"/>
      <c r="AC554" s="93"/>
    </row>
    <row r="555" spans="3:29" ht="14.1" customHeight="1">
      <c r="C555" s="94"/>
      <c r="D555" s="95"/>
      <c r="E555" s="258"/>
      <c r="F555" s="96"/>
      <c r="G555" s="96"/>
      <c r="I555" s="97"/>
      <c r="J555" s="98"/>
      <c r="K555" s="99"/>
      <c r="L555" s="99"/>
      <c r="M555" s="99"/>
      <c r="N555" s="99"/>
      <c r="O555" s="99"/>
      <c r="P555" s="99"/>
      <c r="Q555" s="100"/>
      <c r="R555" s="100"/>
      <c r="S555" s="92"/>
      <c r="T555" s="92"/>
      <c r="U555" s="92"/>
      <c r="V555" s="92"/>
      <c r="W555" s="92"/>
      <c r="X555" s="92"/>
      <c r="Y555" s="92"/>
      <c r="Z555" s="92"/>
      <c r="AA555" s="93"/>
      <c r="AB555" s="93"/>
      <c r="AC555" s="93"/>
    </row>
    <row r="556" spans="3:29" ht="14.1" customHeight="1">
      <c r="C556" s="94"/>
      <c r="D556" s="95"/>
      <c r="E556" s="258"/>
      <c r="F556" s="96"/>
      <c r="G556" s="96"/>
      <c r="I556" s="97"/>
      <c r="J556" s="98"/>
      <c r="K556" s="99"/>
      <c r="L556" s="99"/>
      <c r="M556" s="99"/>
      <c r="N556" s="99"/>
      <c r="O556" s="99"/>
      <c r="P556" s="99"/>
      <c r="Q556" s="100"/>
      <c r="R556" s="100"/>
      <c r="S556" s="92"/>
      <c r="T556" s="92"/>
      <c r="U556" s="92"/>
      <c r="V556" s="92"/>
      <c r="W556" s="92"/>
      <c r="X556" s="92"/>
      <c r="Y556" s="92"/>
      <c r="Z556" s="92"/>
      <c r="AA556" s="93"/>
      <c r="AB556" s="93"/>
      <c r="AC556" s="93"/>
    </row>
    <row r="557" spans="3:29" ht="14.1" customHeight="1">
      <c r="C557" s="94"/>
      <c r="D557" s="95"/>
      <c r="E557" s="258"/>
      <c r="F557" s="96"/>
      <c r="G557" s="96"/>
      <c r="I557" s="97"/>
      <c r="J557" s="98"/>
      <c r="K557" s="99"/>
      <c r="L557" s="99"/>
      <c r="M557" s="99"/>
      <c r="N557" s="99"/>
      <c r="O557" s="99"/>
      <c r="P557" s="99"/>
      <c r="Q557" s="100"/>
      <c r="R557" s="100"/>
      <c r="S557" s="92"/>
      <c r="T557" s="92"/>
      <c r="U557" s="92"/>
      <c r="V557" s="92"/>
      <c r="W557" s="92"/>
      <c r="X557" s="92"/>
      <c r="Y557" s="92"/>
      <c r="Z557" s="92"/>
      <c r="AA557" s="93"/>
      <c r="AB557" s="93"/>
      <c r="AC557" s="93"/>
    </row>
    <row r="558" spans="3:29" ht="14.1" customHeight="1">
      <c r="C558" s="94"/>
      <c r="D558" s="95"/>
      <c r="E558" s="258"/>
      <c r="F558" s="96"/>
      <c r="G558" s="96"/>
      <c r="I558" s="97"/>
      <c r="J558" s="98"/>
      <c r="K558" s="99"/>
      <c r="L558" s="99"/>
      <c r="M558" s="99"/>
      <c r="N558" s="99"/>
      <c r="O558" s="99"/>
      <c r="P558" s="99"/>
      <c r="Q558" s="100"/>
      <c r="R558" s="100"/>
      <c r="S558" s="92"/>
      <c r="T558" s="92"/>
      <c r="U558" s="92"/>
      <c r="V558" s="92"/>
      <c r="W558" s="92"/>
      <c r="X558" s="92"/>
      <c r="Y558" s="92"/>
      <c r="Z558" s="92"/>
      <c r="AA558" s="93"/>
      <c r="AB558" s="93"/>
      <c r="AC558" s="93"/>
    </row>
    <row r="559" spans="3:29" ht="14.1" customHeight="1">
      <c r="C559" s="94"/>
      <c r="D559" s="95"/>
      <c r="E559" s="258"/>
      <c r="F559" s="96"/>
      <c r="G559" s="96"/>
      <c r="I559" s="97"/>
      <c r="J559" s="98"/>
      <c r="K559" s="99"/>
      <c r="L559" s="99"/>
      <c r="M559" s="99"/>
      <c r="N559" s="99"/>
      <c r="O559" s="99"/>
      <c r="P559" s="99"/>
      <c r="Q559" s="100"/>
      <c r="R559" s="100"/>
      <c r="S559" s="92"/>
      <c r="T559" s="92"/>
      <c r="U559" s="92"/>
      <c r="V559" s="92"/>
      <c r="W559" s="92"/>
      <c r="X559" s="92"/>
      <c r="Y559" s="92"/>
      <c r="Z559" s="92"/>
      <c r="AA559" s="93"/>
      <c r="AB559" s="93"/>
      <c r="AC559" s="93"/>
    </row>
    <row r="560" spans="3:29" ht="14.1" customHeight="1">
      <c r="C560" s="94"/>
      <c r="D560" s="95"/>
      <c r="E560" s="258"/>
      <c r="F560" s="96"/>
      <c r="G560" s="96"/>
      <c r="I560" s="97"/>
      <c r="J560" s="98"/>
      <c r="K560" s="99"/>
      <c r="L560" s="99"/>
      <c r="M560" s="99"/>
      <c r="N560" s="99"/>
      <c r="O560" s="99"/>
      <c r="P560" s="99"/>
      <c r="Q560" s="100"/>
      <c r="R560" s="100"/>
      <c r="S560" s="92"/>
      <c r="T560" s="92"/>
      <c r="U560" s="92"/>
      <c r="V560" s="92"/>
      <c r="W560" s="92"/>
      <c r="X560" s="92"/>
      <c r="Y560" s="92"/>
      <c r="Z560" s="92"/>
      <c r="AA560" s="93"/>
      <c r="AB560" s="93"/>
      <c r="AC560" s="93"/>
    </row>
    <row r="561" spans="3:29" ht="14.1" customHeight="1">
      <c r="C561" s="94"/>
      <c r="D561" s="95"/>
      <c r="E561" s="258"/>
      <c r="F561" s="96"/>
      <c r="G561" s="96"/>
      <c r="I561" s="97"/>
      <c r="J561" s="98"/>
      <c r="K561" s="99"/>
      <c r="L561" s="99"/>
      <c r="M561" s="99"/>
      <c r="N561" s="99"/>
      <c r="O561" s="99"/>
      <c r="P561" s="99"/>
      <c r="Q561" s="100"/>
      <c r="R561" s="100"/>
      <c r="S561" s="92"/>
      <c r="T561" s="92"/>
      <c r="U561" s="92"/>
      <c r="V561" s="92"/>
      <c r="W561" s="92"/>
      <c r="X561" s="92"/>
      <c r="Y561" s="92"/>
      <c r="Z561" s="92"/>
      <c r="AA561" s="93"/>
      <c r="AB561" s="93"/>
      <c r="AC561" s="93"/>
    </row>
    <row r="562" spans="3:29" ht="14.1" customHeight="1">
      <c r="C562" s="94"/>
      <c r="D562" s="95"/>
      <c r="E562" s="258"/>
      <c r="F562" s="96"/>
      <c r="G562" s="96"/>
      <c r="I562" s="97"/>
      <c r="J562" s="98"/>
      <c r="K562" s="99"/>
      <c r="L562" s="99"/>
      <c r="M562" s="99"/>
      <c r="N562" s="99"/>
      <c r="O562" s="99"/>
      <c r="P562" s="99"/>
      <c r="Q562" s="100"/>
      <c r="R562" s="100"/>
      <c r="S562" s="92"/>
      <c r="T562" s="92"/>
      <c r="U562" s="92"/>
      <c r="V562" s="92"/>
      <c r="W562" s="92"/>
      <c r="X562" s="92"/>
      <c r="Y562" s="92"/>
      <c r="Z562" s="92"/>
      <c r="AA562" s="93"/>
      <c r="AB562" s="93"/>
      <c r="AC562" s="93"/>
    </row>
    <row r="563" spans="3:29" ht="14.1" customHeight="1">
      <c r="C563" s="94"/>
      <c r="D563" s="95"/>
      <c r="E563" s="258"/>
      <c r="F563" s="96"/>
      <c r="G563" s="96"/>
      <c r="I563" s="97"/>
      <c r="J563" s="98"/>
      <c r="K563" s="99"/>
      <c r="L563" s="99"/>
      <c r="M563" s="99"/>
      <c r="N563" s="99"/>
      <c r="O563" s="99"/>
      <c r="P563" s="99"/>
      <c r="Q563" s="100"/>
      <c r="R563" s="100"/>
      <c r="S563" s="92"/>
      <c r="T563" s="92"/>
      <c r="U563" s="92"/>
      <c r="V563" s="92"/>
      <c r="W563" s="92"/>
      <c r="X563" s="92"/>
      <c r="Y563" s="92"/>
      <c r="Z563" s="92"/>
      <c r="AA563" s="93"/>
      <c r="AB563" s="93"/>
      <c r="AC563" s="93"/>
    </row>
    <row r="564" spans="3:29" ht="14.1" customHeight="1">
      <c r="C564" s="94"/>
      <c r="D564" s="95"/>
      <c r="E564" s="258"/>
      <c r="F564" s="96"/>
      <c r="G564" s="96"/>
      <c r="I564" s="97"/>
      <c r="J564" s="98"/>
      <c r="K564" s="99"/>
      <c r="L564" s="99"/>
      <c r="M564" s="99"/>
      <c r="N564" s="99"/>
      <c r="O564" s="99"/>
      <c r="P564" s="99"/>
      <c r="Q564" s="100"/>
      <c r="R564" s="100"/>
      <c r="S564" s="92"/>
      <c r="T564" s="92"/>
      <c r="U564" s="92"/>
      <c r="V564" s="92"/>
      <c r="W564" s="92"/>
      <c r="X564" s="92"/>
      <c r="Y564" s="92"/>
      <c r="Z564" s="92"/>
      <c r="AA564" s="93"/>
      <c r="AB564" s="93"/>
      <c r="AC564" s="93"/>
    </row>
    <row r="565" spans="3:29" ht="14.1" customHeight="1">
      <c r="C565" s="94"/>
      <c r="D565" s="95"/>
      <c r="E565" s="258"/>
      <c r="F565" s="96"/>
      <c r="G565" s="96"/>
      <c r="I565" s="97"/>
      <c r="J565" s="98"/>
      <c r="K565" s="99"/>
      <c r="L565" s="99"/>
      <c r="M565" s="99"/>
      <c r="N565" s="99"/>
      <c r="O565" s="99"/>
      <c r="P565" s="99"/>
      <c r="Q565" s="100"/>
      <c r="R565" s="100"/>
      <c r="S565" s="92"/>
      <c r="T565" s="92"/>
      <c r="U565" s="92"/>
      <c r="V565" s="92"/>
      <c r="W565" s="92"/>
      <c r="X565" s="92"/>
      <c r="Y565" s="92"/>
      <c r="Z565" s="92"/>
      <c r="AA565" s="93"/>
      <c r="AB565" s="93"/>
      <c r="AC565" s="93"/>
    </row>
    <row r="566" spans="3:29" ht="14.1" customHeight="1">
      <c r="C566" s="94"/>
      <c r="D566" s="95"/>
      <c r="E566" s="258"/>
      <c r="F566" s="96"/>
      <c r="G566" s="96"/>
      <c r="I566" s="97"/>
      <c r="J566" s="98"/>
      <c r="K566" s="99"/>
      <c r="L566" s="99"/>
      <c r="M566" s="99"/>
      <c r="N566" s="99"/>
      <c r="O566" s="99"/>
      <c r="P566" s="99"/>
      <c r="Q566" s="100"/>
      <c r="R566" s="100"/>
      <c r="S566" s="92"/>
      <c r="T566" s="92"/>
      <c r="U566" s="92"/>
      <c r="V566" s="92"/>
      <c r="W566" s="92"/>
      <c r="X566" s="92"/>
      <c r="Y566" s="92"/>
      <c r="Z566" s="92"/>
      <c r="AA566" s="93"/>
      <c r="AB566" s="93"/>
      <c r="AC566" s="93"/>
    </row>
    <row r="567" spans="3:29" ht="14.1" customHeight="1">
      <c r="C567" s="94"/>
      <c r="D567" s="95"/>
      <c r="E567" s="258"/>
      <c r="F567" s="96"/>
      <c r="G567" s="96"/>
      <c r="I567" s="97"/>
      <c r="J567" s="98"/>
      <c r="K567" s="99"/>
      <c r="L567" s="99"/>
      <c r="M567" s="99"/>
      <c r="N567" s="99"/>
      <c r="O567" s="99"/>
      <c r="P567" s="99"/>
      <c r="Q567" s="100"/>
      <c r="R567" s="100"/>
      <c r="S567" s="92"/>
      <c r="T567" s="92"/>
      <c r="U567" s="92"/>
      <c r="V567" s="92"/>
      <c r="W567" s="92"/>
      <c r="X567" s="92"/>
      <c r="Y567" s="92"/>
      <c r="Z567" s="92"/>
      <c r="AA567" s="93"/>
      <c r="AB567" s="93"/>
      <c r="AC567" s="93"/>
    </row>
    <row r="568" spans="3:29" ht="14.1" customHeight="1">
      <c r="C568" s="94"/>
      <c r="D568" s="95"/>
      <c r="E568" s="258"/>
      <c r="F568" s="96"/>
      <c r="G568" s="96"/>
      <c r="I568" s="97"/>
      <c r="J568" s="98"/>
      <c r="K568" s="99"/>
      <c r="L568" s="99"/>
      <c r="M568" s="99"/>
      <c r="N568" s="99"/>
      <c r="O568" s="99"/>
      <c r="P568" s="99"/>
      <c r="Q568" s="100"/>
      <c r="R568" s="100"/>
      <c r="S568" s="92"/>
      <c r="T568" s="92"/>
      <c r="U568" s="92"/>
      <c r="V568" s="92"/>
      <c r="W568" s="92"/>
      <c r="X568" s="92"/>
      <c r="Y568" s="92"/>
      <c r="Z568" s="92"/>
      <c r="AA568" s="93"/>
      <c r="AB568" s="93"/>
      <c r="AC568" s="93"/>
    </row>
    <row r="569" spans="3:29" ht="14.1" customHeight="1">
      <c r="C569" s="94"/>
      <c r="D569" s="95"/>
      <c r="E569" s="258"/>
      <c r="F569" s="96"/>
      <c r="G569" s="96"/>
      <c r="I569" s="97"/>
      <c r="J569" s="98"/>
      <c r="K569" s="99"/>
      <c r="L569" s="99"/>
      <c r="M569" s="99"/>
      <c r="N569" s="99"/>
      <c r="O569" s="99"/>
      <c r="P569" s="99"/>
      <c r="Q569" s="100"/>
      <c r="R569" s="100"/>
      <c r="S569" s="92"/>
      <c r="T569" s="92"/>
      <c r="U569" s="92"/>
      <c r="V569" s="92"/>
      <c r="W569" s="92"/>
      <c r="X569" s="92"/>
      <c r="Y569" s="92"/>
      <c r="Z569" s="92"/>
      <c r="AA569" s="93"/>
      <c r="AB569" s="93"/>
      <c r="AC569" s="93"/>
    </row>
    <row r="570" spans="3:29" ht="14.1" customHeight="1">
      <c r="C570" s="94"/>
      <c r="D570" s="95"/>
      <c r="E570" s="258"/>
      <c r="F570" s="96"/>
      <c r="G570" s="96"/>
      <c r="I570" s="97"/>
      <c r="J570" s="98"/>
      <c r="K570" s="99"/>
      <c r="L570" s="99"/>
      <c r="M570" s="99"/>
      <c r="N570" s="99"/>
      <c r="O570" s="99"/>
      <c r="P570" s="99"/>
      <c r="Q570" s="100"/>
      <c r="R570" s="100"/>
      <c r="S570" s="92"/>
      <c r="T570" s="92"/>
      <c r="U570" s="92"/>
      <c r="V570" s="92"/>
      <c r="W570" s="92"/>
      <c r="X570" s="92"/>
      <c r="Y570" s="92"/>
      <c r="Z570" s="92"/>
      <c r="AA570" s="93"/>
      <c r="AB570" s="93"/>
      <c r="AC570" s="93"/>
    </row>
    <row r="571" spans="3:29" ht="14.1" customHeight="1">
      <c r="C571" s="94"/>
      <c r="D571" s="95"/>
      <c r="E571" s="258"/>
      <c r="F571" s="96"/>
      <c r="G571" s="96"/>
      <c r="I571" s="97"/>
      <c r="J571" s="98"/>
      <c r="K571" s="99"/>
      <c r="L571" s="99"/>
      <c r="M571" s="99"/>
      <c r="N571" s="99"/>
      <c r="O571" s="99"/>
      <c r="P571" s="99"/>
      <c r="Q571" s="100"/>
      <c r="R571" s="100"/>
      <c r="S571" s="92"/>
      <c r="T571" s="92"/>
      <c r="U571" s="92"/>
      <c r="V571" s="92"/>
      <c r="W571" s="92"/>
      <c r="X571" s="92"/>
      <c r="Y571" s="92"/>
      <c r="Z571" s="92"/>
      <c r="AA571" s="93"/>
      <c r="AB571" s="93"/>
      <c r="AC571" s="93"/>
    </row>
    <row r="572" spans="3:29" ht="14.1" customHeight="1">
      <c r="C572" s="94"/>
      <c r="D572" s="95"/>
      <c r="E572" s="258"/>
      <c r="F572" s="96"/>
      <c r="G572" s="96"/>
      <c r="I572" s="97"/>
      <c r="J572" s="98"/>
      <c r="K572" s="99"/>
      <c r="L572" s="99"/>
      <c r="M572" s="99"/>
      <c r="N572" s="99"/>
      <c r="O572" s="99"/>
      <c r="P572" s="99"/>
      <c r="Q572" s="100"/>
      <c r="R572" s="100"/>
      <c r="S572" s="92"/>
      <c r="T572" s="92"/>
      <c r="U572" s="92"/>
      <c r="V572" s="92"/>
      <c r="W572" s="92"/>
      <c r="X572" s="92"/>
      <c r="Y572" s="92"/>
      <c r="Z572" s="92"/>
      <c r="AA572" s="93"/>
      <c r="AB572" s="93"/>
      <c r="AC572" s="93"/>
    </row>
    <row r="573" spans="3:29" ht="14.1" customHeight="1">
      <c r="C573" s="94"/>
      <c r="D573" s="95"/>
      <c r="E573" s="258"/>
      <c r="F573" s="96"/>
      <c r="G573" s="96"/>
      <c r="I573" s="97"/>
      <c r="J573" s="98"/>
      <c r="K573" s="99"/>
      <c r="L573" s="99"/>
      <c r="M573" s="99"/>
      <c r="N573" s="99"/>
      <c r="O573" s="99"/>
      <c r="P573" s="99"/>
      <c r="Q573" s="100"/>
      <c r="R573" s="100"/>
      <c r="S573" s="92"/>
      <c r="T573" s="92"/>
      <c r="U573" s="92"/>
      <c r="V573" s="92"/>
      <c r="W573" s="92"/>
      <c r="X573" s="92"/>
      <c r="Y573" s="92"/>
      <c r="Z573" s="92"/>
      <c r="AA573" s="93"/>
      <c r="AB573" s="93"/>
      <c r="AC573" s="93"/>
    </row>
    <row r="574" spans="3:29" ht="14.1" customHeight="1">
      <c r="C574" s="94"/>
      <c r="D574" s="95"/>
      <c r="E574" s="258"/>
      <c r="F574" s="96"/>
      <c r="G574" s="96"/>
      <c r="I574" s="97"/>
      <c r="J574" s="98"/>
      <c r="K574" s="99"/>
      <c r="L574" s="99"/>
      <c r="M574" s="99"/>
      <c r="N574" s="99"/>
      <c r="O574" s="99"/>
      <c r="P574" s="99"/>
      <c r="Q574" s="100"/>
      <c r="R574" s="100"/>
      <c r="S574" s="92"/>
      <c r="T574" s="92"/>
      <c r="U574" s="92"/>
      <c r="V574" s="92"/>
      <c r="W574" s="92"/>
      <c r="X574" s="92"/>
      <c r="Y574" s="92"/>
      <c r="Z574" s="92"/>
      <c r="AA574" s="93"/>
      <c r="AB574" s="93"/>
      <c r="AC574" s="93"/>
    </row>
    <row r="575" spans="3:29" ht="14.1" customHeight="1">
      <c r="C575" s="94"/>
      <c r="D575" s="95"/>
      <c r="E575" s="258"/>
      <c r="F575" s="96"/>
      <c r="G575" s="96"/>
      <c r="I575" s="97"/>
      <c r="J575" s="98"/>
      <c r="K575" s="99"/>
      <c r="L575" s="99"/>
      <c r="M575" s="99"/>
      <c r="N575" s="99"/>
      <c r="O575" s="99"/>
      <c r="P575" s="99"/>
      <c r="Q575" s="100"/>
      <c r="R575" s="100"/>
      <c r="S575" s="92"/>
      <c r="T575" s="92"/>
      <c r="U575" s="92"/>
      <c r="V575" s="92"/>
      <c r="W575" s="92"/>
      <c r="X575" s="92"/>
      <c r="Y575" s="92"/>
      <c r="Z575" s="92"/>
      <c r="AA575" s="93"/>
      <c r="AB575" s="93"/>
      <c r="AC575" s="93"/>
    </row>
    <row r="576" spans="3:29" ht="14.1" customHeight="1">
      <c r="C576" s="94"/>
      <c r="D576" s="95"/>
      <c r="E576" s="258"/>
      <c r="F576" s="96"/>
      <c r="G576" s="96"/>
      <c r="I576" s="97"/>
      <c r="J576" s="98"/>
      <c r="K576" s="99"/>
      <c r="L576" s="99"/>
      <c r="M576" s="99"/>
      <c r="N576" s="99"/>
      <c r="O576" s="99"/>
      <c r="P576" s="99"/>
      <c r="Q576" s="100"/>
      <c r="R576" s="100"/>
      <c r="S576" s="92"/>
      <c r="T576" s="92"/>
      <c r="U576" s="92"/>
      <c r="V576" s="92"/>
      <c r="W576" s="92"/>
      <c r="X576" s="92"/>
      <c r="Y576" s="92"/>
      <c r="Z576" s="92"/>
      <c r="AA576" s="93"/>
      <c r="AB576" s="93"/>
      <c r="AC576" s="93"/>
    </row>
    <row r="577" spans="3:29" ht="14.1" customHeight="1">
      <c r="C577" s="94"/>
      <c r="D577" s="95"/>
      <c r="E577" s="258"/>
      <c r="F577" s="96"/>
      <c r="G577" s="96"/>
      <c r="I577" s="97"/>
      <c r="J577" s="98"/>
      <c r="K577" s="99"/>
      <c r="L577" s="99"/>
      <c r="M577" s="99"/>
      <c r="N577" s="99"/>
      <c r="O577" s="99"/>
      <c r="P577" s="99"/>
      <c r="Q577" s="100"/>
      <c r="R577" s="100"/>
      <c r="S577" s="92"/>
      <c r="T577" s="92"/>
      <c r="U577" s="92"/>
      <c r="V577" s="92"/>
      <c r="W577" s="92"/>
      <c r="X577" s="92"/>
      <c r="Y577" s="92"/>
      <c r="Z577" s="92"/>
      <c r="AA577" s="93"/>
      <c r="AB577" s="93"/>
      <c r="AC577" s="93"/>
    </row>
    <row r="578" spans="3:29" ht="14.1" customHeight="1">
      <c r="C578" s="94"/>
      <c r="D578" s="95"/>
      <c r="E578" s="258"/>
      <c r="F578" s="96"/>
      <c r="G578" s="96"/>
      <c r="I578" s="97"/>
      <c r="J578" s="98"/>
      <c r="K578" s="99"/>
      <c r="L578" s="99"/>
      <c r="M578" s="99"/>
      <c r="N578" s="99"/>
      <c r="O578" s="99"/>
      <c r="P578" s="99"/>
      <c r="Q578" s="100"/>
      <c r="R578" s="100"/>
      <c r="S578" s="92"/>
      <c r="T578" s="92"/>
      <c r="U578" s="92"/>
      <c r="V578" s="92"/>
      <c r="W578" s="92"/>
      <c r="X578" s="92"/>
      <c r="Y578" s="92"/>
      <c r="Z578" s="92"/>
      <c r="AA578" s="93"/>
      <c r="AB578" s="93"/>
      <c r="AC578" s="93"/>
    </row>
    <row r="579" spans="3:29" ht="14.1" customHeight="1">
      <c r="C579" s="94"/>
      <c r="D579" s="95"/>
      <c r="E579" s="258"/>
      <c r="F579" s="96"/>
      <c r="G579" s="96"/>
      <c r="I579" s="97"/>
      <c r="J579" s="98"/>
      <c r="K579" s="99"/>
      <c r="L579" s="99"/>
      <c r="M579" s="99"/>
      <c r="N579" s="99"/>
      <c r="O579" s="99"/>
      <c r="P579" s="99"/>
      <c r="Q579" s="100"/>
      <c r="R579" s="100"/>
      <c r="S579" s="92"/>
      <c r="T579" s="92"/>
      <c r="U579" s="92"/>
      <c r="V579" s="92"/>
      <c r="W579" s="92"/>
      <c r="X579" s="92"/>
      <c r="Y579" s="92"/>
      <c r="Z579" s="92"/>
      <c r="AA579" s="93"/>
      <c r="AB579" s="93"/>
      <c r="AC579" s="93"/>
    </row>
    <row r="580" spans="3:29" ht="14.1" customHeight="1">
      <c r="C580" s="94"/>
      <c r="D580" s="95"/>
      <c r="E580" s="258"/>
      <c r="F580" s="96"/>
      <c r="G580" s="96"/>
      <c r="I580" s="97"/>
      <c r="J580" s="98"/>
      <c r="K580" s="99"/>
      <c r="L580" s="99"/>
      <c r="M580" s="99"/>
      <c r="N580" s="99"/>
      <c r="O580" s="99"/>
      <c r="P580" s="99"/>
      <c r="Q580" s="100"/>
      <c r="R580" s="100"/>
      <c r="S580" s="92"/>
      <c r="T580" s="92"/>
      <c r="U580" s="92"/>
      <c r="V580" s="92"/>
      <c r="W580" s="92"/>
      <c r="X580" s="92"/>
      <c r="Y580" s="92"/>
      <c r="Z580" s="92"/>
      <c r="AA580" s="93"/>
      <c r="AB580" s="93"/>
      <c r="AC580" s="93"/>
    </row>
    <row r="581" spans="3:29" ht="14.1" customHeight="1">
      <c r="C581" s="94"/>
      <c r="D581" s="95"/>
      <c r="E581" s="258"/>
      <c r="F581" s="96"/>
      <c r="G581" s="96"/>
      <c r="I581" s="97"/>
      <c r="J581" s="98"/>
      <c r="K581" s="99"/>
      <c r="L581" s="99"/>
      <c r="M581" s="99"/>
      <c r="N581" s="99"/>
      <c r="O581" s="99"/>
      <c r="P581" s="99"/>
      <c r="Q581" s="100"/>
      <c r="R581" s="100"/>
      <c r="S581" s="92"/>
      <c r="T581" s="92"/>
      <c r="U581" s="92"/>
      <c r="V581" s="92"/>
      <c r="W581" s="92"/>
      <c r="X581" s="92"/>
      <c r="Y581" s="92"/>
      <c r="Z581" s="92"/>
      <c r="AA581" s="93"/>
      <c r="AB581" s="93"/>
      <c r="AC581" s="93"/>
    </row>
    <row r="582" spans="3:29" ht="14.1" customHeight="1">
      <c r="C582" s="94"/>
      <c r="D582" s="95"/>
      <c r="E582" s="258"/>
      <c r="F582" s="96"/>
      <c r="G582" s="96"/>
      <c r="I582" s="97"/>
      <c r="J582" s="98"/>
      <c r="K582" s="99"/>
      <c r="L582" s="99"/>
      <c r="M582" s="99"/>
      <c r="N582" s="99"/>
      <c r="O582" s="99"/>
      <c r="P582" s="99"/>
      <c r="Q582" s="100"/>
      <c r="R582" s="100"/>
      <c r="S582" s="92"/>
      <c r="T582" s="92"/>
      <c r="U582" s="92"/>
      <c r="V582" s="92"/>
      <c r="W582" s="92"/>
      <c r="X582" s="92"/>
      <c r="Y582" s="92"/>
      <c r="Z582" s="92"/>
      <c r="AA582" s="93"/>
      <c r="AB582" s="93"/>
      <c r="AC582" s="93"/>
    </row>
    <row r="583" spans="3:29" ht="14.1" customHeight="1">
      <c r="C583" s="94"/>
      <c r="D583" s="95"/>
      <c r="E583" s="258"/>
      <c r="F583" s="96"/>
      <c r="G583" s="96"/>
      <c r="I583" s="97"/>
      <c r="J583" s="98"/>
      <c r="K583" s="99"/>
      <c r="L583" s="99"/>
      <c r="M583" s="99"/>
      <c r="N583" s="99"/>
      <c r="O583" s="99"/>
      <c r="P583" s="99"/>
      <c r="Q583" s="100"/>
      <c r="R583" s="100"/>
      <c r="S583" s="92"/>
      <c r="T583" s="92"/>
      <c r="U583" s="92"/>
      <c r="V583" s="92"/>
      <c r="W583" s="92"/>
      <c r="X583" s="92"/>
      <c r="Y583" s="92"/>
      <c r="Z583" s="92"/>
      <c r="AA583" s="93"/>
      <c r="AB583" s="93"/>
      <c r="AC583" s="93"/>
    </row>
    <row r="584" spans="3:29" ht="14.1" customHeight="1">
      <c r="C584" s="94"/>
      <c r="D584" s="95"/>
      <c r="E584" s="258"/>
      <c r="F584" s="96"/>
      <c r="G584" s="96"/>
      <c r="I584" s="97"/>
      <c r="J584" s="98"/>
      <c r="K584" s="99"/>
      <c r="L584" s="99"/>
      <c r="M584" s="99"/>
      <c r="N584" s="99"/>
      <c r="O584" s="99"/>
      <c r="P584" s="99"/>
      <c r="Q584" s="100"/>
      <c r="R584" s="100"/>
      <c r="S584" s="92"/>
      <c r="T584" s="92"/>
      <c r="U584" s="92"/>
      <c r="V584" s="92"/>
      <c r="W584" s="92"/>
      <c r="X584" s="92"/>
      <c r="Y584" s="92"/>
      <c r="Z584" s="92"/>
      <c r="AA584" s="93"/>
      <c r="AB584" s="93"/>
      <c r="AC584" s="93"/>
    </row>
    <row r="585" spans="3:29" ht="14.1" customHeight="1">
      <c r="C585" s="94"/>
      <c r="D585" s="95"/>
      <c r="E585" s="258"/>
      <c r="F585" s="96"/>
      <c r="G585" s="96"/>
      <c r="I585" s="97"/>
      <c r="J585" s="98"/>
      <c r="K585" s="99"/>
      <c r="L585" s="99"/>
      <c r="M585" s="99"/>
      <c r="N585" s="99"/>
      <c r="O585" s="99"/>
      <c r="P585" s="99"/>
      <c r="Q585" s="100"/>
      <c r="R585" s="100"/>
      <c r="S585" s="92"/>
      <c r="T585" s="92"/>
      <c r="U585" s="92"/>
      <c r="V585" s="92"/>
      <c r="W585" s="92"/>
      <c r="X585" s="92"/>
      <c r="Y585" s="92"/>
      <c r="Z585" s="92"/>
      <c r="AA585" s="93"/>
      <c r="AB585" s="93"/>
      <c r="AC585" s="93"/>
    </row>
    <row r="586" spans="3:29" ht="14.1" customHeight="1">
      <c r="C586" s="94"/>
      <c r="D586" s="95"/>
      <c r="E586" s="258"/>
      <c r="F586" s="96"/>
      <c r="G586" s="96"/>
      <c r="I586" s="97"/>
      <c r="J586" s="98"/>
      <c r="K586" s="99"/>
      <c r="L586" s="99"/>
      <c r="M586" s="99"/>
      <c r="N586" s="99"/>
      <c r="O586" s="99"/>
      <c r="P586" s="99"/>
      <c r="Q586" s="100"/>
      <c r="R586" s="100"/>
      <c r="S586" s="92"/>
      <c r="T586" s="92"/>
      <c r="U586" s="92"/>
      <c r="V586" s="92"/>
      <c r="W586" s="92"/>
      <c r="X586" s="92"/>
      <c r="Y586" s="92"/>
      <c r="Z586" s="92"/>
      <c r="AA586" s="93"/>
      <c r="AB586" s="93"/>
      <c r="AC586" s="93"/>
    </row>
    <row r="587" spans="3:29" ht="14.1" customHeight="1">
      <c r="C587" s="94"/>
      <c r="D587" s="95"/>
      <c r="E587" s="258"/>
      <c r="F587" s="96"/>
      <c r="G587" s="96"/>
      <c r="I587" s="97"/>
      <c r="J587" s="98"/>
      <c r="K587" s="99"/>
      <c r="L587" s="99"/>
      <c r="M587" s="99"/>
      <c r="N587" s="99"/>
      <c r="O587" s="99"/>
      <c r="P587" s="99"/>
      <c r="Q587" s="100"/>
      <c r="R587" s="100"/>
      <c r="S587" s="92"/>
      <c r="T587" s="92"/>
      <c r="U587" s="92"/>
      <c r="V587" s="92"/>
      <c r="W587" s="92"/>
      <c r="X587" s="92"/>
      <c r="Y587" s="92"/>
      <c r="Z587" s="92"/>
      <c r="AA587" s="93"/>
      <c r="AB587" s="93"/>
      <c r="AC587" s="93"/>
    </row>
    <row r="588" spans="3:29" ht="14.1" customHeight="1">
      <c r="C588" s="94"/>
      <c r="D588" s="95"/>
      <c r="E588" s="258"/>
      <c r="F588" s="96"/>
      <c r="G588" s="96"/>
      <c r="I588" s="97"/>
      <c r="J588" s="98"/>
      <c r="K588" s="99"/>
      <c r="L588" s="99"/>
      <c r="M588" s="99"/>
      <c r="N588" s="99"/>
      <c r="O588" s="99"/>
      <c r="P588" s="99"/>
      <c r="Q588" s="100"/>
      <c r="R588" s="100"/>
      <c r="S588" s="92"/>
      <c r="T588" s="92"/>
      <c r="U588" s="92"/>
      <c r="V588" s="92"/>
      <c r="W588" s="92"/>
      <c r="X588" s="92"/>
      <c r="Y588" s="92"/>
      <c r="Z588" s="92"/>
      <c r="AA588" s="93"/>
      <c r="AB588" s="93"/>
      <c r="AC588" s="93"/>
    </row>
    <row r="589" spans="3:29" ht="14.1" customHeight="1">
      <c r="C589" s="94"/>
      <c r="D589" s="95"/>
      <c r="E589" s="258"/>
      <c r="F589" s="96"/>
      <c r="G589" s="96"/>
      <c r="I589" s="97"/>
      <c r="J589" s="98"/>
      <c r="K589" s="99"/>
      <c r="L589" s="99"/>
      <c r="M589" s="99"/>
      <c r="N589" s="99"/>
      <c r="O589" s="99"/>
      <c r="P589" s="99"/>
      <c r="Q589" s="100"/>
      <c r="R589" s="100"/>
      <c r="S589" s="92"/>
      <c r="T589" s="92"/>
      <c r="U589" s="92"/>
      <c r="V589" s="92"/>
      <c r="W589" s="92"/>
      <c r="X589" s="92"/>
      <c r="Y589" s="92"/>
      <c r="Z589" s="92"/>
      <c r="AA589" s="93"/>
      <c r="AB589" s="93"/>
      <c r="AC589" s="93"/>
    </row>
    <row r="590" spans="3:29" ht="14.1" customHeight="1">
      <c r="C590" s="94"/>
      <c r="D590" s="95"/>
      <c r="E590" s="258"/>
      <c r="F590" s="96"/>
      <c r="G590" s="96"/>
      <c r="I590" s="97"/>
      <c r="J590" s="98"/>
      <c r="K590" s="99"/>
      <c r="L590" s="99"/>
      <c r="M590" s="99"/>
      <c r="N590" s="99"/>
      <c r="O590" s="99"/>
      <c r="P590" s="99"/>
      <c r="Q590" s="100"/>
      <c r="R590" s="100"/>
      <c r="S590" s="92"/>
      <c r="T590" s="92"/>
      <c r="U590" s="92"/>
      <c r="V590" s="92"/>
      <c r="W590" s="92"/>
      <c r="X590" s="92"/>
      <c r="Y590" s="92"/>
      <c r="Z590" s="92"/>
      <c r="AA590" s="93"/>
      <c r="AB590" s="93"/>
      <c r="AC590" s="93"/>
    </row>
    <row r="591" spans="3:29" ht="14.1" customHeight="1">
      <c r="C591" s="94"/>
      <c r="D591" s="95"/>
      <c r="E591" s="258"/>
      <c r="F591" s="96"/>
      <c r="G591" s="96"/>
      <c r="I591" s="97"/>
      <c r="J591" s="98"/>
      <c r="K591" s="99"/>
      <c r="L591" s="99"/>
      <c r="M591" s="99"/>
      <c r="N591" s="99"/>
      <c r="O591" s="99"/>
      <c r="P591" s="99"/>
      <c r="Q591" s="100"/>
      <c r="R591" s="100"/>
      <c r="S591" s="92"/>
      <c r="T591" s="92"/>
      <c r="U591" s="92"/>
      <c r="V591" s="92"/>
      <c r="W591" s="92"/>
      <c r="X591" s="92"/>
      <c r="Y591" s="92"/>
      <c r="Z591" s="92"/>
      <c r="AA591" s="93"/>
      <c r="AB591" s="93"/>
      <c r="AC591" s="93"/>
    </row>
    <row r="592" spans="3:29" ht="14.1" customHeight="1">
      <c r="C592" s="94"/>
      <c r="D592" s="95"/>
      <c r="E592" s="258"/>
      <c r="F592" s="96"/>
      <c r="G592" s="96"/>
      <c r="I592" s="97"/>
      <c r="J592" s="98"/>
      <c r="K592" s="99"/>
      <c r="L592" s="99"/>
      <c r="M592" s="99"/>
      <c r="N592" s="99"/>
      <c r="O592" s="99"/>
      <c r="P592" s="99"/>
      <c r="Q592" s="100"/>
      <c r="R592" s="100"/>
      <c r="S592" s="92"/>
      <c r="T592" s="92"/>
      <c r="U592" s="92"/>
      <c r="V592" s="92"/>
      <c r="W592" s="92"/>
      <c r="X592" s="92"/>
      <c r="Y592" s="92"/>
      <c r="Z592" s="92"/>
      <c r="AA592" s="93"/>
      <c r="AB592" s="93"/>
      <c r="AC592" s="93"/>
    </row>
    <row r="593" spans="3:29" ht="14.1" customHeight="1">
      <c r="C593" s="94"/>
      <c r="D593" s="95"/>
      <c r="E593" s="258"/>
      <c r="F593" s="96"/>
      <c r="G593" s="96"/>
      <c r="I593" s="97"/>
      <c r="J593" s="98"/>
      <c r="K593" s="99"/>
      <c r="L593" s="99"/>
      <c r="M593" s="99"/>
      <c r="N593" s="99"/>
      <c r="O593" s="99"/>
      <c r="P593" s="99"/>
      <c r="Q593" s="100"/>
      <c r="R593" s="100"/>
      <c r="S593" s="92"/>
      <c r="T593" s="92"/>
      <c r="U593" s="92"/>
      <c r="V593" s="92"/>
      <c r="W593" s="92"/>
      <c r="X593" s="92"/>
      <c r="Y593" s="92"/>
      <c r="Z593" s="92"/>
      <c r="AA593" s="93"/>
      <c r="AB593" s="93"/>
      <c r="AC593" s="93"/>
    </row>
    <row r="594" spans="3:29" ht="14.1" customHeight="1">
      <c r="C594" s="94"/>
      <c r="D594" s="95"/>
      <c r="E594" s="258"/>
      <c r="F594" s="96"/>
      <c r="G594" s="96"/>
      <c r="I594" s="97"/>
      <c r="J594" s="98"/>
      <c r="K594" s="99"/>
      <c r="L594" s="99"/>
      <c r="M594" s="99"/>
      <c r="N594" s="99"/>
      <c r="O594" s="99"/>
      <c r="P594" s="99"/>
      <c r="Q594" s="100"/>
      <c r="R594" s="100"/>
      <c r="S594" s="92"/>
      <c r="T594" s="92"/>
      <c r="U594" s="92"/>
      <c r="V594" s="92"/>
      <c r="W594" s="92"/>
      <c r="X594" s="92"/>
      <c r="Y594" s="92"/>
      <c r="Z594" s="92"/>
      <c r="AA594" s="93"/>
      <c r="AB594" s="93"/>
      <c r="AC594" s="93"/>
    </row>
    <row r="595" spans="3:29" ht="14.1" customHeight="1">
      <c r="C595" s="94"/>
      <c r="D595" s="95"/>
      <c r="E595" s="258"/>
      <c r="F595" s="96"/>
      <c r="G595" s="96"/>
      <c r="I595" s="97"/>
      <c r="J595" s="98"/>
      <c r="K595" s="99"/>
      <c r="L595" s="99"/>
      <c r="M595" s="99"/>
      <c r="N595" s="99"/>
      <c r="O595" s="99"/>
      <c r="P595" s="99"/>
      <c r="Q595" s="100"/>
      <c r="R595" s="100"/>
      <c r="S595" s="92"/>
      <c r="T595" s="92"/>
      <c r="U595" s="92"/>
      <c r="V595" s="92"/>
      <c r="W595" s="92"/>
      <c r="X595" s="92"/>
      <c r="Y595" s="92"/>
      <c r="Z595" s="92"/>
      <c r="AA595" s="93"/>
      <c r="AB595" s="93"/>
      <c r="AC595" s="93"/>
    </row>
    <row r="596" spans="3:29" ht="14.1" customHeight="1">
      <c r="C596" s="94"/>
      <c r="D596" s="95"/>
      <c r="E596" s="258"/>
      <c r="F596" s="96"/>
      <c r="G596" s="96"/>
      <c r="I596" s="97"/>
      <c r="J596" s="98"/>
      <c r="K596" s="99"/>
      <c r="L596" s="99"/>
      <c r="M596" s="99"/>
      <c r="N596" s="99"/>
      <c r="O596" s="99"/>
      <c r="P596" s="99"/>
      <c r="Q596" s="100"/>
      <c r="R596" s="100"/>
      <c r="S596" s="92"/>
      <c r="T596" s="92"/>
      <c r="U596" s="92"/>
      <c r="V596" s="92"/>
      <c r="W596" s="92"/>
      <c r="X596" s="92"/>
      <c r="Y596" s="92"/>
      <c r="Z596" s="92"/>
      <c r="AA596" s="93"/>
      <c r="AB596" s="93"/>
      <c r="AC596" s="93"/>
    </row>
    <row r="597" spans="3:29" ht="14.1" customHeight="1">
      <c r="C597" s="94"/>
      <c r="D597" s="95"/>
      <c r="E597" s="258"/>
      <c r="F597" s="96"/>
      <c r="G597" s="96"/>
      <c r="I597" s="97"/>
      <c r="J597" s="98"/>
      <c r="K597" s="99"/>
      <c r="L597" s="99"/>
      <c r="M597" s="99"/>
      <c r="N597" s="99"/>
      <c r="O597" s="99"/>
      <c r="P597" s="99"/>
      <c r="Q597" s="100"/>
      <c r="R597" s="100"/>
      <c r="S597" s="92"/>
      <c r="T597" s="92"/>
      <c r="U597" s="92"/>
      <c r="V597" s="92"/>
      <c r="W597" s="92"/>
      <c r="X597" s="92"/>
      <c r="Y597" s="92"/>
      <c r="Z597" s="92"/>
      <c r="AA597" s="93"/>
      <c r="AB597" s="93"/>
      <c r="AC597" s="93"/>
    </row>
    <row r="598" spans="3:29" ht="14.1" customHeight="1">
      <c r="C598" s="94"/>
      <c r="D598" s="95"/>
      <c r="E598" s="258"/>
      <c r="F598" s="96"/>
      <c r="G598" s="96"/>
      <c r="I598" s="97"/>
      <c r="J598" s="98"/>
      <c r="K598" s="99"/>
      <c r="L598" s="99"/>
      <c r="M598" s="99"/>
      <c r="N598" s="99"/>
      <c r="O598" s="99"/>
      <c r="P598" s="99"/>
      <c r="Q598" s="100"/>
      <c r="R598" s="100"/>
      <c r="S598" s="92"/>
      <c r="T598" s="92"/>
      <c r="U598" s="92"/>
      <c r="V598" s="92"/>
      <c r="W598" s="92"/>
      <c r="X598" s="92"/>
      <c r="Y598" s="92"/>
      <c r="Z598" s="92"/>
      <c r="AA598" s="93"/>
      <c r="AB598" s="93"/>
      <c r="AC598" s="93"/>
    </row>
    <row r="599" spans="3:29" ht="14.1" customHeight="1">
      <c r="C599" s="94"/>
      <c r="D599" s="95"/>
      <c r="E599" s="258"/>
      <c r="F599" s="96"/>
      <c r="G599" s="96"/>
      <c r="I599" s="97"/>
      <c r="J599" s="98"/>
      <c r="K599" s="99"/>
      <c r="L599" s="99"/>
      <c r="M599" s="99"/>
      <c r="N599" s="99"/>
      <c r="O599" s="99"/>
      <c r="P599" s="99"/>
      <c r="Q599" s="100"/>
      <c r="R599" s="100"/>
      <c r="S599" s="92"/>
      <c r="T599" s="92"/>
      <c r="U599" s="92"/>
      <c r="V599" s="92"/>
      <c r="W599" s="92"/>
      <c r="X599" s="92"/>
      <c r="Y599" s="92"/>
      <c r="Z599" s="92"/>
      <c r="AA599" s="93"/>
      <c r="AB599" s="93"/>
      <c r="AC599" s="93"/>
    </row>
    <row r="600" spans="3:29" ht="14.1" customHeight="1">
      <c r="C600" s="94"/>
      <c r="D600" s="95"/>
      <c r="E600" s="258"/>
      <c r="F600" s="96"/>
      <c r="G600" s="96"/>
      <c r="I600" s="97"/>
      <c r="J600" s="98"/>
      <c r="K600" s="99"/>
      <c r="L600" s="99"/>
      <c r="M600" s="99"/>
      <c r="N600" s="99"/>
      <c r="O600" s="99"/>
      <c r="P600" s="99"/>
      <c r="Q600" s="100"/>
      <c r="R600" s="100"/>
      <c r="S600" s="92"/>
      <c r="T600" s="92"/>
      <c r="U600" s="92"/>
      <c r="V600" s="92"/>
      <c r="W600" s="92"/>
      <c r="X600" s="92"/>
      <c r="Y600" s="92"/>
      <c r="Z600" s="92"/>
      <c r="AA600" s="93"/>
      <c r="AB600" s="93"/>
      <c r="AC600" s="93"/>
    </row>
    <row r="601" spans="3:29" ht="14.1" customHeight="1">
      <c r="C601" s="94"/>
      <c r="D601" s="95"/>
      <c r="E601" s="258"/>
      <c r="F601" s="96"/>
      <c r="G601" s="96"/>
      <c r="I601" s="97"/>
      <c r="J601" s="98"/>
      <c r="K601" s="99"/>
      <c r="L601" s="99"/>
      <c r="M601" s="99"/>
      <c r="N601" s="99"/>
      <c r="O601" s="99"/>
      <c r="P601" s="99"/>
      <c r="Q601" s="100"/>
      <c r="R601" s="100"/>
      <c r="S601" s="92"/>
      <c r="T601" s="92"/>
      <c r="U601" s="92"/>
      <c r="V601" s="92"/>
      <c r="W601" s="92"/>
      <c r="X601" s="92"/>
      <c r="Y601" s="92"/>
      <c r="Z601" s="92"/>
      <c r="AA601" s="93"/>
      <c r="AB601" s="93"/>
      <c r="AC601" s="93"/>
    </row>
    <row r="602" spans="3:29" ht="14.1" customHeight="1">
      <c r="C602" s="94"/>
      <c r="D602" s="95"/>
      <c r="E602" s="258"/>
      <c r="F602" s="96"/>
      <c r="G602" s="96"/>
      <c r="I602" s="97"/>
      <c r="J602" s="98"/>
      <c r="K602" s="99"/>
      <c r="L602" s="99"/>
      <c r="M602" s="99"/>
      <c r="N602" s="99"/>
      <c r="O602" s="99"/>
      <c r="P602" s="99"/>
      <c r="Q602" s="100"/>
      <c r="R602" s="100"/>
      <c r="S602" s="92"/>
      <c r="T602" s="92"/>
      <c r="U602" s="92"/>
      <c r="V602" s="92"/>
      <c r="W602" s="92"/>
      <c r="X602" s="92"/>
      <c r="Y602" s="92"/>
      <c r="Z602" s="92"/>
      <c r="AA602" s="93"/>
      <c r="AB602" s="93"/>
      <c r="AC602" s="93"/>
    </row>
    <row r="603" spans="3:29" ht="14.1" customHeight="1">
      <c r="C603" s="94"/>
      <c r="D603" s="95"/>
      <c r="E603" s="258"/>
      <c r="F603" s="96"/>
      <c r="G603" s="96"/>
      <c r="I603" s="97"/>
      <c r="J603" s="98"/>
      <c r="K603" s="99"/>
      <c r="L603" s="99"/>
      <c r="M603" s="99"/>
      <c r="N603" s="99"/>
      <c r="O603" s="99"/>
      <c r="P603" s="99"/>
      <c r="Q603" s="100"/>
      <c r="R603" s="100"/>
      <c r="S603" s="92"/>
      <c r="T603" s="92"/>
      <c r="U603" s="92"/>
      <c r="V603" s="92"/>
      <c r="W603" s="92"/>
      <c r="X603" s="92"/>
      <c r="Y603" s="92"/>
      <c r="Z603" s="92"/>
      <c r="AA603" s="93"/>
      <c r="AB603" s="93"/>
      <c r="AC603" s="93"/>
    </row>
    <row r="604" spans="3:29" ht="14.1" customHeight="1">
      <c r="C604" s="94"/>
      <c r="D604" s="95"/>
      <c r="E604" s="258"/>
      <c r="F604" s="96"/>
      <c r="G604" s="96"/>
      <c r="I604" s="97"/>
      <c r="J604" s="98"/>
      <c r="K604" s="99"/>
      <c r="L604" s="99"/>
      <c r="M604" s="99"/>
      <c r="N604" s="99"/>
      <c r="O604" s="99"/>
      <c r="P604" s="99"/>
      <c r="Q604" s="100"/>
      <c r="R604" s="100"/>
      <c r="S604" s="92"/>
      <c r="T604" s="92"/>
      <c r="U604" s="92"/>
      <c r="V604" s="92"/>
      <c r="W604" s="92"/>
      <c r="X604" s="92"/>
      <c r="Y604" s="92"/>
      <c r="Z604" s="92"/>
      <c r="AA604" s="93"/>
      <c r="AB604" s="93"/>
      <c r="AC604" s="93"/>
    </row>
    <row r="605" spans="3:29" ht="14.1" customHeight="1">
      <c r="C605" s="94"/>
      <c r="D605" s="95"/>
      <c r="E605" s="258"/>
      <c r="F605" s="96"/>
      <c r="G605" s="96"/>
      <c r="I605" s="97"/>
      <c r="J605" s="98"/>
      <c r="K605" s="99"/>
      <c r="L605" s="99"/>
      <c r="M605" s="99"/>
      <c r="N605" s="99"/>
      <c r="O605" s="99"/>
      <c r="P605" s="99"/>
      <c r="Q605" s="100"/>
      <c r="R605" s="100"/>
      <c r="S605" s="92"/>
      <c r="T605" s="92"/>
      <c r="U605" s="92"/>
      <c r="V605" s="92"/>
      <c r="W605" s="92"/>
      <c r="X605" s="92"/>
      <c r="Y605" s="92"/>
      <c r="Z605" s="92"/>
      <c r="AA605" s="93"/>
      <c r="AB605" s="93"/>
      <c r="AC605" s="93"/>
    </row>
    <row r="606" spans="3:29" ht="14.1" customHeight="1">
      <c r="C606" s="94"/>
      <c r="D606" s="95"/>
      <c r="E606" s="258"/>
      <c r="F606" s="96"/>
      <c r="G606" s="96"/>
      <c r="I606" s="97"/>
      <c r="J606" s="98"/>
      <c r="K606" s="99"/>
      <c r="L606" s="99"/>
      <c r="M606" s="99"/>
      <c r="N606" s="99"/>
      <c r="O606" s="99"/>
      <c r="P606" s="99"/>
      <c r="Q606" s="100"/>
      <c r="R606" s="100"/>
      <c r="S606" s="92"/>
      <c r="T606" s="92"/>
      <c r="U606" s="92"/>
      <c r="V606" s="92"/>
      <c r="W606" s="92"/>
      <c r="X606" s="92"/>
      <c r="Y606" s="92"/>
      <c r="Z606" s="92"/>
      <c r="AA606" s="93"/>
      <c r="AB606" s="93"/>
      <c r="AC606" s="93"/>
    </row>
    <row r="607" spans="3:29" ht="14.1" customHeight="1">
      <c r="C607" s="94"/>
      <c r="D607" s="95"/>
      <c r="E607" s="258"/>
      <c r="F607" s="96"/>
      <c r="G607" s="96"/>
      <c r="I607" s="97"/>
      <c r="J607" s="98"/>
      <c r="K607" s="99"/>
      <c r="L607" s="99"/>
      <c r="M607" s="99"/>
      <c r="N607" s="99"/>
      <c r="O607" s="99"/>
      <c r="P607" s="99"/>
      <c r="Q607" s="100"/>
      <c r="R607" s="100"/>
      <c r="S607" s="92"/>
      <c r="T607" s="92"/>
      <c r="U607" s="92"/>
      <c r="V607" s="92"/>
      <c r="W607" s="92"/>
      <c r="X607" s="92"/>
      <c r="Y607" s="92"/>
      <c r="Z607" s="92"/>
      <c r="AA607" s="93"/>
      <c r="AB607" s="93"/>
      <c r="AC607" s="93"/>
    </row>
    <row r="608" spans="3:29" ht="14.1" customHeight="1">
      <c r="C608" s="94"/>
      <c r="D608" s="95"/>
      <c r="E608" s="258"/>
      <c r="F608" s="96"/>
      <c r="G608" s="96"/>
      <c r="I608" s="97"/>
      <c r="J608" s="98"/>
      <c r="K608" s="99"/>
      <c r="L608" s="99"/>
      <c r="M608" s="99"/>
      <c r="N608" s="99"/>
      <c r="O608" s="99"/>
      <c r="P608" s="99"/>
      <c r="Q608" s="100"/>
      <c r="R608" s="100"/>
      <c r="S608" s="92"/>
      <c r="T608" s="92"/>
      <c r="U608" s="92"/>
      <c r="V608" s="92"/>
      <c r="W608" s="92"/>
      <c r="X608" s="92"/>
      <c r="Y608" s="92"/>
      <c r="Z608" s="92"/>
      <c r="AA608" s="93"/>
      <c r="AB608" s="93"/>
      <c r="AC608" s="93"/>
    </row>
    <row r="609" spans="3:29" ht="14.1" customHeight="1">
      <c r="C609" s="94"/>
      <c r="D609" s="95"/>
      <c r="E609" s="258"/>
      <c r="F609" s="96"/>
      <c r="G609" s="96"/>
      <c r="I609" s="97"/>
      <c r="J609" s="98"/>
      <c r="K609" s="99"/>
      <c r="L609" s="99"/>
      <c r="M609" s="99"/>
      <c r="N609" s="99"/>
      <c r="O609" s="99"/>
      <c r="P609" s="99"/>
      <c r="Q609" s="100"/>
      <c r="R609" s="100"/>
      <c r="S609" s="92"/>
      <c r="T609" s="92"/>
      <c r="U609" s="92"/>
      <c r="V609" s="92"/>
      <c r="W609" s="92"/>
      <c r="X609" s="92"/>
      <c r="Y609" s="92"/>
      <c r="Z609" s="92"/>
      <c r="AA609" s="93"/>
      <c r="AB609" s="93"/>
      <c r="AC609" s="93"/>
    </row>
    <row r="610" spans="3:29" ht="14.1" customHeight="1">
      <c r="C610" s="94"/>
      <c r="D610" s="95"/>
      <c r="E610" s="258"/>
      <c r="F610" s="96"/>
      <c r="G610" s="96"/>
      <c r="I610" s="97"/>
      <c r="J610" s="98"/>
      <c r="K610" s="99"/>
      <c r="L610" s="99"/>
      <c r="M610" s="99"/>
      <c r="N610" s="99"/>
      <c r="O610" s="99"/>
      <c r="P610" s="99"/>
      <c r="Q610" s="100"/>
      <c r="R610" s="100"/>
      <c r="S610" s="92"/>
      <c r="T610" s="92"/>
      <c r="U610" s="92"/>
      <c r="V610" s="92"/>
      <c r="W610" s="92"/>
      <c r="X610" s="92"/>
      <c r="Y610" s="92"/>
      <c r="Z610" s="92"/>
      <c r="AA610" s="93"/>
      <c r="AB610" s="93"/>
      <c r="AC610" s="93"/>
    </row>
    <row r="611" spans="3:29" ht="14.1" customHeight="1">
      <c r="C611" s="94"/>
      <c r="D611" s="95"/>
      <c r="E611" s="258"/>
      <c r="F611" s="96"/>
      <c r="G611" s="96"/>
      <c r="I611" s="97"/>
      <c r="J611" s="98"/>
      <c r="K611" s="99"/>
      <c r="L611" s="99"/>
      <c r="M611" s="99"/>
      <c r="N611" s="99"/>
      <c r="O611" s="99"/>
      <c r="P611" s="99"/>
      <c r="Q611" s="100"/>
      <c r="R611" s="100"/>
      <c r="S611" s="92"/>
      <c r="T611" s="92"/>
      <c r="U611" s="92"/>
      <c r="V611" s="92"/>
      <c r="W611" s="92"/>
      <c r="X611" s="92"/>
      <c r="Y611" s="92"/>
      <c r="Z611" s="92"/>
      <c r="AA611" s="93"/>
      <c r="AB611" s="93"/>
      <c r="AC611" s="93"/>
    </row>
    <row r="612" spans="3:29" ht="14.1" customHeight="1">
      <c r="C612" s="94"/>
      <c r="D612" s="95"/>
      <c r="E612" s="258"/>
      <c r="F612" s="96"/>
      <c r="G612" s="96"/>
      <c r="I612" s="97"/>
      <c r="J612" s="98"/>
      <c r="K612" s="99"/>
      <c r="L612" s="99"/>
      <c r="M612" s="99"/>
      <c r="N612" s="99"/>
      <c r="O612" s="99"/>
      <c r="P612" s="99"/>
      <c r="Q612" s="100"/>
      <c r="R612" s="100"/>
      <c r="S612" s="92"/>
      <c r="T612" s="92"/>
      <c r="U612" s="92"/>
      <c r="V612" s="92"/>
      <c r="W612" s="92"/>
      <c r="X612" s="92"/>
      <c r="Y612" s="92"/>
      <c r="Z612" s="92"/>
      <c r="AA612" s="93"/>
      <c r="AB612" s="93"/>
      <c r="AC612" s="93"/>
    </row>
    <row r="613" spans="3:29" ht="14.1" customHeight="1">
      <c r="C613" s="94"/>
      <c r="D613" s="95"/>
      <c r="E613" s="258"/>
      <c r="F613" s="96"/>
      <c r="G613" s="96"/>
      <c r="I613" s="97"/>
      <c r="J613" s="98"/>
      <c r="K613" s="99"/>
      <c r="L613" s="99"/>
      <c r="M613" s="99"/>
      <c r="N613" s="99"/>
      <c r="O613" s="99"/>
      <c r="P613" s="99"/>
      <c r="Q613" s="100"/>
      <c r="R613" s="100"/>
      <c r="S613" s="92"/>
      <c r="T613" s="92"/>
      <c r="U613" s="92"/>
      <c r="V613" s="92"/>
      <c r="W613" s="92"/>
      <c r="X613" s="92"/>
      <c r="Y613" s="92"/>
      <c r="Z613" s="92"/>
      <c r="AA613" s="93"/>
      <c r="AB613" s="93"/>
      <c r="AC613" s="93"/>
    </row>
    <row r="614" spans="3:29" ht="14.1" customHeight="1">
      <c r="C614" s="94"/>
      <c r="D614" s="95"/>
      <c r="E614" s="258"/>
      <c r="F614" s="96"/>
      <c r="G614" s="96"/>
      <c r="I614" s="97"/>
      <c r="J614" s="98"/>
      <c r="K614" s="99"/>
      <c r="L614" s="99"/>
      <c r="M614" s="99"/>
      <c r="N614" s="99"/>
      <c r="O614" s="99"/>
      <c r="P614" s="99"/>
      <c r="Q614" s="100"/>
      <c r="R614" s="100"/>
      <c r="S614" s="92"/>
      <c r="T614" s="92"/>
      <c r="U614" s="92"/>
      <c r="V614" s="92"/>
      <c r="W614" s="92"/>
      <c r="X614" s="92"/>
      <c r="Y614" s="92"/>
      <c r="Z614" s="92"/>
      <c r="AA614" s="93"/>
      <c r="AB614" s="93"/>
      <c r="AC614" s="93"/>
    </row>
    <row r="615" spans="3:29" ht="14.1" customHeight="1">
      <c r="C615" s="94"/>
      <c r="D615" s="95"/>
      <c r="E615" s="258"/>
      <c r="F615" s="96"/>
      <c r="G615" s="96"/>
      <c r="I615" s="97"/>
      <c r="J615" s="98"/>
      <c r="K615" s="99"/>
      <c r="L615" s="99"/>
      <c r="M615" s="99"/>
      <c r="N615" s="99"/>
      <c r="O615" s="99"/>
      <c r="P615" s="99"/>
      <c r="Q615" s="100"/>
      <c r="R615" s="100"/>
      <c r="S615" s="92"/>
      <c r="T615" s="92"/>
      <c r="U615" s="92"/>
      <c r="V615" s="92"/>
      <c r="W615" s="92"/>
      <c r="X615" s="92"/>
      <c r="Y615" s="92"/>
      <c r="Z615" s="92"/>
      <c r="AA615" s="93"/>
      <c r="AB615" s="93"/>
      <c r="AC615" s="93"/>
    </row>
    <row r="616" spans="3:29" ht="14.1" customHeight="1">
      <c r="C616" s="94"/>
      <c r="D616" s="95"/>
      <c r="E616" s="258"/>
      <c r="F616" s="96"/>
      <c r="G616" s="96"/>
      <c r="I616" s="97"/>
      <c r="J616" s="98"/>
      <c r="K616" s="99"/>
      <c r="L616" s="99"/>
      <c r="M616" s="99"/>
      <c r="N616" s="99"/>
      <c r="O616" s="99"/>
      <c r="P616" s="99"/>
      <c r="Q616" s="100"/>
      <c r="R616" s="100"/>
      <c r="S616" s="92"/>
      <c r="T616" s="92"/>
      <c r="U616" s="92"/>
      <c r="V616" s="92"/>
      <c r="W616" s="92"/>
      <c r="X616" s="92"/>
      <c r="Y616" s="92"/>
      <c r="Z616" s="92"/>
      <c r="AA616" s="93"/>
      <c r="AB616" s="93"/>
      <c r="AC616" s="93"/>
    </row>
    <row r="617" spans="3:29" ht="14.1" customHeight="1">
      <c r="C617" s="94"/>
      <c r="D617" s="95"/>
      <c r="E617" s="258"/>
      <c r="F617" s="96"/>
      <c r="G617" s="96"/>
      <c r="I617" s="97"/>
      <c r="J617" s="98"/>
      <c r="K617" s="99"/>
      <c r="L617" s="99"/>
      <c r="M617" s="99"/>
      <c r="N617" s="99"/>
      <c r="O617" s="99"/>
      <c r="P617" s="99"/>
      <c r="Q617" s="100"/>
      <c r="R617" s="100"/>
      <c r="S617" s="92"/>
      <c r="T617" s="92"/>
      <c r="U617" s="92"/>
      <c r="V617" s="92"/>
      <c r="W617" s="92"/>
      <c r="X617" s="92"/>
      <c r="Y617" s="92"/>
      <c r="Z617" s="92"/>
      <c r="AA617" s="93"/>
      <c r="AB617" s="93"/>
      <c r="AC617" s="93"/>
    </row>
    <row r="618" spans="3:29" ht="14.1" customHeight="1">
      <c r="C618" s="94"/>
      <c r="D618" s="95"/>
      <c r="E618" s="258"/>
      <c r="F618" s="96"/>
      <c r="G618" s="96"/>
      <c r="I618" s="97"/>
      <c r="J618" s="98"/>
      <c r="K618" s="99"/>
      <c r="L618" s="99"/>
      <c r="M618" s="99"/>
      <c r="N618" s="99"/>
      <c r="O618" s="99"/>
      <c r="P618" s="99"/>
      <c r="Q618" s="100"/>
      <c r="R618" s="100"/>
      <c r="S618" s="92"/>
      <c r="T618" s="92"/>
      <c r="U618" s="92"/>
      <c r="V618" s="92"/>
      <c r="W618" s="92"/>
      <c r="X618" s="92"/>
      <c r="Y618" s="92"/>
      <c r="Z618" s="92"/>
      <c r="AA618" s="93"/>
      <c r="AB618" s="93"/>
      <c r="AC618" s="93"/>
    </row>
    <row r="619" spans="3:29" ht="14.1" customHeight="1">
      <c r="C619" s="94"/>
      <c r="D619" s="95"/>
      <c r="E619" s="258"/>
      <c r="F619" s="96"/>
      <c r="G619" s="96"/>
      <c r="I619" s="97"/>
      <c r="J619" s="98"/>
      <c r="K619" s="99"/>
      <c r="L619" s="99"/>
      <c r="M619" s="99"/>
      <c r="N619" s="99"/>
      <c r="O619" s="99"/>
      <c r="P619" s="99"/>
      <c r="Q619" s="100"/>
      <c r="R619" s="100"/>
      <c r="S619" s="92"/>
      <c r="T619" s="92"/>
      <c r="U619" s="92"/>
      <c r="V619" s="92"/>
      <c r="W619" s="92"/>
      <c r="X619" s="92"/>
      <c r="Y619" s="92"/>
      <c r="Z619" s="92"/>
      <c r="AA619" s="93"/>
      <c r="AB619" s="93"/>
      <c r="AC619" s="93"/>
    </row>
    <row r="620" spans="3:29" ht="14.1" customHeight="1">
      <c r="C620" s="94"/>
      <c r="D620" s="95"/>
      <c r="E620" s="258"/>
      <c r="F620" s="96"/>
      <c r="G620" s="96"/>
      <c r="I620" s="97"/>
      <c r="J620" s="98"/>
      <c r="K620" s="99"/>
      <c r="L620" s="99"/>
      <c r="M620" s="99"/>
      <c r="N620" s="99"/>
      <c r="O620" s="99"/>
      <c r="P620" s="99"/>
      <c r="Q620" s="100"/>
      <c r="R620" s="100"/>
      <c r="S620" s="92"/>
      <c r="T620" s="92"/>
      <c r="U620" s="92"/>
      <c r="V620" s="92"/>
      <c r="W620" s="92"/>
      <c r="X620" s="92"/>
      <c r="Y620" s="92"/>
      <c r="Z620" s="92"/>
      <c r="AA620" s="93"/>
      <c r="AB620" s="93"/>
      <c r="AC620" s="93"/>
    </row>
    <row r="621" spans="3:29" ht="14.1" customHeight="1">
      <c r="C621" s="94"/>
      <c r="D621" s="95"/>
      <c r="E621" s="258"/>
      <c r="F621" s="96"/>
      <c r="G621" s="96"/>
      <c r="I621" s="97"/>
      <c r="J621" s="98"/>
      <c r="K621" s="99"/>
      <c r="L621" s="99"/>
      <c r="M621" s="99"/>
      <c r="N621" s="99"/>
      <c r="O621" s="99"/>
      <c r="P621" s="99"/>
      <c r="Q621" s="100"/>
      <c r="R621" s="100"/>
      <c r="S621" s="92"/>
      <c r="T621" s="92"/>
      <c r="U621" s="92"/>
      <c r="V621" s="92"/>
      <c r="W621" s="92"/>
      <c r="X621" s="92"/>
      <c r="Y621" s="92"/>
      <c r="Z621" s="92"/>
      <c r="AA621" s="93"/>
      <c r="AB621" s="93"/>
      <c r="AC621" s="93"/>
    </row>
    <row r="622" spans="3:29" ht="14.1" customHeight="1">
      <c r="C622" s="94"/>
      <c r="D622" s="95"/>
      <c r="E622" s="258"/>
      <c r="F622" s="96"/>
      <c r="G622" s="96"/>
      <c r="I622" s="97"/>
      <c r="J622" s="98"/>
      <c r="K622" s="99"/>
      <c r="L622" s="99"/>
      <c r="M622" s="99"/>
      <c r="N622" s="99"/>
      <c r="O622" s="99"/>
      <c r="P622" s="99"/>
      <c r="Q622" s="100"/>
      <c r="R622" s="100"/>
      <c r="S622" s="92"/>
      <c r="T622" s="92"/>
      <c r="U622" s="92"/>
      <c r="V622" s="92"/>
      <c r="W622" s="92"/>
      <c r="X622" s="92"/>
      <c r="Y622" s="92"/>
      <c r="Z622" s="92"/>
      <c r="AA622" s="93"/>
      <c r="AB622" s="93"/>
      <c r="AC622" s="93"/>
    </row>
    <row r="623" spans="3:29" ht="14.1" customHeight="1">
      <c r="C623" s="94"/>
      <c r="D623" s="95"/>
      <c r="E623" s="258"/>
      <c r="F623" s="96"/>
      <c r="G623" s="96"/>
      <c r="I623" s="97"/>
      <c r="J623" s="98"/>
      <c r="K623" s="99"/>
      <c r="L623" s="99"/>
      <c r="M623" s="99"/>
      <c r="N623" s="99"/>
      <c r="O623" s="99"/>
      <c r="P623" s="99"/>
      <c r="Q623" s="100"/>
      <c r="R623" s="100"/>
      <c r="S623" s="92"/>
      <c r="T623" s="92"/>
      <c r="U623" s="92"/>
      <c r="V623" s="92"/>
      <c r="W623" s="92"/>
      <c r="X623" s="92"/>
      <c r="Y623" s="92"/>
      <c r="Z623" s="92"/>
      <c r="AA623" s="93"/>
      <c r="AB623" s="93"/>
      <c r="AC623" s="93"/>
    </row>
    <row r="624" spans="3:29" ht="14.1" customHeight="1">
      <c r="C624" s="94"/>
      <c r="D624" s="95"/>
      <c r="E624" s="258"/>
      <c r="F624" s="96"/>
      <c r="G624" s="96"/>
      <c r="I624" s="97"/>
      <c r="J624" s="98"/>
      <c r="K624" s="99"/>
      <c r="L624" s="99"/>
      <c r="M624" s="99"/>
      <c r="N624" s="99"/>
      <c r="O624" s="99"/>
      <c r="P624" s="99"/>
      <c r="Q624" s="100"/>
      <c r="R624" s="100"/>
      <c r="S624" s="92"/>
      <c r="T624" s="92"/>
      <c r="U624" s="92"/>
      <c r="V624" s="92"/>
      <c r="W624" s="92"/>
      <c r="X624" s="92"/>
      <c r="Y624" s="92"/>
      <c r="Z624" s="92"/>
      <c r="AA624" s="93"/>
      <c r="AB624" s="93"/>
      <c r="AC624" s="93"/>
    </row>
    <row r="625" spans="3:29" ht="14.1" customHeight="1">
      <c r="C625" s="94"/>
      <c r="D625" s="95"/>
      <c r="E625" s="258"/>
      <c r="F625" s="96"/>
      <c r="G625" s="96"/>
      <c r="I625" s="97"/>
      <c r="J625" s="98"/>
      <c r="K625" s="99"/>
      <c r="L625" s="99"/>
      <c r="M625" s="99"/>
      <c r="N625" s="99"/>
      <c r="O625" s="99"/>
      <c r="P625" s="99"/>
      <c r="Q625" s="100"/>
      <c r="R625" s="100"/>
      <c r="S625" s="92"/>
      <c r="T625" s="92"/>
      <c r="U625" s="92"/>
      <c r="V625" s="92"/>
      <c r="W625" s="92"/>
      <c r="X625" s="92"/>
      <c r="Y625" s="92"/>
      <c r="Z625" s="92"/>
      <c r="AA625" s="93"/>
      <c r="AB625" s="93"/>
      <c r="AC625" s="93"/>
    </row>
    <row r="626" spans="3:29" ht="14.1" customHeight="1">
      <c r="C626" s="94"/>
      <c r="D626" s="95"/>
      <c r="E626" s="258"/>
      <c r="F626" s="96"/>
      <c r="G626" s="96"/>
      <c r="I626" s="97"/>
      <c r="J626" s="98"/>
      <c r="K626" s="99"/>
      <c r="L626" s="99"/>
      <c r="M626" s="99"/>
      <c r="N626" s="99"/>
      <c r="O626" s="99"/>
      <c r="P626" s="99"/>
      <c r="Q626" s="100"/>
      <c r="R626" s="100"/>
      <c r="S626" s="92"/>
      <c r="T626" s="92"/>
      <c r="U626" s="92"/>
      <c r="V626" s="92"/>
      <c r="W626" s="92"/>
      <c r="X626" s="92"/>
      <c r="Y626" s="92"/>
      <c r="Z626" s="92"/>
      <c r="AA626" s="93"/>
      <c r="AB626" s="93"/>
      <c r="AC626" s="93"/>
    </row>
    <row r="627" spans="3:29" ht="14.1" customHeight="1">
      <c r="C627" s="94"/>
      <c r="D627" s="95"/>
      <c r="E627" s="258"/>
      <c r="F627" s="96"/>
      <c r="G627" s="96"/>
      <c r="I627" s="97"/>
      <c r="J627" s="98"/>
      <c r="K627" s="99"/>
      <c r="L627" s="99"/>
      <c r="M627" s="99"/>
      <c r="N627" s="99"/>
      <c r="O627" s="99"/>
      <c r="P627" s="99"/>
      <c r="Q627" s="100"/>
      <c r="R627" s="100"/>
      <c r="S627" s="92"/>
      <c r="T627" s="92"/>
      <c r="U627" s="92"/>
      <c r="V627" s="92"/>
      <c r="W627" s="92"/>
      <c r="X627" s="92"/>
      <c r="Y627" s="92"/>
      <c r="Z627" s="92"/>
      <c r="AA627" s="93"/>
      <c r="AB627" s="93"/>
      <c r="AC627" s="93"/>
    </row>
    <row r="628" spans="3:29" ht="14.1" customHeight="1">
      <c r="C628" s="94"/>
      <c r="D628" s="95"/>
      <c r="E628" s="258"/>
      <c r="F628" s="96"/>
      <c r="G628" s="96"/>
      <c r="I628" s="97"/>
      <c r="J628" s="98"/>
      <c r="K628" s="99"/>
      <c r="L628" s="99"/>
      <c r="M628" s="99"/>
      <c r="N628" s="99"/>
      <c r="O628" s="99"/>
      <c r="P628" s="99"/>
      <c r="Q628" s="100"/>
      <c r="R628" s="100"/>
      <c r="S628" s="92"/>
      <c r="T628" s="92"/>
      <c r="U628" s="92"/>
      <c r="V628" s="92"/>
      <c r="W628" s="92"/>
      <c r="X628" s="92"/>
      <c r="Y628" s="92"/>
      <c r="Z628" s="92"/>
      <c r="AA628" s="93"/>
      <c r="AB628" s="93"/>
      <c r="AC628" s="93"/>
    </row>
    <row r="629" spans="3:29" ht="14.1" customHeight="1">
      <c r="C629" s="94"/>
      <c r="D629" s="95"/>
      <c r="E629" s="258"/>
      <c r="F629" s="96"/>
      <c r="G629" s="96"/>
      <c r="I629" s="97"/>
      <c r="J629" s="98"/>
      <c r="K629" s="99"/>
      <c r="L629" s="99"/>
      <c r="M629" s="99"/>
      <c r="N629" s="99"/>
      <c r="O629" s="99"/>
      <c r="P629" s="99"/>
      <c r="Q629" s="100"/>
      <c r="R629" s="100"/>
      <c r="S629" s="92"/>
      <c r="T629" s="92"/>
      <c r="U629" s="92"/>
      <c r="V629" s="92"/>
      <c r="W629" s="92"/>
      <c r="X629" s="92"/>
      <c r="Y629" s="92"/>
      <c r="Z629" s="92"/>
      <c r="AA629" s="93"/>
      <c r="AB629" s="93"/>
      <c r="AC629" s="93"/>
    </row>
    <row r="630" spans="3:29" ht="14.1" customHeight="1">
      <c r="C630" s="94"/>
      <c r="D630" s="95"/>
      <c r="E630" s="258"/>
      <c r="F630" s="96"/>
      <c r="G630" s="96"/>
      <c r="I630" s="97"/>
      <c r="J630" s="98"/>
      <c r="K630" s="99"/>
      <c r="L630" s="99"/>
      <c r="M630" s="99"/>
      <c r="N630" s="99"/>
      <c r="O630" s="99"/>
      <c r="P630" s="99"/>
      <c r="Q630" s="100"/>
      <c r="R630" s="100"/>
      <c r="S630" s="92"/>
      <c r="T630" s="92"/>
      <c r="U630" s="92"/>
      <c r="V630" s="92"/>
      <c r="W630" s="92"/>
      <c r="X630" s="92"/>
      <c r="Y630" s="92"/>
      <c r="Z630" s="92"/>
      <c r="AA630" s="93"/>
      <c r="AB630" s="93"/>
      <c r="AC630" s="93"/>
    </row>
    <row r="631" spans="3:29" ht="14.1" customHeight="1">
      <c r="C631" s="94"/>
      <c r="D631" s="95"/>
      <c r="E631" s="258"/>
      <c r="F631" s="96"/>
      <c r="G631" s="96"/>
      <c r="I631" s="97"/>
      <c r="J631" s="98"/>
      <c r="K631" s="99"/>
      <c r="L631" s="99"/>
      <c r="M631" s="99"/>
      <c r="N631" s="99"/>
      <c r="O631" s="99"/>
      <c r="P631" s="99"/>
      <c r="Q631" s="100"/>
      <c r="R631" s="100"/>
      <c r="S631" s="92"/>
      <c r="T631" s="92"/>
      <c r="U631" s="92"/>
      <c r="V631" s="92"/>
      <c r="W631" s="92"/>
      <c r="X631" s="92"/>
      <c r="Y631" s="92"/>
      <c r="Z631" s="92"/>
      <c r="AA631" s="93"/>
      <c r="AB631" s="93"/>
      <c r="AC631" s="93"/>
    </row>
    <row r="632" spans="3:29" ht="14.1" customHeight="1">
      <c r="C632" s="94"/>
      <c r="D632" s="95"/>
      <c r="E632" s="258"/>
      <c r="F632" s="96"/>
      <c r="G632" s="96"/>
      <c r="I632" s="97"/>
      <c r="J632" s="98"/>
      <c r="K632" s="99"/>
      <c r="L632" s="99"/>
      <c r="M632" s="99"/>
      <c r="N632" s="99"/>
      <c r="O632" s="99"/>
      <c r="P632" s="99"/>
      <c r="Q632" s="100"/>
      <c r="R632" s="100"/>
      <c r="S632" s="92"/>
      <c r="T632" s="92"/>
      <c r="U632" s="92"/>
      <c r="V632" s="92"/>
      <c r="W632" s="92"/>
      <c r="X632" s="92"/>
      <c r="Y632" s="92"/>
      <c r="Z632" s="92"/>
      <c r="AA632" s="93"/>
      <c r="AB632" s="93"/>
      <c r="AC632" s="93"/>
    </row>
    <row r="633" spans="3:29" ht="14.1" customHeight="1">
      <c r="C633" s="94"/>
      <c r="D633" s="95"/>
      <c r="E633" s="258"/>
      <c r="F633" s="96"/>
      <c r="G633" s="96"/>
      <c r="I633" s="97"/>
      <c r="J633" s="98"/>
      <c r="K633" s="99"/>
      <c r="L633" s="99"/>
      <c r="M633" s="99"/>
      <c r="N633" s="99"/>
      <c r="O633" s="99"/>
      <c r="P633" s="99"/>
      <c r="Q633" s="100"/>
      <c r="R633" s="100"/>
      <c r="S633" s="92"/>
      <c r="T633" s="92"/>
      <c r="U633" s="92"/>
      <c r="V633" s="92"/>
      <c r="W633" s="92"/>
      <c r="X633" s="92"/>
      <c r="Y633" s="92"/>
      <c r="Z633" s="92"/>
      <c r="AA633" s="93"/>
      <c r="AB633" s="93"/>
      <c r="AC633" s="93"/>
    </row>
    <row r="634" spans="3:29" ht="14.1" customHeight="1">
      <c r="C634" s="94"/>
      <c r="D634" s="95"/>
      <c r="E634" s="258"/>
      <c r="F634" s="96"/>
      <c r="G634" s="96"/>
      <c r="I634" s="97"/>
      <c r="J634" s="98"/>
      <c r="K634" s="99"/>
      <c r="L634" s="99"/>
      <c r="M634" s="99"/>
      <c r="N634" s="99"/>
      <c r="O634" s="99"/>
      <c r="P634" s="99"/>
      <c r="Q634" s="100"/>
      <c r="R634" s="100"/>
      <c r="S634" s="92"/>
      <c r="T634" s="92"/>
      <c r="U634" s="92"/>
      <c r="V634" s="92"/>
      <c r="W634" s="92"/>
      <c r="X634" s="92"/>
      <c r="Y634" s="92"/>
      <c r="Z634" s="92"/>
      <c r="AA634" s="93"/>
      <c r="AB634" s="93"/>
      <c r="AC634" s="93"/>
    </row>
    <row r="635" spans="3:29" ht="14.1" customHeight="1">
      <c r="C635" s="94"/>
      <c r="D635" s="95"/>
      <c r="E635" s="258"/>
      <c r="F635" s="96"/>
      <c r="G635" s="96"/>
      <c r="I635" s="97"/>
      <c r="J635" s="98"/>
      <c r="K635" s="99"/>
      <c r="L635" s="99"/>
      <c r="M635" s="99"/>
      <c r="N635" s="99"/>
      <c r="O635" s="99"/>
      <c r="P635" s="99"/>
      <c r="Q635" s="100"/>
      <c r="R635" s="100"/>
      <c r="S635" s="92"/>
      <c r="T635" s="92"/>
      <c r="U635" s="92"/>
      <c r="V635" s="92"/>
      <c r="W635" s="92"/>
      <c r="X635" s="92"/>
      <c r="Y635" s="92"/>
      <c r="Z635" s="92"/>
      <c r="AA635" s="93"/>
      <c r="AB635" s="93"/>
      <c r="AC635" s="93"/>
    </row>
    <row r="636" spans="3:29" ht="14.1" customHeight="1">
      <c r="C636" s="94"/>
      <c r="D636" s="95"/>
      <c r="E636" s="258"/>
      <c r="F636" s="96"/>
      <c r="G636" s="96"/>
      <c r="I636" s="97"/>
      <c r="J636" s="98"/>
      <c r="K636" s="99"/>
      <c r="L636" s="99"/>
      <c r="M636" s="99"/>
      <c r="N636" s="99"/>
      <c r="O636" s="99"/>
      <c r="P636" s="99"/>
      <c r="Q636" s="100"/>
      <c r="R636" s="100"/>
      <c r="S636" s="92"/>
      <c r="T636" s="92"/>
      <c r="U636" s="92"/>
      <c r="V636" s="92"/>
      <c r="W636" s="92"/>
      <c r="X636" s="92"/>
      <c r="Y636" s="92"/>
      <c r="Z636" s="92"/>
      <c r="AA636" s="93"/>
      <c r="AB636" s="93"/>
      <c r="AC636" s="93"/>
    </row>
    <row r="637" spans="3:29" ht="14.1" customHeight="1">
      <c r="C637" s="94"/>
      <c r="D637" s="95"/>
      <c r="E637" s="258"/>
      <c r="F637" s="96"/>
      <c r="G637" s="96"/>
      <c r="I637" s="97"/>
      <c r="J637" s="98"/>
      <c r="K637" s="99"/>
      <c r="L637" s="99"/>
      <c r="M637" s="99"/>
      <c r="N637" s="99"/>
      <c r="O637" s="99"/>
      <c r="P637" s="99"/>
      <c r="Q637" s="100"/>
      <c r="R637" s="100"/>
      <c r="S637" s="92"/>
      <c r="T637" s="92"/>
      <c r="U637" s="92"/>
      <c r="V637" s="92"/>
      <c r="W637" s="92"/>
      <c r="X637" s="92"/>
      <c r="Y637" s="92"/>
      <c r="Z637" s="92"/>
      <c r="AA637" s="93"/>
      <c r="AB637" s="93"/>
      <c r="AC637" s="93"/>
    </row>
    <row r="638" spans="3:29" ht="14.1" customHeight="1">
      <c r="C638" s="94"/>
      <c r="D638" s="95"/>
      <c r="E638" s="258"/>
      <c r="F638" s="96"/>
      <c r="G638" s="96"/>
      <c r="I638" s="97"/>
      <c r="J638" s="98"/>
      <c r="K638" s="99"/>
      <c r="L638" s="99"/>
      <c r="M638" s="99"/>
      <c r="N638" s="99"/>
      <c r="O638" s="99"/>
      <c r="P638" s="99"/>
      <c r="Q638" s="100"/>
      <c r="R638" s="100"/>
      <c r="S638" s="92"/>
      <c r="T638" s="92"/>
      <c r="U638" s="92"/>
      <c r="V638" s="92"/>
      <c r="W638" s="92"/>
      <c r="X638" s="92"/>
      <c r="Y638" s="92"/>
      <c r="Z638" s="92"/>
      <c r="AA638" s="93"/>
      <c r="AB638" s="93"/>
      <c r="AC638" s="93"/>
    </row>
    <row r="639" spans="3:29" ht="14.1" customHeight="1">
      <c r="C639" s="94"/>
      <c r="D639" s="95"/>
      <c r="E639" s="258"/>
      <c r="F639" s="96"/>
      <c r="G639" s="96"/>
      <c r="I639" s="97"/>
      <c r="J639" s="98"/>
      <c r="K639" s="99"/>
      <c r="L639" s="99"/>
      <c r="M639" s="99"/>
      <c r="N639" s="99"/>
      <c r="O639" s="99"/>
      <c r="P639" s="99"/>
      <c r="Q639" s="100"/>
      <c r="R639" s="100"/>
      <c r="S639" s="92"/>
      <c r="T639" s="92"/>
      <c r="U639" s="92"/>
      <c r="V639" s="92"/>
      <c r="W639" s="92"/>
      <c r="X639" s="92"/>
      <c r="Y639" s="92"/>
      <c r="Z639" s="92"/>
      <c r="AA639" s="93"/>
      <c r="AB639" s="93"/>
      <c r="AC639" s="93"/>
    </row>
    <row r="640" spans="3:29" ht="14.1" customHeight="1">
      <c r="C640" s="94"/>
      <c r="D640" s="95"/>
      <c r="E640" s="258"/>
      <c r="F640" s="96"/>
      <c r="G640" s="96"/>
      <c r="I640" s="97"/>
      <c r="J640" s="98"/>
      <c r="K640" s="99"/>
      <c r="L640" s="99"/>
      <c r="M640" s="99"/>
      <c r="N640" s="99"/>
      <c r="O640" s="99"/>
      <c r="P640" s="99"/>
      <c r="Q640" s="100"/>
      <c r="R640" s="100"/>
      <c r="S640" s="92"/>
      <c r="T640" s="92"/>
      <c r="U640" s="92"/>
      <c r="V640" s="92"/>
      <c r="W640" s="92"/>
      <c r="X640" s="92"/>
      <c r="Y640" s="92"/>
      <c r="Z640" s="92"/>
      <c r="AA640" s="93"/>
      <c r="AB640" s="93"/>
      <c r="AC640" s="93"/>
    </row>
  </sheetData>
  <autoFilter ref="B9:AE367" xr:uid="{00000000-0009-0000-0000-000004000000}"/>
  <mergeCells count="1">
    <mergeCell ref="X6:Z7"/>
  </mergeCells>
  <phoneticPr fontId="9"/>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7" manualBreakCount="7">
    <brk id="55" min="1" max="21" man="1"/>
    <brk id="105" min="1" max="21" man="1"/>
    <brk id="165" min="1" max="21" man="1"/>
    <brk id="214" min="1" max="21" man="1"/>
    <brk id="264" min="1" max="21" man="1"/>
    <brk id="315" min="1" max="21" man="1"/>
    <brk id="364"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83"/>
  <sheetViews>
    <sheetView showGridLines="0" showZeros="0" showOutlineSymbols="0" zoomScaleNormal="100" zoomScaleSheetLayoutView="100" workbookViewId="0">
      <pane ySplit="9" topLeftCell="A15" activePane="bottomLeft" state="frozen"/>
      <selection activeCell="B1" sqref="B1"/>
      <selection pane="bottomLeft" activeCell="C44" sqref="C44"/>
    </sheetView>
  </sheetViews>
  <sheetFormatPr defaultColWidth="9.33203125" defaultRowHeight="13.2"/>
  <cols>
    <col min="1" max="1" width="45.5546875" style="58" customWidth="1"/>
    <col min="2" max="2" width="18.33203125" style="58" customWidth="1"/>
    <col min="3" max="3" width="18.44140625" style="58"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c r="A1" s="487" t="s">
        <v>5</v>
      </c>
      <c r="B1" s="102"/>
      <c r="C1" s="103"/>
      <c r="D1" s="1"/>
      <c r="E1" s="1"/>
      <c r="F1" s="1"/>
      <c r="G1" s="1"/>
    </row>
    <row r="2" spans="1:8">
      <c r="A2" s="103"/>
      <c r="B2" s="103"/>
      <c r="C2" s="103"/>
      <c r="D2" s="1"/>
      <c r="E2" s="1"/>
      <c r="F2" s="1"/>
      <c r="G2" s="1"/>
    </row>
    <row r="3" spans="1:8" ht="15.6">
      <c r="A3" s="38" t="str">
        <f>'2-Kosten per locatie'!A3</f>
        <v>Naam opdrachtgever</v>
      </c>
      <c r="B3" s="47" t="str">
        <f>'2-Kosten per locatie'!B3</f>
        <v>SED organisatie</v>
      </c>
      <c r="C3" s="103"/>
      <c r="D3" s="1"/>
      <c r="E3" s="30"/>
      <c r="F3" s="1"/>
      <c r="G3" s="1"/>
    </row>
    <row r="4" spans="1:8" ht="15.6">
      <c r="A4" s="38" t="str">
        <f>'2-Kosten per locatie'!A4</f>
        <v>Calculatie onderdeel</v>
      </c>
      <c r="B4" s="47" t="str">
        <f ca="1">MID(CELL("bestandsnaam",$C$9),SEARCH("]",CELL("bestandsnaam",$C$9),1)+1,256)</f>
        <v>5-Premies en opslagen</v>
      </c>
      <c r="C4" s="104"/>
      <c r="D4" s="15"/>
      <c r="E4" s="4"/>
      <c r="F4" s="4"/>
      <c r="G4" s="4"/>
    </row>
    <row r="5" spans="1:8" ht="15.6">
      <c r="A5" s="38" t="str">
        <f>'2-Kosten per locatie'!A5</f>
        <v>Gebouw/plaats</v>
      </c>
      <c r="B5" s="47" t="str">
        <f>'2-Kosten per locatie'!B5</f>
        <v>Perceel 2</v>
      </c>
      <c r="C5" s="38"/>
      <c r="D5" s="8"/>
      <c r="E5" s="16"/>
      <c r="F5" s="5"/>
      <c r="G5" s="4"/>
    </row>
    <row r="6" spans="1:8" ht="15.6">
      <c r="A6" s="38" t="str">
        <f>'2-Kosten per locatie'!A6</f>
        <v>Referentie nummer</v>
      </c>
      <c r="B6" s="47">
        <f>'2-Kosten per locatie'!B6</f>
        <v>0</v>
      </c>
      <c r="C6" s="78"/>
      <c r="D6" s="8"/>
      <c r="E6" s="32"/>
      <c r="F6" s="31"/>
      <c r="G6" s="33"/>
      <c r="H6" s="34"/>
    </row>
    <row r="7" spans="1:8" ht="15.6">
      <c r="A7" s="38" t="str">
        <f>'2-Kosten per locatie'!A7</f>
        <v>Naam dienstverlener</v>
      </c>
      <c r="B7" s="47">
        <f>'2-Kosten per locatie'!B7</f>
        <v>0</v>
      </c>
      <c r="C7" s="78"/>
      <c r="D7" s="8"/>
      <c r="E7" s="16"/>
      <c r="F7" s="5"/>
      <c r="G7" s="4"/>
    </row>
    <row r="8" spans="1:8" ht="15.6">
      <c r="A8" s="38" t="str">
        <f>'2-Kosten per locatie'!A8</f>
        <v>Prijspeil</v>
      </c>
      <c r="B8" s="261">
        <f>'2-Kosten per locatie'!B8</f>
        <v>46023</v>
      </c>
      <c r="C8" s="105"/>
      <c r="D8" s="16"/>
      <c r="E8" s="16"/>
      <c r="F8" s="5"/>
      <c r="G8" s="4"/>
    </row>
    <row r="9" spans="1:8" ht="18.600000000000001">
      <c r="A9" s="211"/>
      <c r="B9" s="105"/>
      <c r="C9" s="105"/>
      <c r="D9" s="16"/>
      <c r="E9" s="16"/>
      <c r="F9" s="5"/>
      <c r="G9" s="4"/>
    </row>
    <row r="10" spans="1:8" ht="21">
      <c r="A10" s="354" t="s">
        <v>125</v>
      </c>
      <c r="B10" s="355"/>
      <c r="C10" s="356"/>
      <c r="D10" s="16"/>
      <c r="E10" s="16"/>
      <c r="F10" s="5"/>
      <c r="G10" s="4"/>
    </row>
    <row r="11" spans="1:8">
      <c r="A11" s="106"/>
      <c r="B11" s="107"/>
      <c r="C11" s="107"/>
      <c r="D11" s="16"/>
      <c r="E11" s="16"/>
      <c r="F11" s="4"/>
      <c r="G11" s="4"/>
    </row>
    <row r="12" spans="1:8">
      <c r="A12" s="357"/>
      <c r="B12" s="352"/>
      <c r="C12" s="358" t="s">
        <v>126</v>
      </c>
      <c r="D12" s="16"/>
      <c r="E12" s="16"/>
      <c r="F12" s="5"/>
      <c r="G12" s="4"/>
    </row>
    <row r="13" spans="1:8">
      <c r="A13" s="108" t="s">
        <v>127</v>
      </c>
      <c r="B13" s="352"/>
      <c r="C13" s="262"/>
      <c r="D13" s="16"/>
      <c r="E13" s="16"/>
      <c r="F13" s="17"/>
      <c r="G13" s="4"/>
    </row>
    <row r="14" spans="1:8">
      <c r="A14" s="108" t="s">
        <v>128</v>
      </c>
      <c r="B14" s="352"/>
      <c r="C14" s="262"/>
      <c r="D14" s="16"/>
      <c r="E14" s="16"/>
      <c r="F14" s="17"/>
      <c r="G14" s="4"/>
    </row>
    <row r="15" spans="1:8">
      <c r="A15" s="108" t="s">
        <v>129</v>
      </c>
      <c r="B15" s="352"/>
      <c r="C15" s="262"/>
      <c r="D15" s="16"/>
      <c r="E15" s="16"/>
      <c r="F15" s="17"/>
      <c r="G15" s="4"/>
    </row>
    <row r="16" spans="1:8">
      <c r="A16" s="359" t="s">
        <v>50</v>
      </c>
      <c r="B16" s="360"/>
      <c r="C16" s="361">
        <f>SUM(C13:C15)</f>
        <v>0</v>
      </c>
      <c r="D16" s="16"/>
      <c r="E16" s="16"/>
      <c r="F16" s="4"/>
    </row>
    <row r="17" spans="1:7">
      <c r="A17" s="359"/>
      <c r="B17" s="360"/>
      <c r="C17" s="361"/>
      <c r="D17" s="16"/>
      <c r="E17" s="16"/>
      <c r="F17" s="4"/>
    </row>
    <row r="18" spans="1:7">
      <c r="A18" s="544" t="s">
        <v>130</v>
      </c>
      <c r="B18" s="545"/>
      <c r="C18" s="262"/>
      <c r="D18" s="16"/>
      <c r="E18" s="16"/>
      <c r="F18" s="4"/>
    </row>
    <row r="19" spans="1:7">
      <c r="A19" s="108" t="s">
        <v>131</v>
      </c>
      <c r="B19" s="109"/>
      <c r="C19" s="262"/>
      <c r="D19" s="16"/>
      <c r="E19" s="16"/>
      <c r="F19" s="4"/>
    </row>
    <row r="20" spans="1:7">
      <c r="A20" s="544" t="s">
        <v>132</v>
      </c>
      <c r="B20" s="545"/>
      <c r="C20" s="262"/>
      <c r="D20" s="16"/>
      <c r="E20" s="16"/>
      <c r="F20" s="4"/>
    </row>
    <row r="21" spans="1:7">
      <c r="A21" s="544" t="s">
        <v>133</v>
      </c>
      <c r="B21" s="545"/>
      <c r="C21" s="362" t="e">
        <f>C34</f>
        <v>#DIV/0!</v>
      </c>
      <c r="D21" s="16"/>
      <c r="E21" s="16"/>
      <c r="F21" s="4"/>
    </row>
    <row r="22" spans="1:7">
      <c r="A22" s="544" t="s">
        <v>134</v>
      </c>
      <c r="B22" s="545"/>
      <c r="C22" s="262"/>
      <c r="D22" s="16"/>
      <c r="E22" s="16"/>
      <c r="F22" s="4"/>
    </row>
    <row r="23" spans="1:7">
      <c r="A23" s="544" t="s">
        <v>135</v>
      </c>
      <c r="B23" s="545"/>
      <c r="C23" s="262"/>
      <c r="D23" s="16"/>
      <c r="E23" s="16"/>
      <c r="F23" s="4"/>
    </row>
    <row r="24" spans="1:7">
      <c r="A24" s="546" t="s">
        <v>136</v>
      </c>
      <c r="B24" s="547"/>
      <c r="C24" s="363" t="e">
        <f>SUM(C16:C23)</f>
        <v>#DIV/0!</v>
      </c>
      <c r="D24" s="16"/>
      <c r="E24" s="16"/>
      <c r="F24" s="4"/>
    </row>
    <row r="25" spans="1:7">
      <c r="A25" s="110"/>
      <c r="B25" s="111"/>
      <c r="C25" s="112"/>
      <c r="D25" s="16"/>
      <c r="E25" s="16"/>
      <c r="F25" s="7"/>
      <c r="G25" s="4"/>
    </row>
    <row r="26" spans="1:7" ht="21">
      <c r="A26" s="354" t="s">
        <v>137</v>
      </c>
      <c r="B26" s="355"/>
      <c r="C26" s="356"/>
      <c r="D26" s="16"/>
      <c r="E26" s="16"/>
      <c r="F26" s="5"/>
      <c r="G26" s="4"/>
    </row>
    <row r="27" spans="1:7">
      <c r="A27" s="106"/>
      <c r="B27" s="107"/>
      <c r="C27" s="107"/>
      <c r="D27" s="16"/>
      <c r="E27" s="16"/>
      <c r="F27" s="4"/>
      <c r="G27" s="4"/>
    </row>
    <row r="28" spans="1:7">
      <c r="A28" s="107"/>
      <c r="B28" s="107"/>
      <c r="C28" s="364" t="s">
        <v>138</v>
      </c>
      <c r="D28" s="16"/>
      <c r="E28" s="16"/>
      <c r="F28" s="4"/>
      <c r="G28" s="4"/>
    </row>
    <row r="29" spans="1:7">
      <c r="A29" s="108" t="s">
        <v>139</v>
      </c>
      <c r="B29" s="352"/>
      <c r="C29" s="365">
        <f>'6-Opbouw uurtarief productie'!E20</f>
        <v>0</v>
      </c>
      <c r="D29" s="16"/>
      <c r="E29" s="16"/>
      <c r="G29" s="4"/>
    </row>
    <row r="30" spans="1:7">
      <c r="A30" s="108" t="s">
        <v>140</v>
      </c>
      <c r="B30" s="113" t="s">
        <v>141</v>
      </c>
      <c r="C30" s="366"/>
      <c r="D30" s="16"/>
      <c r="E30" s="16"/>
      <c r="F30" s="5"/>
      <c r="G30" s="4"/>
    </row>
    <row r="31" spans="1:7">
      <c r="A31" s="108" t="s">
        <v>142</v>
      </c>
      <c r="B31" s="352"/>
      <c r="C31" s="263">
        <f>C29+C30</f>
        <v>0</v>
      </c>
      <c r="D31" s="16"/>
      <c r="E31" s="16"/>
      <c r="F31" s="5"/>
      <c r="G31" s="4"/>
    </row>
    <row r="32" spans="1:7">
      <c r="A32" s="367" t="s">
        <v>143</v>
      </c>
      <c r="B32" s="114"/>
      <c r="C32" s="368"/>
      <c r="E32" s="18"/>
      <c r="F32" s="5"/>
      <c r="G32" s="4"/>
    </row>
    <row r="33" spans="1:7">
      <c r="A33" s="106"/>
      <c r="B33" s="369"/>
      <c r="C33" s="264"/>
      <c r="E33" s="3"/>
      <c r="F33" s="4"/>
      <c r="G33" s="4"/>
    </row>
    <row r="34" spans="1:7">
      <c r="A34" s="370" t="s">
        <v>144</v>
      </c>
      <c r="B34" s="371"/>
      <c r="C34" s="372" t="e">
        <f>(C31/C29)*C32</f>
        <v>#DIV/0!</v>
      </c>
      <c r="E34" s="19"/>
      <c r="F34" s="5"/>
      <c r="G34" s="20"/>
    </row>
    <row r="35" spans="1:7">
      <c r="A35" s="106"/>
      <c r="B35" s="107"/>
      <c r="C35" s="107"/>
      <c r="E35" s="19"/>
      <c r="F35" s="5"/>
      <c r="G35" s="4"/>
    </row>
    <row r="36" spans="1:7" ht="21">
      <c r="A36" s="373" t="s">
        <v>145</v>
      </c>
      <c r="B36" s="374"/>
      <c r="C36" s="375"/>
      <c r="E36" s="19"/>
      <c r="F36" s="5"/>
      <c r="G36" s="4"/>
    </row>
    <row r="37" spans="1:7">
      <c r="A37" s="110"/>
      <c r="B37" s="111"/>
      <c r="C37" s="112"/>
      <c r="E37" s="19"/>
      <c r="F37" s="5"/>
      <c r="G37" s="4"/>
    </row>
    <row r="38" spans="1:7" ht="16.2">
      <c r="A38" s="110"/>
      <c r="B38" s="376" t="s">
        <v>146</v>
      </c>
      <c r="C38" s="112"/>
      <c r="E38" s="19"/>
      <c r="F38" s="5"/>
      <c r="G38" s="4"/>
    </row>
    <row r="39" spans="1:7">
      <c r="A39" s="377" t="s">
        <v>147</v>
      </c>
      <c r="B39" s="378">
        <v>365</v>
      </c>
      <c r="C39" s="112"/>
      <c r="E39" s="19"/>
      <c r="F39" s="5"/>
      <c r="G39" s="9"/>
    </row>
    <row r="40" spans="1:7">
      <c r="A40" s="377" t="s">
        <v>148</v>
      </c>
      <c r="B40" s="378">
        <v>104</v>
      </c>
      <c r="C40" s="112"/>
      <c r="E40" s="19"/>
      <c r="F40" s="5"/>
      <c r="G40" s="9"/>
    </row>
    <row r="41" spans="1:7">
      <c r="A41" s="379" t="s">
        <v>149</v>
      </c>
      <c r="B41" s="380">
        <f>B39-B40</f>
        <v>261</v>
      </c>
      <c r="C41" s="112"/>
      <c r="E41" s="19"/>
      <c r="F41" s="5"/>
      <c r="G41" s="6"/>
    </row>
    <row r="42" spans="1:7">
      <c r="A42" s="381"/>
      <c r="B42" s="382"/>
      <c r="C42" s="112"/>
      <c r="E42" s="19"/>
      <c r="F42" s="5"/>
      <c r="G42" s="6"/>
    </row>
    <row r="43" spans="1:7">
      <c r="A43" s="377" t="s">
        <v>150</v>
      </c>
      <c r="B43" s="383"/>
      <c r="C43" s="112"/>
      <c r="E43" s="19"/>
      <c r="F43" s="5"/>
      <c r="G43" s="6"/>
    </row>
    <row r="44" spans="1:7">
      <c r="A44" s="377" t="s">
        <v>151</v>
      </c>
      <c r="B44" s="383"/>
      <c r="C44" s="112"/>
      <c r="E44" s="19"/>
      <c r="F44" s="5"/>
      <c r="G44" s="6"/>
    </row>
    <row r="45" spans="1:7">
      <c r="A45" s="377" t="s">
        <v>152</v>
      </c>
      <c r="B45" s="383"/>
      <c r="C45" s="112"/>
      <c r="E45" s="19"/>
      <c r="F45" s="5"/>
      <c r="G45" s="6"/>
    </row>
    <row r="46" spans="1:7">
      <c r="A46" s="377" t="s">
        <v>153</v>
      </c>
      <c r="B46" s="383"/>
      <c r="C46" s="112"/>
      <c r="E46" s="19"/>
      <c r="F46" s="5"/>
      <c r="G46" s="6"/>
    </row>
    <row r="47" spans="1:7">
      <c r="A47" s="379" t="s">
        <v>154</v>
      </c>
      <c r="B47" s="380">
        <f>B41-SUM(B43:B46)</f>
        <v>261</v>
      </c>
      <c r="C47" s="112"/>
      <c r="E47" s="19"/>
      <c r="F47" s="5"/>
      <c r="G47" s="6"/>
    </row>
    <row r="48" spans="1:7">
      <c r="A48" s="384"/>
      <c r="B48" s="382"/>
      <c r="C48" s="112"/>
      <c r="E48" s="19"/>
      <c r="F48" s="5"/>
      <c r="G48" s="6"/>
    </row>
    <row r="49" spans="1:7">
      <c r="A49" s="385" t="s">
        <v>155</v>
      </c>
      <c r="B49" s="386">
        <f>IF(B43=0,0,B43/$B$47)</f>
        <v>0</v>
      </c>
      <c r="C49" s="112"/>
      <c r="E49" s="19"/>
      <c r="F49" s="5"/>
      <c r="G49" s="6"/>
    </row>
    <row r="50" spans="1:7">
      <c r="A50" s="385" t="s">
        <v>151</v>
      </c>
      <c r="B50" s="386">
        <f>IF(B44=0,0,B44/$B$47)</f>
        <v>0</v>
      </c>
      <c r="C50" s="112"/>
      <c r="E50" s="19"/>
      <c r="F50" s="5"/>
      <c r="G50" s="6"/>
    </row>
    <row r="51" spans="1:7">
      <c r="A51" s="377" t="s">
        <v>152</v>
      </c>
      <c r="B51" s="386">
        <f>IF(B45=0,0,B45/$B$47)</f>
        <v>0</v>
      </c>
      <c r="C51" s="112"/>
      <c r="E51" s="19"/>
      <c r="F51" s="5"/>
      <c r="G51" s="6"/>
    </row>
    <row r="52" spans="1:7">
      <c r="A52" s="385" t="s">
        <v>153</v>
      </c>
      <c r="B52" s="386">
        <f>IF(B46=0,0,B46/$B$47)</f>
        <v>0</v>
      </c>
      <c r="C52" s="112"/>
      <c r="E52" s="19"/>
      <c r="F52" s="5"/>
      <c r="G52" s="10"/>
    </row>
    <row r="53" spans="1:7">
      <c r="A53" s="379" t="s">
        <v>156</v>
      </c>
      <c r="B53" s="387">
        <f>SUM(B49:B52)</f>
        <v>0</v>
      </c>
      <c r="C53" s="112"/>
      <c r="E53" s="19"/>
      <c r="F53" s="5"/>
      <c r="G53" s="11"/>
    </row>
    <row r="54" spans="1:7">
      <c r="A54" s="115"/>
      <c r="B54" s="115"/>
      <c r="C54" s="115"/>
      <c r="E54" s="19"/>
      <c r="F54" s="5"/>
      <c r="G54" s="1"/>
    </row>
    <row r="55" spans="1:7" ht="31.2" customHeight="1">
      <c r="A55" s="541" t="s">
        <v>157</v>
      </c>
      <c r="B55" s="542"/>
      <c r="C55" s="543"/>
      <c r="E55" s="19"/>
      <c r="F55" s="5"/>
      <c r="G55" s="1"/>
    </row>
    <row r="58" spans="1:7" ht="13.8">
      <c r="A58" s="116"/>
      <c r="B58" s="117"/>
    </row>
    <row r="59" spans="1:7" ht="13.8">
      <c r="A59" s="116"/>
      <c r="B59" s="117"/>
    </row>
    <row r="60" spans="1:7" ht="13.8">
      <c r="A60" s="116"/>
      <c r="B60" s="117"/>
    </row>
    <row r="61" spans="1:7" ht="13.8">
      <c r="A61" s="116"/>
      <c r="B61" s="117"/>
    </row>
    <row r="62" spans="1:7" ht="13.8">
      <c r="A62" s="118"/>
      <c r="B62" s="117"/>
    </row>
    <row r="63" spans="1:7" ht="13.8">
      <c r="A63" s="117"/>
      <c r="B63" s="117"/>
    </row>
    <row r="64" spans="1:7" ht="13.8">
      <c r="A64" s="117"/>
      <c r="B64" s="117"/>
    </row>
    <row r="65" spans="1:3" ht="13.8">
      <c r="A65" s="117"/>
      <c r="B65" s="117"/>
    </row>
    <row r="66" spans="1:3" ht="13.8">
      <c r="A66" s="117"/>
      <c r="B66" s="117"/>
    </row>
    <row r="67" spans="1:3" ht="13.8">
      <c r="A67" s="117"/>
      <c r="B67" s="117"/>
    </row>
    <row r="68" spans="1:3" ht="13.8">
      <c r="A68" s="117"/>
      <c r="B68" s="117"/>
    </row>
    <row r="69" spans="1:3" ht="13.8">
      <c r="A69" s="117"/>
      <c r="B69" s="117"/>
    </row>
    <row r="70" spans="1:3" ht="13.8">
      <c r="A70" s="117"/>
      <c r="B70" s="119"/>
    </row>
    <row r="71" spans="1:3" ht="13.8">
      <c r="A71" s="117"/>
      <c r="B71" s="117"/>
    </row>
    <row r="72" spans="1:3" ht="13.8">
      <c r="B72" s="117"/>
    </row>
    <row r="73" spans="1:3" ht="13.8">
      <c r="A73" s="117"/>
      <c r="B73" s="117"/>
      <c r="C73" s="117"/>
    </row>
    <row r="74" spans="1:3" ht="13.8">
      <c r="A74" s="120"/>
      <c r="B74" s="117"/>
      <c r="C74" s="120"/>
    </row>
    <row r="75" spans="1:3" ht="13.8">
      <c r="A75" s="117"/>
      <c r="B75" s="117"/>
      <c r="C75" s="117"/>
    </row>
    <row r="76" spans="1:3" ht="13.8">
      <c r="A76" s="117"/>
      <c r="B76" s="117"/>
      <c r="C76" s="117"/>
    </row>
    <row r="77" spans="1:3" ht="13.8">
      <c r="A77" s="117"/>
      <c r="B77" s="117"/>
      <c r="C77" s="117"/>
    </row>
    <row r="78" spans="1:3" ht="13.8">
      <c r="A78" s="120"/>
      <c r="B78" s="117"/>
      <c r="C78" s="120"/>
    </row>
    <row r="79" spans="1:3" ht="13.8">
      <c r="A79" s="120"/>
      <c r="B79" s="117"/>
      <c r="C79" s="120"/>
    </row>
    <row r="80" spans="1:3" ht="13.8">
      <c r="A80" s="120"/>
      <c r="B80" s="117"/>
      <c r="C80" s="120"/>
    </row>
    <row r="81" spans="1:2" ht="13.8">
      <c r="A81" s="117"/>
      <c r="B81" s="117"/>
    </row>
    <row r="82" spans="1:2" ht="13.8">
      <c r="A82" s="117"/>
      <c r="B82" s="117"/>
    </row>
    <row r="83" spans="1:2" ht="13.8">
      <c r="A83" s="117"/>
      <c r="B83" s="117"/>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74"/>
  <sheetViews>
    <sheetView showGridLines="0" showZeros="0" showOutlineSymbols="0" zoomScale="93" zoomScaleNormal="90" zoomScalePageLayoutView="50" workbookViewId="0">
      <pane ySplit="10" topLeftCell="A35" activePane="bottomLeft" state="frozen"/>
      <selection activeCell="B1" sqref="B1"/>
      <selection pane="bottomLeft" activeCell="E47" sqref="E47"/>
    </sheetView>
  </sheetViews>
  <sheetFormatPr defaultColWidth="11.44140625" defaultRowHeight="13.2"/>
  <cols>
    <col min="1" max="1" width="35.88671875" style="58" customWidth="1"/>
    <col min="2" max="2" width="21.6640625" style="58" customWidth="1"/>
    <col min="3" max="3" width="19.33203125" style="58" bestFit="1" customWidth="1"/>
    <col min="4" max="4" width="2" style="58" customWidth="1"/>
    <col min="5" max="5" width="14.44140625" style="58" customWidth="1"/>
    <col min="6" max="6" width="12.33203125" style="58" customWidth="1"/>
    <col min="7" max="7" width="9.88671875" style="58" customWidth="1"/>
    <col min="8" max="8" width="27.5546875" style="58" customWidth="1"/>
    <col min="9" max="15" width="11.44140625" style="58"/>
    <col min="16" max="16" width="14" style="58" customWidth="1"/>
    <col min="17" max="17" width="11.44140625" style="58"/>
    <col min="18" max="18" width="13.44140625" style="58" customWidth="1"/>
    <col min="19" max="21" width="11.44140625" style="58"/>
    <col min="22" max="16384" width="11.44140625" style="2"/>
  </cols>
  <sheetData>
    <row r="1" spans="1:30" ht="12.75" customHeight="1">
      <c r="A1" s="487" t="s">
        <v>5</v>
      </c>
      <c r="B1" s="102"/>
      <c r="C1" s="103"/>
      <c r="D1" s="103"/>
      <c r="E1" s="103"/>
      <c r="F1" s="103"/>
      <c r="H1" s="556"/>
      <c r="I1" s="556"/>
      <c r="J1" s="556"/>
      <c r="K1" s="556"/>
      <c r="L1" s="556"/>
      <c r="M1" s="556"/>
      <c r="N1" s="556"/>
      <c r="P1" s="482"/>
    </row>
    <row r="2" spans="1:30">
      <c r="A2" s="103"/>
      <c r="B2" s="121"/>
      <c r="C2" s="122"/>
      <c r="D2" s="121"/>
      <c r="E2" s="123"/>
      <c r="F2" s="124"/>
      <c r="H2" s="556"/>
      <c r="I2" s="556"/>
      <c r="J2" s="556"/>
      <c r="K2" s="556"/>
      <c r="L2" s="556"/>
      <c r="M2" s="556"/>
      <c r="N2" s="556"/>
      <c r="P2" s="482"/>
    </row>
    <row r="3" spans="1:30" ht="14.25" customHeight="1">
      <c r="A3" s="38" t="str">
        <f>'2-Kosten per locatie'!A3</f>
        <v>Naam opdrachtgever</v>
      </c>
      <c r="B3" s="125" t="str">
        <f>'2-Kosten per locatie'!B3</f>
        <v>SED organisatie</v>
      </c>
      <c r="C3" s="126"/>
      <c r="D3" s="121"/>
      <c r="E3" s="127"/>
      <c r="F3" s="128"/>
      <c r="H3" s="556"/>
      <c r="I3" s="556"/>
      <c r="J3" s="556"/>
      <c r="K3" s="556"/>
      <c r="L3" s="556"/>
      <c r="M3" s="556"/>
      <c r="N3" s="556"/>
      <c r="P3" s="482"/>
    </row>
    <row r="4" spans="1:30" ht="15.75" customHeight="1">
      <c r="A4" s="38" t="str">
        <f>'2-Kosten per locatie'!A4</f>
        <v>Calculatie onderdeel</v>
      </c>
      <c r="B4" s="129" t="str">
        <f ca="1">MID(CELL("bestandsnaam",$C$9),SEARCH("]",CELL("bestandsnaam",$C$9),1)+1,256)</f>
        <v>6-Opbouw uurtarief productie</v>
      </c>
      <c r="C4" s="130"/>
      <c r="D4" s="131"/>
      <c r="H4" s="556"/>
      <c r="I4" s="556"/>
      <c r="J4" s="556"/>
      <c r="K4" s="556"/>
      <c r="L4" s="556"/>
      <c r="M4" s="556"/>
      <c r="N4" s="556"/>
      <c r="P4" s="482"/>
    </row>
    <row r="5" spans="1:30" ht="15.6">
      <c r="A5" s="38" t="str">
        <f>'2-Kosten per locatie'!A5</f>
        <v>Gebouw/plaats</v>
      </c>
      <c r="B5" s="125" t="str">
        <f>'2-Kosten per locatie'!B5</f>
        <v>Perceel 2</v>
      </c>
      <c r="C5" s="130"/>
      <c r="D5" s="131"/>
      <c r="H5" s="556"/>
      <c r="I5" s="556"/>
      <c r="J5" s="556"/>
      <c r="K5" s="556"/>
      <c r="L5" s="556"/>
      <c r="M5" s="556"/>
      <c r="N5" s="556"/>
      <c r="P5" s="482"/>
    </row>
    <row r="6" spans="1:30" ht="15.6">
      <c r="A6" s="38" t="str">
        <f>'2-Kosten per locatie'!A6</f>
        <v>Referentie nummer</v>
      </c>
      <c r="B6" s="125">
        <f>'2-Kosten per locatie'!B6</f>
        <v>0</v>
      </c>
      <c r="C6" s="130"/>
      <c r="D6" s="131"/>
      <c r="H6" s="132"/>
      <c r="I6" s="132"/>
      <c r="J6" s="132"/>
      <c r="K6" s="132"/>
      <c r="L6" s="132"/>
      <c r="M6" s="132"/>
      <c r="N6" s="132"/>
      <c r="P6" s="482"/>
    </row>
    <row r="7" spans="1:30" ht="15.6">
      <c r="A7" s="38" t="str">
        <f>'2-Kosten per locatie'!A7</f>
        <v>Naam dienstverlener</v>
      </c>
      <c r="B7" s="125">
        <f>'2-Kosten per locatie'!B7</f>
        <v>0</v>
      </c>
      <c r="C7" s="130"/>
      <c r="D7" s="131"/>
      <c r="H7" s="132"/>
      <c r="I7" s="132"/>
      <c r="J7" s="132"/>
      <c r="K7" s="132"/>
      <c r="L7" s="132"/>
      <c r="M7" s="132"/>
      <c r="N7" s="132"/>
      <c r="P7" s="482"/>
    </row>
    <row r="8" spans="1:30" ht="15.6">
      <c r="A8" s="38" t="str">
        <f>'2-Kosten per locatie'!A8</f>
        <v>Prijspeil</v>
      </c>
      <c r="B8" s="283">
        <f>'2-Kosten per locatie'!B8</f>
        <v>46023</v>
      </c>
      <c r="C8" s="130"/>
      <c r="D8" s="131"/>
      <c r="J8" s="132"/>
      <c r="K8" s="132"/>
      <c r="L8" s="132"/>
      <c r="M8" s="132"/>
      <c r="N8" s="132"/>
      <c r="O8" s="133"/>
      <c r="P8" s="482"/>
    </row>
    <row r="9" spans="1:30" ht="15.6">
      <c r="A9" s="134"/>
      <c r="B9" s="135"/>
      <c r="C9" s="136"/>
      <c r="D9" s="131"/>
      <c r="E9" s="137"/>
      <c r="F9" s="138"/>
      <c r="P9" s="482"/>
    </row>
    <row r="10" spans="1:30" s="21" customFormat="1" ht="30.75" customHeight="1">
      <c r="A10" s="214" t="s">
        <v>158</v>
      </c>
      <c r="B10" s="388"/>
      <c r="C10" s="389"/>
      <c r="D10" s="212"/>
      <c r="E10" s="554" t="s">
        <v>159</v>
      </c>
      <c r="F10" s="555"/>
      <c r="G10" s="213"/>
      <c r="H10" s="214" t="s">
        <v>160</v>
      </c>
      <c r="I10" s="557" t="s">
        <v>161</v>
      </c>
      <c r="J10" s="558"/>
      <c r="K10" s="558"/>
      <c r="L10" s="558"/>
      <c r="M10" s="558"/>
      <c r="N10" s="558"/>
      <c r="O10" s="133"/>
      <c r="P10" s="482"/>
      <c r="Q10" s="58"/>
      <c r="R10" s="58"/>
      <c r="S10" s="58"/>
      <c r="T10" s="58"/>
      <c r="U10" s="58"/>
      <c r="V10" s="2"/>
    </row>
    <row r="11" spans="1:30" ht="30" customHeight="1">
      <c r="A11" s="146"/>
      <c r="B11" s="390" t="s">
        <v>162</v>
      </c>
      <c r="C11" s="391" t="s">
        <v>162</v>
      </c>
      <c r="D11" s="131"/>
      <c r="E11" s="265"/>
      <c r="F11" s="392"/>
      <c r="H11" s="146"/>
      <c r="I11" s="286">
        <v>1</v>
      </c>
      <c r="J11" s="286">
        <v>2</v>
      </c>
      <c r="K11" s="286">
        <v>3</v>
      </c>
      <c r="L11" s="286">
        <v>4</v>
      </c>
      <c r="M11" s="286">
        <v>5</v>
      </c>
      <c r="N11" s="286">
        <v>6</v>
      </c>
      <c r="P11" s="483"/>
    </row>
    <row r="12" spans="1:30">
      <c r="A12" s="146" t="s">
        <v>163</v>
      </c>
      <c r="B12" s="393" t="s">
        <v>164</v>
      </c>
      <c r="C12" s="394"/>
      <c r="D12" s="131"/>
      <c r="E12" s="266">
        <f>SUM(I41:N41)</f>
        <v>0</v>
      </c>
      <c r="F12" s="267"/>
      <c r="H12" s="146" t="s">
        <v>165</v>
      </c>
      <c r="I12" s="562">
        <v>12</v>
      </c>
      <c r="J12" s="562">
        <v>12.43</v>
      </c>
      <c r="K12" s="562">
        <v>12.91</v>
      </c>
      <c r="L12" s="562">
        <v>13.55</v>
      </c>
      <c r="M12" s="562">
        <v>14.07</v>
      </c>
      <c r="N12" s="562">
        <v>14.78</v>
      </c>
      <c r="P12" s="484"/>
      <c r="W12" s="481"/>
      <c r="X12" s="481"/>
      <c r="Y12" s="481"/>
      <c r="Z12" s="481"/>
      <c r="AA12" s="481"/>
      <c r="AB12" s="481"/>
      <c r="AC12" s="481"/>
      <c r="AD12" s="481"/>
    </row>
    <row r="13" spans="1:30">
      <c r="A13" s="146" t="s">
        <v>166</v>
      </c>
      <c r="B13" s="393" t="s">
        <v>164</v>
      </c>
      <c r="C13" s="395"/>
      <c r="D13" s="131"/>
      <c r="E13" s="268">
        <v>0</v>
      </c>
      <c r="F13" s="267"/>
      <c r="H13" s="146" t="s">
        <v>167</v>
      </c>
      <c r="I13" s="562">
        <v>12.74</v>
      </c>
      <c r="J13" s="562">
        <v>13.2</v>
      </c>
      <c r="K13" s="562">
        <v>13.71</v>
      </c>
      <c r="L13" s="562">
        <v>14.39</v>
      </c>
      <c r="M13" s="562">
        <v>14.94</v>
      </c>
      <c r="N13" s="562">
        <v>15.7</v>
      </c>
      <c r="P13" s="485"/>
      <c r="W13" s="481"/>
      <c r="X13" s="481"/>
      <c r="Y13" s="481"/>
      <c r="Z13" s="481"/>
      <c r="AA13" s="481"/>
      <c r="AB13" s="481"/>
      <c r="AC13" s="481"/>
      <c r="AD13" s="481"/>
    </row>
    <row r="14" spans="1:30">
      <c r="A14" s="396" t="s">
        <v>168</v>
      </c>
      <c r="B14" s="397"/>
      <c r="C14" s="398"/>
      <c r="D14" s="143"/>
      <c r="E14" s="269">
        <f>SUM(E12:E13)</f>
        <v>0</v>
      </c>
      <c r="F14" s="267"/>
      <c r="H14" s="146" t="s">
        <v>169</v>
      </c>
      <c r="I14" s="562">
        <v>13.49</v>
      </c>
      <c r="J14" s="562">
        <v>13.97</v>
      </c>
      <c r="K14" s="562">
        <v>14.51</v>
      </c>
      <c r="L14" s="562">
        <v>15.23</v>
      </c>
      <c r="M14" s="562">
        <v>15.82</v>
      </c>
      <c r="N14" s="562">
        <v>16.62</v>
      </c>
      <c r="W14" s="481"/>
      <c r="X14" s="481"/>
      <c r="Y14" s="481"/>
      <c r="Z14" s="481"/>
      <c r="AA14" s="481"/>
      <c r="AB14" s="481"/>
      <c r="AC14" s="481"/>
      <c r="AD14" s="481"/>
    </row>
    <row r="15" spans="1:30">
      <c r="A15" s="141"/>
      <c r="B15" s="399"/>
      <c r="C15" s="400"/>
      <c r="D15" s="131"/>
      <c r="E15" s="270"/>
      <c r="F15" s="267"/>
      <c r="H15" s="146" t="s">
        <v>170</v>
      </c>
      <c r="I15" s="562">
        <v>15.52</v>
      </c>
      <c r="J15" s="562">
        <v>16.079999999999998</v>
      </c>
      <c r="K15" s="562">
        <v>16.7</v>
      </c>
      <c r="L15" s="562">
        <v>17.53</v>
      </c>
      <c r="M15" s="562">
        <v>18.2</v>
      </c>
      <c r="N15" s="562">
        <v>19.12</v>
      </c>
      <c r="W15" s="481"/>
      <c r="X15" s="481"/>
      <c r="Y15" s="481"/>
      <c r="Z15" s="481"/>
      <c r="AA15" s="481"/>
      <c r="AB15" s="481"/>
      <c r="AC15" s="481"/>
      <c r="AD15" s="481"/>
    </row>
    <row r="16" spans="1:30">
      <c r="A16" s="401" t="s">
        <v>171</v>
      </c>
      <c r="B16" s="393" t="s">
        <v>164</v>
      </c>
      <c r="C16" s="563">
        <v>0.08</v>
      </c>
      <c r="D16" s="131"/>
      <c r="E16" s="271">
        <f>$C16*E14</f>
        <v>0</v>
      </c>
      <c r="F16" s="267"/>
      <c r="H16" s="146" t="s">
        <v>172</v>
      </c>
      <c r="I16" s="562">
        <v>16.079999999999998</v>
      </c>
      <c r="J16" s="562">
        <v>16.63</v>
      </c>
      <c r="K16" s="562">
        <v>17.3</v>
      </c>
      <c r="L16" s="562">
        <v>18.14</v>
      </c>
      <c r="M16" s="562">
        <v>18.82</v>
      </c>
      <c r="N16" s="562">
        <v>19.77</v>
      </c>
      <c r="W16" s="481"/>
      <c r="X16" s="481"/>
      <c r="Y16" s="481"/>
      <c r="Z16" s="481"/>
      <c r="AA16" s="481"/>
      <c r="AB16" s="481"/>
      <c r="AC16" s="481"/>
      <c r="AD16" s="481"/>
    </row>
    <row r="17" spans="1:30">
      <c r="A17" s="401" t="s">
        <v>173</v>
      </c>
      <c r="B17" s="393" t="s">
        <v>164</v>
      </c>
      <c r="C17" s="563">
        <v>0.05</v>
      </c>
      <c r="D17" s="131"/>
      <c r="E17" s="272">
        <f>$C17*E14</f>
        <v>0</v>
      </c>
      <c r="F17" s="267"/>
      <c r="H17" s="146" t="s">
        <v>174</v>
      </c>
      <c r="I17" s="562">
        <v>16.55</v>
      </c>
      <c r="J17" s="562">
        <v>17.07</v>
      </c>
      <c r="K17" s="562">
        <v>17.84</v>
      </c>
      <c r="L17" s="562">
        <v>18.73</v>
      </c>
      <c r="M17" s="562">
        <v>19.45</v>
      </c>
      <c r="N17" s="562">
        <v>20.420000000000002</v>
      </c>
      <c r="W17" s="481"/>
      <c r="X17" s="481"/>
      <c r="Y17" s="481"/>
      <c r="Z17" s="481"/>
      <c r="AA17" s="481"/>
      <c r="AB17" s="481"/>
      <c r="AC17" s="481"/>
      <c r="AD17" s="481"/>
    </row>
    <row r="18" spans="1:30">
      <c r="A18" s="396" t="s">
        <v>175</v>
      </c>
      <c r="B18" s="402"/>
      <c r="C18" s="142"/>
      <c r="D18" s="131"/>
      <c r="E18" s="269">
        <f>SUM(E14:E17)</f>
        <v>0</v>
      </c>
      <c r="F18" s="403">
        <f>IF(E18=0,0,E18/E$47)</f>
        <v>0</v>
      </c>
      <c r="H18" s="146" t="s">
        <v>176</v>
      </c>
      <c r="I18" s="562">
        <v>17.05</v>
      </c>
      <c r="J18" s="562">
        <v>17.7</v>
      </c>
      <c r="K18" s="562">
        <v>18.440000000000001</v>
      </c>
      <c r="L18" s="562">
        <v>19.309999999999999</v>
      </c>
      <c r="M18" s="562">
        <v>20.059999999999999</v>
      </c>
      <c r="N18" s="562">
        <v>21.07</v>
      </c>
      <c r="W18" s="481"/>
      <c r="X18" s="481"/>
      <c r="Y18" s="481"/>
      <c r="Z18" s="481"/>
      <c r="AA18" s="481"/>
      <c r="AB18" s="481"/>
      <c r="AC18" s="481"/>
      <c r="AD18" s="481"/>
    </row>
    <row r="19" spans="1:30">
      <c r="A19" s="141"/>
      <c r="B19" s="399"/>
      <c r="C19" s="400"/>
      <c r="D19" s="131"/>
      <c r="E19" s="270"/>
      <c r="F19" s="267"/>
      <c r="H19" s="2"/>
      <c r="I19" s="2"/>
      <c r="J19" s="2"/>
      <c r="K19" s="2"/>
      <c r="L19" s="2"/>
      <c r="M19" s="2"/>
      <c r="N19" s="2"/>
      <c r="W19" s="481"/>
      <c r="X19" s="481"/>
      <c r="Y19" s="481"/>
      <c r="Z19" s="481"/>
      <c r="AA19" s="481"/>
      <c r="AB19" s="481"/>
      <c r="AC19" s="481"/>
      <c r="AD19" s="481"/>
    </row>
    <row r="20" spans="1:30" ht="15">
      <c r="A20" s="404" t="s">
        <v>177</v>
      </c>
      <c r="B20" s="405"/>
      <c r="C20" s="400"/>
      <c r="D20" s="144"/>
      <c r="E20" s="273">
        <f>E18*0.96</f>
        <v>0</v>
      </c>
      <c r="F20" s="274"/>
      <c r="H20" s="214" t="s">
        <v>160</v>
      </c>
      <c r="I20" s="548" t="s">
        <v>178</v>
      </c>
      <c r="J20" s="549"/>
      <c r="K20" s="549"/>
      <c r="L20" s="549"/>
      <c r="M20" s="549"/>
      <c r="N20" s="550"/>
      <c r="W20" s="481"/>
      <c r="X20" s="481"/>
      <c r="Y20" s="481"/>
      <c r="Z20" s="481"/>
      <c r="AA20" s="481"/>
      <c r="AB20" s="481"/>
      <c r="AC20" s="481"/>
      <c r="AD20" s="481"/>
    </row>
    <row r="21" spans="1:30" ht="15" customHeight="1">
      <c r="A21" s="401" t="s">
        <v>179</v>
      </c>
      <c r="B21" s="405"/>
      <c r="C21" s="406" t="s">
        <v>180</v>
      </c>
      <c r="D21" s="131"/>
      <c r="E21" s="271" t="e">
        <f>E20*'5-Premies en opslagen'!$C24</f>
        <v>#DIV/0!</v>
      </c>
      <c r="F21" s="267"/>
      <c r="H21" s="146"/>
      <c r="I21" s="286">
        <v>1</v>
      </c>
      <c r="J21" s="286">
        <v>2</v>
      </c>
      <c r="K21" s="286">
        <v>3</v>
      </c>
      <c r="L21" s="286">
        <v>4</v>
      </c>
      <c r="M21" s="286">
        <v>5</v>
      </c>
      <c r="N21" s="286">
        <v>6</v>
      </c>
      <c r="O21" s="282"/>
      <c r="W21" s="481"/>
      <c r="X21" s="481"/>
      <c r="Y21" s="481"/>
      <c r="Z21" s="481"/>
      <c r="AA21" s="481"/>
      <c r="AB21" s="481"/>
      <c r="AC21" s="481"/>
      <c r="AD21" s="481"/>
    </row>
    <row r="22" spans="1:30">
      <c r="A22" s="396" t="s">
        <v>181</v>
      </c>
      <c r="B22" s="408"/>
      <c r="C22" s="142"/>
      <c r="D22" s="131"/>
      <c r="E22" s="269" t="e">
        <f>E21+E18</f>
        <v>#DIV/0!</v>
      </c>
      <c r="F22" s="403" t="e">
        <f>IF(E22=0,0,E22/E$47)</f>
        <v>#DIV/0!</v>
      </c>
      <c r="G22" s="145"/>
      <c r="H22" s="146" t="s">
        <v>165</v>
      </c>
      <c r="I22" s="490"/>
      <c r="J22" s="490"/>
      <c r="K22" s="490"/>
      <c r="L22" s="490"/>
      <c r="M22" s="490"/>
      <c r="N22" s="490"/>
      <c r="O22" s="249"/>
      <c r="W22" s="481"/>
      <c r="X22" s="481"/>
      <c r="Y22" s="481"/>
      <c r="Z22" s="481"/>
      <c r="AA22" s="481"/>
      <c r="AB22" s="481"/>
      <c r="AC22" s="481"/>
      <c r="AD22" s="481"/>
    </row>
    <row r="23" spans="1:30" s="13" customFormat="1">
      <c r="A23" s="141"/>
      <c r="B23" s="402"/>
      <c r="C23" s="142"/>
      <c r="D23" s="131"/>
      <c r="E23" s="265"/>
      <c r="F23" s="267"/>
      <c r="G23" s="58"/>
      <c r="H23" s="146" t="s">
        <v>167</v>
      </c>
      <c r="I23" s="491"/>
      <c r="J23" s="491"/>
      <c r="K23" s="491"/>
      <c r="L23" s="490"/>
      <c r="M23" s="490"/>
      <c r="N23" s="490"/>
      <c r="O23" s="249"/>
      <c r="P23" s="58"/>
      <c r="Q23" s="58"/>
      <c r="R23" s="58"/>
      <c r="S23" s="58"/>
      <c r="T23" s="58"/>
      <c r="U23" s="58"/>
      <c r="V23" s="2"/>
      <c r="W23" s="481"/>
      <c r="X23" s="481"/>
      <c r="Y23" s="481"/>
      <c r="Z23" s="481"/>
      <c r="AA23" s="481"/>
      <c r="AB23" s="481"/>
      <c r="AC23" s="481"/>
      <c r="AD23" s="481"/>
    </row>
    <row r="24" spans="1:30" ht="14.25" customHeight="1">
      <c r="A24" s="401" t="s">
        <v>182</v>
      </c>
      <c r="B24" s="405"/>
      <c r="C24" s="406" t="s">
        <v>180</v>
      </c>
      <c r="D24" s="131"/>
      <c r="E24" s="271" t="e">
        <f>E22*'5-Premies en opslagen'!$B53</f>
        <v>#DIV/0!</v>
      </c>
      <c r="F24" s="267"/>
      <c r="H24" s="146" t="s">
        <v>169</v>
      </c>
      <c r="I24" s="495"/>
      <c r="J24" s="491"/>
      <c r="K24" s="491"/>
      <c r="L24" s="490"/>
      <c r="M24" s="490"/>
      <c r="N24" s="490"/>
      <c r="O24" s="249"/>
      <c r="W24" s="481"/>
      <c r="X24" s="481"/>
      <c r="Y24" s="481"/>
      <c r="Z24" s="481"/>
      <c r="AA24" s="481"/>
      <c r="AB24" s="481"/>
      <c r="AC24" s="481"/>
      <c r="AD24" s="481"/>
    </row>
    <row r="25" spans="1:30" ht="12.75" customHeight="1">
      <c r="A25" s="396" t="s">
        <v>183</v>
      </c>
      <c r="B25" s="402"/>
      <c r="C25" s="142"/>
      <c r="D25" s="131"/>
      <c r="E25" s="269" t="e">
        <f>SUM(E22:E24)</f>
        <v>#DIV/0!</v>
      </c>
      <c r="F25" s="403" t="e">
        <f>IF(E25=0,0,E25/E$47)</f>
        <v>#DIV/0!</v>
      </c>
      <c r="H25" s="146" t="s">
        <v>170</v>
      </c>
      <c r="I25" s="495"/>
      <c r="J25" s="491"/>
      <c r="K25" s="491"/>
      <c r="L25" s="490"/>
      <c r="M25" s="490"/>
      <c r="N25" s="490"/>
      <c r="O25" s="249"/>
      <c r="W25" s="481"/>
      <c r="X25" s="481"/>
      <c r="Y25" s="481"/>
      <c r="Z25" s="481"/>
      <c r="AA25" s="481"/>
      <c r="AB25" s="481"/>
      <c r="AC25" s="481"/>
      <c r="AD25" s="481"/>
    </row>
    <row r="26" spans="1:30" ht="12.75" customHeight="1">
      <c r="A26" s="141"/>
      <c r="B26" s="402"/>
      <c r="C26" s="142"/>
      <c r="D26" s="131"/>
      <c r="E26" s="265"/>
      <c r="F26" s="267"/>
      <c r="H26" s="146" t="s">
        <v>172</v>
      </c>
      <c r="I26" s="495"/>
      <c r="J26" s="491"/>
      <c r="K26" s="491"/>
      <c r="L26" s="490"/>
      <c r="M26" s="490"/>
      <c r="N26" s="490"/>
      <c r="O26" s="249"/>
    </row>
    <row r="27" spans="1:30">
      <c r="A27" s="141" t="s">
        <v>184</v>
      </c>
      <c r="B27" s="409"/>
      <c r="C27" s="395" t="s">
        <v>185</v>
      </c>
      <c r="D27" s="131"/>
      <c r="E27" s="268">
        <v>0</v>
      </c>
      <c r="F27" s="267">
        <v>0</v>
      </c>
      <c r="H27" s="146" t="s">
        <v>174</v>
      </c>
      <c r="I27" s="495"/>
      <c r="J27" s="491"/>
      <c r="K27" s="491"/>
      <c r="L27" s="490"/>
      <c r="M27" s="490"/>
      <c r="N27" s="490"/>
      <c r="O27" s="249"/>
    </row>
    <row r="28" spans="1:30">
      <c r="A28" s="141" t="s">
        <v>186</v>
      </c>
      <c r="B28" s="410"/>
      <c r="C28" s="395" t="s">
        <v>185</v>
      </c>
      <c r="D28" s="131"/>
      <c r="E28" s="268">
        <v>0</v>
      </c>
      <c r="F28" s="267">
        <v>0</v>
      </c>
      <c r="H28" s="146" t="s">
        <v>176</v>
      </c>
      <c r="I28" s="495"/>
      <c r="J28" s="491"/>
      <c r="K28" s="491"/>
      <c r="L28" s="490"/>
      <c r="M28" s="490"/>
      <c r="N28" s="490"/>
      <c r="O28" s="249"/>
    </row>
    <row r="29" spans="1:30">
      <c r="A29" s="141" t="s">
        <v>187</v>
      </c>
      <c r="B29" s="402"/>
      <c r="C29" s="142" t="s">
        <v>162</v>
      </c>
      <c r="D29" s="131"/>
      <c r="E29" s="268">
        <v>0</v>
      </c>
      <c r="F29" s="267"/>
      <c r="H29" s="147" t="s">
        <v>188</v>
      </c>
      <c r="I29" s="411">
        <f t="shared" ref="I29:N29" si="0">SUM(I22:I28)</f>
        <v>0</v>
      </c>
      <c r="J29" s="411">
        <f t="shared" si="0"/>
        <v>0</v>
      </c>
      <c r="K29" s="411">
        <f t="shared" si="0"/>
        <v>0</v>
      </c>
      <c r="L29" s="411">
        <f t="shared" si="0"/>
        <v>0</v>
      </c>
      <c r="M29" s="411">
        <f t="shared" si="0"/>
        <v>0</v>
      </c>
      <c r="N29" s="411">
        <f t="shared" si="0"/>
        <v>0</v>
      </c>
      <c r="O29" s="412">
        <f>SUM(I29:N29)</f>
        <v>0</v>
      </c>
    </row>
    <row r="30" spans="1:30">
      <c r="A30" s="401" t="s">
        <v>279</v>
      </c>
      <c r="B30" s="393"/>
      <c r="C30" s="395" t="s">
        <v>185</v>
      </c>
      <c r="D30" s="131"/>
      <c r="E30" s="268">
        <v>0</v>
      </c>
      <c r="F30" s="267"/>
    </row>
    <row r="31" spans="1:30">
      <c r="A31" s="413"/>
      <c r="B31" s="414"/>
      <c r="C31" s="415" t="s">
        <v>162</v>
      </c>
      <c r="D31" s="131"/>
      <c r="E31" s="268"/>
      <c r="F31" s="267"/>
      <c r="H31" s="80"/>
      <c r="I31" s="499"/>
      <c r="J31" s="499"/>
      <c r="K31" s="499"/>
      <c r="L31" s="499"/>
      <c r="M31" s="499"/>
      <c r="N31" s="499"/>
      <c r="O31" s="499"/>
    </row>
    <row r="32" spans="1:30" ht="15">
      <c r="A32" s="396" t="s">
        <v>189</v>
      </c>
      <c r="B32" s="402"/>
      <c r="C32" s="142"/>
      <c r="D32" s="131"/>
      <c r="E32" s="269" t="e">
        <f>SUM(E25:E31)</f>
        <v>#DIV/0!</v>
      </c>
      <c r="F32" s="403" t="e">
        <f>IF(E32=0,0,E32/E$47)</f>
        <v>#DIV/0!</v>
      </c>
      <c r="H32" s="214" t="s">
        <v>160</v>
      </c>
      <c r="I32" s="548" t="s">
        <v>190</v>
      </c>
      <c r="J32" s="549"/>
      <c r="K32" s="549"/>
      <c r="L32" s="549"/>
      <c r="M32" s="549"/>
      <c r="N32" s="550"/>
    </row>
    <row r="33" spans="1:15" ht="12.75" customHeight="1">
      <c r="A33" s="141"/>
      <c r="B33" s="402"/>
      <c r="C33" s="142"/>
      <c r="D33" s="131"/>
      <c r="E33" s="265"/>
      <c r="F33" s="267"/>
      <c r="H33" s="146"/>
      <c r="I33" s="140">
        <v>1</v>
      </c>
      <c r="J33" s="140">
        <v>2</v>
      </c>
      <c r="K33" s="140">
        <v>3</v>
      </c>
      <c r="L33" s="140">
        <v>4</v>
      </c>
      <c r="M33" s="140">
        <v>5</v>
      </c>
      <c r="N33" s="140">
        <v>6</v>
      </c>
    </row>
    <row r="34" spans="1:15" ht="12.75" customHeight="1">
      <c r="A34" s="141" t="s">
        <v>191</v>
      </c>
      <c r="B34" s="402"/>
      <c r="C34" s="416"/>
      <c r="D34" s="131"/>
      <c r="E34" s="268">
        <v>0</v>
      </c>
      <c r="F34" s="275" t="e">
        <f t="shared" ref="F34:F41" si="1">E34/$E$47</f>
        <v>#DIV/0!</v>
      </c>
      <c r="H34" s="146" t="s">
        <v>165</v>
      </c>
      <c r="I34" s="284">
        <f t="shared" ref="I34:N40" si="2">I22*I12</f>
        <v>0</v>
      </c>
      <c r="J34" s="284">
        <f t="shared" si="2"/>
        <v>0</v>
      </c>
      <c r="K34" s="284">
        <f t="shared" si="2"/>
        <v>0</v>
      </c>
      <c r="L34" s="284">
        <f t="shared" si="2"/>
        <v>0</v>
      </c>
      <c r="M34" s="284">
        <f t="shared" si="2"/>
        <v>0</v>
      </c>
      <c r="N34" s="488">
        <f t="shared" si="2"/>
        <v>0</v>
      </c>
    </row>
    <row r="35" spans="1:15" ht="12.75" customHeight="1">
      <c r="A35" s="141" t="s">
        <v>192</v>
      </c>
      <c r="B35" s="402"/>
      <c r="C35" s="416"/>
      <c r="D35" s="131"/>
      <c r="E35" s="268">
        <v>0</v>
      </c>
      <c r="F35" s="275" t="e">
        <f t="shared" si="1"/>
        <v>#DIV/0!</v>
      </c>
      <c r="H35" s="146" t="s">
        <v>167</v>
      </c>
      <c r="I35" s="284">
        <f t="shared" si="2"/>
        <v>0</v>
      </c>
      <c r="J35" s="284">
        <f t="shared" si="2"/>
        <v>0</v>
      </c>
      <c r="K35" s="284">
        <f t="shared" si="2"/>
        <v>0</v>
      </c>
      <c r="L35" s="284">
        <f t="shared" si="2"/>
        <v>0</v>
      </c>
      <c r="M35" s="284">
        <f t="shared" si="2"/>
        <v>0</v>
      </c>
      <c r="N35" s="488">
        <f t="shared" si="2"/>
        <v>0</v>
      </c>
    </row>
    <row r="36" spans="1:15" ht="12.75" customHeight="1">
      <c r="A36" s="141" t="s">
        <v>193</v>
      </c>
      <c r="B36" s="402"/>
      <c r="C36" s="416"/>
      <c r="D36" s="131"/>
      <c r="E36" s="268">
        <v>0</v>
      </c>
      <c r="F36" s="275" t="e">
        <f t="shared" si="1"/>
        <v>#DIV/0!</v>
      </c>
      <c r="H36" s="146" t="s">
        <v>169</v>
      </c>
      <c r="I36" s="284">
        <f t="shared" si="2"/>
        <v>0</v>
      </c>
      <c r="J36" s="284">
        <f t="shared" si="2"/>
        <v>0</v>
      </c>
      <c r="K36" s="284">
        <f t="shared" si="2"/>
        <v>0</v>
      </c>
      <c r="L36" s="284">
        <f t="shared" si="2"/>
        <v>0</v>
      </c>
      <c r="M36" s="284">
        <f t="shared" si="2"/>
        <v>0</v>
      </c>
      <c r="N36" s="488">
        <f t="shared" si="2"/>
        <v>0</v>
      </c>
    </row>
    <row r="37" spans="1:15" ht="12.75" customHeight="1">
      <c r="A37" s="141" t="s">
        <v>194</v>
      </c>
      <c r="B37" s="402"/>
      <c r="C37" s="417"/>
      <c r="D37" s="131"/>
      <c r="E37" s="268">
        <v>0</v>
      </c>
      <c r="F37" s="275" t="e">
        <f t="shared" si="1"/>
        <v>#DIV/0!</v>
      </c>
      <c r="H37" s="146" t="s">
        <v>170</v>
      </c>
      <c r="I37" s="284">
        <f t="shared" si="2"/>
        <v>0</v>
      </c>
      <c r="J37" s="284">
        <f t="shared" si="2"/>
        <v>0</v>
      </c>
      <c r="K37" s="284">
        <f t="shared" si="2"/>
        <v>0</v>
      </c>
      <c r="L37" s="284">
        <f t="shared" si="2"/>
        <v>0</v>
      </c>
      <c r="M37" s="284">
        <f t="shared" si="2"/>
        <v>0</v>
      </c>
      <c r="N37" s="488">
        <f t="shared" si="2"/>
        <v>0</v>
      </c>
      <c r="O37" s="145"/>
    </row>
    <row r="38" spans="1:15" ht="14.25" customHeight="1">
      <c r="A38" s="141" t="s">
        <v>195</v>
      </c>
      <c r="B38" s="402"/>
      <c r="C38" s="416"/>
      <c r="D38" s="131"/>
      <c r="E38" s="268">
        <v>0</v>
      </c>
      <c r="F38" s="275" t="e">
        <f t="shared" si="1"/>
        <v>#DIV/0!</v>
      </c>
      <c r="H38" s="146" t="s">
        <v>172</v>
      </c>
      <c r="I38" s="284">
        <f t="shared" si="2"/>
        <v>0</v>
      </c>
      <c r="J38" s="284">
        <f t="shared" si="2"/>
        <v>0</v>
      </c>
      <c r="K38" s="284">
        <f t="shared" si="2"/>
        <v>0</v>
      </c>
      <c r="L38" s="284">
        <f t="shared" si="2"/>
        <v>0</v>
      </c>
      <c r="M38" s="284">
        <f t="shared" si="2"/>
        <v>0</v>
      </c>
      <c r="N38" s="488">
        <f t="shared" si="2"/>
        <v>0</v>
      </c>
      <c r="O38" s="145"/>
    </row>
    <row r="39" spans="1:15">
      <c r="A39" s="141" t="s">
        <v>196</v>
      </c>
      <c r="B39" s="402"/>
      <c r="C39" s="417"/>
      <c r="D39" s="131"/>
      <c r="E39" s="268">
        <v>0</v>
      </c>
      <c r="F39" s="275" t="e">
        <f t="shared" si="1"/>
        <v>#DIV/0!</v>
      </c>
      <c r="H39" s="146" t="s">
        <v>174</v>
      </c>
      <c r="I39" s="284">
        <f t="shared" si="2"/>
        <v>0</v>
      </c>
      <c r="J39" s="284">
        <f t="shared" si="2"/>
        <v>0</v>
      </c>
      <c r="K39" s="284">
        <f t="shared" si="2"/>
        <v>0</v>
      </c>
      <c r="L39" s="284">
        <f t="shared" si="2"/>
        <v>0</v>
      </c>
      <c r="M39" s="284">
        <f t="shared" si="2"/>
        <v>0</v>
      </c>
      <c r="N39" s="488">
        <f t="shared" si="2"/>
        <v>0</v>
      </c>
      <c r="O39" s="145"/>
    </row>
    <row r="40" spans="1:15">
      <c r="A40" s="141" t="s">
        <v>197</v>
      </c>
      <c r="B40" s="402"/>
      <c r="C40" s="395" t="s">
        <v>185</v>
      </c>
      <c r="D40" s="131"/>
      <c r="E40" s="268">
        <v>0</v>
      </c>
      <c r="F40" s="275" t="e">
        <f t="shared" si="1"/>
        <v>#DIV/0!</v>
      </c>
      <c r="H40" s="146" t="s">
        <v>176</v>
      </c>
      <c r="I40" s="284">
        <f t="shared" si="2"/>
        <v>0</v>
      </c>
      <c r="J40" s="284">
        <f t="shared" si="2"/>
        <v>0</v>
      </c>
      <c r="K40" s="284">
        <f t="shared" si="2"/>
        <v>0</v>
      </c>
      <c r="L40" s="284">
        <f t="shared" si="2"/>
        <v>0</v>
      </c>
      <c r="M40" s="284">
        <f t="shared" si="2"/>
        <v>0</v>
      </c>
      <c r="N40" s="488">
        <f t="shared" si="2"/>
        <v>0</v>
      </c>
      <c r="O40" s="145"/>
    </row>
    <row r="41" spans="1:15">
      <c r="A41" s="141" t="s">
        <v>198</v>
      </c>
      <c r="B41" s="402"/>
      <c r="C41" s="395"/>
      <c r="D41" s="131"/>
      <c r="E41" s="268">
        <v>0</v>
      </c>
      <c r="F41" s="275" t="e">
        <f t="shared" si="1"/>
        <v>#DIV/0!</v>
      </c>
      <c r="H41" s="147" t="s">
        <v>188</v>
      </c>
      <c r="I41" s="285">
        <f t="shared" ref="I41:N41" si="3">SUM(I34:I40)</f>
        <v>0</v>
      </c>
      <c r="J41" s="285">
        <f t="shared" si="3"/>
        <v>0</v>
      </c>
      <c r="K41" s="285">
        <f t="shared" si="3"/>
        <v>0</v>
      </c>
      <c r="L41" s="285">
        <f t="shared" si="3"/>
        <v>0</v>
      </c>
      <c r="M41" s="285">
        <f t="shared" si="3"/>
        <v>0</v>
      </c>
      <c r="N41" s="285">
        <f t="shared" si="3"/>
        <v>0</v>
      </c>
      <c r="O41" s="145"/>
    </row>
    <row r="42" spans="1:15">
      <c r="A42" s="413"/>
      <c r="B42" s="414"/>
      <c r="C42" s="418"/>
      <c r="D42" s="566"/>
      <c r="E42" s="268"/>
      <c r="F42" s="267"/>
      <c r="H42" s="145"/>
      <c r="I42" s="145"/>
      <c r="J42" s="145"/>
      <c r="K42" s="145"/>
      <c r="L42" s="145"/>
      <c r="M42" s="145"/>
      <c r="N42" s="145"/>
      <c r="O42" s="145"/>
    </row>
    <row r="43" spans="1:15">
      <c r="A43" s="396" t="s">
        <v>199</v>
      </c>
      <c r="B43" s="402"/>
      <c r="C43" s="142"/>
      <c r="D43" s="131"/>
      <c r="E43" s="269" t="e">
        <f>SUM(E32:E42)</f>
        <v>#DIV/0!</v>
      </c>
      <c r="F43" s="403" t="e">
        <f>IF(E43=0,0,E43/E$47)</f>
        <v>#DIV/0!</v>
      </c>
      <c r="H43" s="145"/>
      <c r="I43" s="145"/>
      <c r="J43" s="145"/>
      <c r="K43" s="145"/>
      <c r="L43" s="145"/>
      <c r="M43" s="145"/>
      <c r="N43" s="145"/>
      <c r="O43" s="145"/>
    </row>
    <row r="44" spans="1:15" ht="45">
      <c r="A44" s="141"/>
      <c r="B44" s="402"/>
      <c r="C44" s="142"/>
      <c r="D44" s="131"/>
      <c r="F44" s="276"/>
      <c r="G44" s="498"/>
      <c r="H44" s="551" t="s">
        <v>200</v>
      </c>
      <c r="I44" s="552"/>
      <c r="J44" s="553"/>
      <c r="K44" s="215" t="s">
        <v>159</v>
      </c>
      <c r="L44" s="145"/>
      <c r="M44" s="145"/>
      <c r="N44" s="145"/>
      <c r="O44" s="145"/>
    </row>
    <row r="45" spans="1:15">
      <c r="A45" s="141" t="s">
        <v>201</v>
      </c>
      <c r="B45" s="402"/>
      <c r="C45" s="417"/>
      <c r="D45" s="131"/>
      <c r="E45" s="564"/>
      <c r="F45" s="565">
        <f>(IF(E45=0,0,E45/E$47))</f>
        <v>0</v>
      </c>
      <c r="H45" s="146"/>
      <c r="I45" s="390" t="s">
        <v>162</v>
      </c>
      <c r="J45" s="391" t="s">
        <v>162</v>
      </c>
      <c r="K45" s="265"/>
      <c r="L45" s="145"/>
      <c r="M45" s="145"/>
      <c r="N45" s="145"/>
    </row>
    <row r="46" spans="1:15">
      <c r="A46" s="141"/>
      <c r="B46" s="419"/>
      <c r="C46" s="142"/>
      <c r="D46" s="131"/>
      <c r="E46" s="265"/>
      <c r="F46" s="267"/>
      <c r="H46" s="149" t="s">
        <v>168</v>
      </c>
      <c r="I46" s="150"/>
      <c r="J46" s="151"/>
      <c r="K46" s="269">
        <f>E14</f>
        <v>0</v>
      </c>
      <c r="L46" s="145"/>
      <c r="M46" s="145"/>
      <c r="N46" s="145"/>
    </row>
    <row r="47" spans="1:15">
      <c r="A47" s="396" t="s">
        <v>202</v>
      </c>
      <c r="B47" s="420"/>
      <c r="C47" s="421"/>
      <c r="D47" s="131"/>
      <c r="E47" s="277" t="e">
        <f>SUM(E43:E46)</f>
        <v>#DIV/0!</v>
      </c>
      <c r="F47" s="278" t="e">
        <f>SUM(F43:F46)</f>
        <v>#DIV/0!</v>
      </c>
      <c r="H47" s="152" t="s">
        <v>171</v>
      </c>
      <c r="I47" s="153"/>
      <c r="J47" s="154"/>
      <c r="K47" s="271">
        <f>E16</f>
        <v>0</v>
      </c>
      <c r="L47" s="145"/>
      <c r="M47" s="145"/>
      <c r="N47" s="145"/>
    </row>
    <row r="48" spans="1:15">
      <c r="B48" s="148"/>
      <c r="C48" s="422"/>
      <c r="D48" s="131"/>
      <c r="E48" s="249"/>
      <c r="F48" s="279"/>
      <c r="H48" s="401" t="s">
        <v>173</v>
      </c>
      <c r="I48" s="153"/>
      <c r="J48" s="154"/>
      <c r="K48" s="272">
        <f>E17</f>
        <v>0</v>
      </c>
      <c r="L48" s="145"/>
      <c r="M48" s="145"/>
      <c r="N48" s="145"/>
    </row>
    <row r="49" spans="1:26">
      <c r="A49" s="423" t="s">
        <v>203</v>
      </c>
      <c r="B49" s="424"/>
      <c r="C49" s="425"/>
      <c r="D49" s="145"/>
      <c r="E49" s="280" t="e">
        <f>(E$25*1.3)+($E$47-$E$25)</f>
        <v>#DIV/0!</v>
      </c>
      <c r="F49" s="281"/>
      <c r="H49" s="401" t="s">
        <v>179</v>
      </c>
      <c r="I49" s="153"/>
      <c r="J49" s="154"/>
      <c r="K49" s="271" t="e">
        <f>E21</f>
        <v>#DIV/0!</v>
      </c>
      <c r="L49" s="145"/>
      <c r="M49" s="145"/>
      <c r="N49" s="145"/>
      <c r="O49" s="145"/>
    </row>
    <row r="50" spans="1:26">
      <c r="A50" s="145"/>
      <c r="B50" s="155"/>
      <c r="C50" s="156"/>
      <c r="D50" s="145"/>
      <c r="E50" s="282"/>
      <c r="F50" s="282"/>
      <c r="H50" s="401" t="s">
        <v>182</v>
      </c>
      <c r="I50" s="405"/>
      <c r="J50" s="406"/>
      <c r="K50" s="271" t="e">
        <f>E24</f>
        <v>#DIV/0!</v>
      </c>
      <c r="L50" s="145"/>
      <c r="M50" s="145"/>
      <c r="N50" s="145"/>
      <c r="O50" s="145"/>
    </row>
    <row r="51" spans="1:26">
      <c r="A51" s="423" t="s">
        <v>204</v>
      </c>
      <c r="B51" s="424"/>
      <c r="C51" s="425"/>
      <c r="D51" s="145"/>
      <c r="E51" s="280" t="e">
        <f>(E$25*1.5)+($E$47-$E$25)</f>
        <v>#DIV/0!</v>
      </c>
      <c r="F51" s="281"/>
      <c r="G51" s="145"/>
      <c r="H51" s="141" t="s">
        <v>184</v>
      </c>
      <c r="I51" s="409"/>
      <c r="J51" s="395"/>
      <c r="K51" s="266">
        <f>E27</f>
        <v>0</v>
      </c>
      <c r="L51" s="145"/>
      <c r="M51" s="145"/>
      <c r="N51" s="145"/>
      <c r="O51" s="145"/>
    </row>
    <row r="52" spans="1:26" s="13" customFormat="1">
      <c r="A52" s="145"/>
      <c r="B52" s="155"/>
      <c r="C52" s="156"/>
      <c r="D52" s="145"/>
      <c r="E52" s="282"/>
      <c r="F52" s="282"/>
      <c r="G52" s="145"/>
      <c r="H52" s="141" t="s">
        <v>186</v>
      </c>
      <c r="I52" s="410"/>
      <c r="J52" s="395"/>
      <c r="K52" s="266">
        <f>E28</f>
        <v>0</v>
      </c>
      <c r="L52" s="145"/>
      <c r="M52" s="58"/>
      <c r="N52" s="145"/>
      <c r="O52" s="145"/>
      <c r="P52" s="58"/>
      <c r="Q52" s="58"/>
      <c r="R52" s="58"/>
      <c r="S52" s="58"/>
      <c r="T52" s="58"/>
      <c r="U52" s="58"/>
      <c r="V52" s="2"/>
      <c r="W52" s="2"/>
      <c r="X52" s="2"/>
      <c r="Y52" s="2"/>
      <c r="Z52" s="2"/>
    </row>
    <row r="53" spans="1:26" s="13" customFormat="1">
      <c r="A53" s="423" t="s">
        <v>205</v>
      </c>
      <c r="B53" s="424"/>
      <c r="C53" s="425"/>
      <c r="D53" s="145"/>
      <c r="E53" s="280" t="e">
        <f>(E$25*2.5)+($E$47-$E$25)</f>
        <v>#DIV/0!</v>
      </c>
      <c r="F53" s="282"/>
      <c r="G53" s="145"/>
      <c r="H53" s="141" t="s">
        <v>187</v>
      </c>
      <c r="I53" s="402"/>
      <c r="J53" s="142" t="s">
        <v>162</v>
      </c>
      <c r="K53" s="266">
        <f>E29</f>
        <v>0</v>
      </c>
      <c r="L53" s="145"/>
      <c r="M53" s="58"/>
      <c r="N53" s="145"/>
      <c r="O53" s="145"/>
      <c r="P53" s="145"/>
      <c r="Q53" s="145"/>
      <c r="R53" s="145"/>
      <c r="S53" s="145"/>
      <c r="T53" s="145"/>
      <c r="U53" s="145"/>
    </row>
    <row r="54" spans="1:26" s="13" customFormat="1">
      <c r="A54" s="145"/>
      <c r="B54" s="155"/>
      <c r="C54" s="157"/>
      <c r="D54" s="145"/>
      <c r="E54" s="145"/>
      <c r="F54" s="158"/>
      <c r="G54" s="145"/>
      <c r="H54" s="141" t="s">
        <v>191</v>
      </c>
      <c r="I54" s="402"/>
      <c r="J54" s="416"/>
      <c r="K54" s="266">
        <f t="shared" ref="K54:K61" si="4">E34</f>
        <v>0</v>
      </c>
      <c r="L54" s="145"/>
      <c r="M54" s="58"/>
      <c r="N54" s="145"/>
      <c r="O54" s="145"/>
      <c r="P54" s="145"/>
      <c r="Q54" s="145"/>
      <c r="R54" s="145"/>
      <c r="S54" s="145"/>
      <c r="T54" s="145"/>
      <c r="U54" s="145"/>
    </row>
    <row r="55" spans="1:26" s="13" customFormat="1">
      <c r="A55" s="145"/>
      <c r="B55" s="155"/>
      <c r="C55" s="157"/>
      <c r="D55" s="145"/>
      <c r="E55" s="145"/>
      <c r="F55" s="158"/>
      <c r="G55" s="145"/>
      <c r="H55" s="141" t="s">
        <v>192</v>
      </c>
      <c r="I55" s="402"/>
      <c r="J55" s="416"/>
      <c r="K55" s="266">
        <f t="shared" si="4"/>
        <v>0</v>
      </c>
      <c r="L55" s="145"/>
      <c r="M55" s="58"/>
      <c r="N55" s="145"/>
      <c r="O55" s="145"/>
      <c r="P55" s="145"/>
      <c r="Q55" s="145"/>
      <c r="R55" s="145"/>
      <c r="S55" s="145"/>
      <c r="T55" s="145"/>
      <c r="U55" s="145"/>
    </row>
    <row r="56" spans="1:26" s="13" customFormat="1">
      <c r="A56" s="145"/>
      <c r="B56" s="145"/>
      <c r="C56" s="159"/>
      <c r="D56" s="145"/>
      <c r="E56" s="145"/>
      <c r="F56" s="158"/>
      <c r="G56" s="145"/>
      <c r="H56" s="141" t="s">
        <v>193</v>
      </c>
      <c r="I56" s="402"/>
      <c r="J56" s="416"/>
      <c r="K56" s="266">
        <f t="shared" si="4"/>
        <v>0</v>
      </c>
      <c r="L56" s="145"/>
      <c r="M56" s="58"/>
      <c r="N56" s="145"/>
      <c r="O56" s="145"/>
      <c r="P56" s="145"/>
      <c r="Q56" s="145"/>
      <c r="R56" s="145"/>
      <c r="S56" s="145"/>
      <c r="T56" s="145"/>
      <c r="U56" s="145"/>
    </row>
    <row r="57" spans="1:26" s="13" customFormat="1">
      <c r="A57" s="145"/>
      <c r="B57" s="145"/>
      <c r="C57" s="159"/>
      <c r="D57" s="145"/>
      <c r="E57" s="145"/>
      <c r="F57" s="158"/>
      <c r="G57" s="145"/>
      <c r="H57" s="141" t="s">
        <v>194</v>
      </c>
      <c r="I57" s="402"/>
      <c r="J57" s="417"/>
      <c r="K57" s="266">
        <f t="shared" si="4"/>
        <v>0</v>
      </c>
      <c r="L57" s="145"/>
      <c r="M57" s="58"/>
      <c r="N57" s="145"/>
      <c r="O57" s="145"/>
      <c r="P57" s="145"/>
      <c r="Q57" s="145"/>
      <c r="R57" s="145"/>
      <c r="S57" s="145"/>
      <c r="T57" s="145"/>
      <c r="U57" s="145"/>
    </row>
    <row r="58" spans="1:26" s="13" customFormat="1">
      <c r="A58" s="58"/>
      <c r="B58" s="145"/>
      <c r="C58" s="159"/>
      <c r="D58" s="145"/>
      <c r="E58" s="145"/>
      <c r="F58" s="158"/>
      <c r="G58" s="145"/>
      <c r="H58" s="141" t="s">
        <v>195</v>
      </c>
      <c r="I58" s="402"/>
      <c r="J58" s="416"/>
      <c r="K58" s="266">
        <f t="shared" si="4"/>
        <v>0</v>
      </c>
      <c r="L58" s="145"/>
      <c r="M58" s="58"/>
      <c r="N58" s="145"/>
      <c r="O58" s="145"/>
      <c r="P58" s="145"/>
      <c r="Q58" s="145"/>
      <c r="R58" s="145"/>
      <c r="S58" s="145"/>
      <c r="T58" s="145"/>
      <c r="U58" s="145"/>
    </row>
    <row r="59" spans="1:26" s="13" customFormat="1">
      <c r="A59" s="145"/>
      <c r="B59" s="145"/>
      <c r="C59" s="159"/>
      <c r="D59" s="159"/>
      <c r="E59" s="159"/>
      <c r="F59" s="159"/>
      <c r="G59" s="145"/>
      <c r="H59" s="141" t="s">
        <v>196</v>
      </c>
      <c r="I59" s="402"/>
      <c r="J59" s="417"/>
      <c r="K59" s="266">
        <f t="shared" si="4"/>
        <v>0</v>
      </c>
      <c r="L59" s="145"/>
      <c r="M59" s="58"/>
      <c r="N59" s="58"/>
      <c r="O59" s="145"/>
      <c r="P59" s="145"/>
      <c r="Q59" s="145"/>
      <c r="R59" s="145"/>
      <c r="S59" s="145"/>
      <c r="T59" s="145"/>
      <c r="U59" s="145"/>
    </row>
    <row r="60" spans="1:26" s="13" customFormat="1">
      <c r="A60" s="145"/>
      <c r="B60" s="145"/>
      <c r="C60" s="159"/>
      <c r="D60" s="145"/>
      <c r="E60" s="145"/>
      <c r="F60" s="158"/>
      <c r="G60" s="145"/>
      <c r="H60" s="141" t="s">
        <v>197</v>
      </c>
      <c r="I60" s="402"/>
      <c r="J60" s="395"/>
      <c r="K60" s="266">
        <f t="shared" si="4"/>
        <v>0</v>
      </c>
      <c r="L60" s="145"/>
      <c r="M60" s="58"/>
      <c r="N60" s="58"/>
      <c r="O60" s="145"/>
      <c r="P60" s="145"/>
      <c r="Q60" s="145"/>
      <c r="R60" s="145"/>
      <c r="S60" s="145"/>
      <c r="T60" s="145"/>
      <c r="U60" s="145"/>
    </row>
    <row r="61" spans="1:26" s="13" customFormat="1">
      <c r="A61" s="145"/>
      <c r="B61" s="145"/>
      <c r="C61" s="159"/>
      <c r="D61" s="145"/>
      <c r="E61" s="145"/>
      <c r="F61" s="158"/>
      <c r="G61" s="145"/>
      <c r="H61" s="141" t="s">
        <v>206</v>
      </c>
      <c r="I61" s="402"/>
      <c r="J61" s="395"/>
      <c r="K61" s="266">
        <f t="shared" si="4"/>
        <v>0</v>
      </c>
      <c r="L61" s="145"/>
      <c r="M61" s="58"/>
      <c r="N61" s="58"/>
      <c r="O61" s="145"/>
      <c r="P61" s="145"/>
      <c r="Q61" s="145"/>
      <c r="R61" s="145"/>
      <c r="S61" s="145"/>
      <c r="T61" s="145"/>
      <c r="U61" s="145"/>
    </row>
    <row r="62" spans="1:26" s="13" customFormat="1">
      <c r="A62" s="145"/>
      <c r="B62" s="145"/>
      <c r="C62" s="159"/>
      <c r="D62" s="145"/>
      <c r="E62" s="145"/>
      <c r="F62" s="158"/>
      <c r="G62" s="145"/>
      <c r="H62" s="141" t="s">
        <v>201</v>
      </c>
      <c r="I62" s="402"/>
      <c r="J62" s="417"/>
      <c r="K62" s="266" t="e">
        <f>#REF!</f>
        <v>#REF!</v>
      </c>
      <c r="L62" s="145"/>
      <c r="M62" s="58"/>
      <c r="N62" s="58"/>
      <c r="O62" s="145"/>
      <c r="P62" s="145"/>
      <c r="Q62" s="145"/>
      <c r="R62" s="145"/>
      <c r="S62" s="145"/>
      <c r="T62" s="145"/>
      <c r="U62" s="145"/>
    </row>
    <row r="63" spans="1:26" s="13" customFormat="1">
      <c r="A63" s="145"/>
      <c r="B63" s="145"/>
      <c r="C63" s="159"/>
      <c r="D63" s="145"/>
      <c r="E63" s="145"/>
      <c r="F63" s="158"/>
      <c r="G63" s="145"/>
      <c r="H63" s="141"/>
      <c r="I63" s="419"/>
      <c r="J63" s="142"/>
      <c r="K63" s="265"/>
      <c r="L63" s="145"/>
      <c r="M63" s="58"/>
      <c r="N63" s="58"/>
      <c r="O63" s="145"/>
      <c r="P63" s="145"/>
      <c r="Q63" s="145"/>
      <c r="R63" s="145"/>
      <c r="S63" s="145"/>
      <c r="T63" s="145"/>
      <c r="U63" s="145"/>
    </row>
    <row r="64" spans="1:26" s="13" customFormat="1">
      <c r="A64" s="145"/>
      <c r="B64" s="145"/>
      <c r="C64" s="159"/>
      <c r="D64" s="145"/>
      <c r="E64" s="145"/>
      <c r="F64" s="158"/>
      <c r="G64" s="145"/>
      <c r="H64" s="396" t="s">
        <v>202</v>
      </c>
      <c r="I64" s="420"/>
      <c r="J64" s="421"/>
      <c r="K64" s="277" t="e">
        <f>SUM(K46:K63)</f>
        <v>#DIV/0!</v>
      </c>
      <c r="L64" s="145"/>
      <c r="M64" s="58"/>
      <c r="N64" s="58"/>
      <c r="O64" s="145"/>
      <c r="P64" s="145"/>
      <c r="Q64" s="145"/>
      <c r="R64" s="145"/>
      <c r="S64" s="145"/>
      <c r="T64" s="145"/>
      <c r="U64" s="145"/>
    </row>
    <row r="65" spans="1:22" s="13" customFormat="1">
      <c r="A65" s="145"/>
      <c r="B65" s="145"/>
      <c r="C65" s="159"/>
      <c r="D65" s="145"/>
      <c r="E65" s="58"/>
      <c r="F65" s="158"/>
      <c r="G65" s="145"/>
      <c r="H65" s="58"/>
      <c r="I65" s="148"/>
      <c r="J65" s="422"/>
      <c r="K65" s="249"/>
      <c r="L65" s="145"/>
      <c r="M65" s="58"/>
      <c r="N65" s="58"/>
      <c r="O65" s="145"/>
      <c r="P65" s="145"/>
      <c r="Q65" s="145"/>
      <c r="R65" s="145"/>
      <c r="S65" s="145"/>
      <c r="T65" s="145"/>
      <c r="U65" s="145"/>
    </row>
    <row r="66" spans="1:22" s="13" customFormat="1">
      <c r="A66" s="58"/>
      <c r="B66" s="58"/>
      <c r="C66" s="58"/>
      <c r="D66" s="58"/>
      <c r="E66" s="58"/>
      <c r="F66" s="58"/>
      <c r="G66" s="145"/>
      <c r="H66" s="423" t="s">
        <v>203</v>
      </c>
      <c r="I66" s="424"/>
      <c r="J66" s="425"/>
      <c r="K66" s="280" t="e">
        <f>E49</f>
        <v>#DIV/0!</v>
      </c>
      <c r="L66" s="145"/>
      <c r="M66" s="58"/>
      <c r="N66" s="58"/>
      <c r="O66" s="58"/>
      <c r="P66" s="145"/>
      <c r="Q66" s="145"/>
      <c r="R66" s="145"/>
      <c r="S66" s="145"/>
      <c r="T66" s="145"/>
      <c r="U66" s="145"/>
    </row>
    <row r="67" spans="1:22" s="13" customFormat="1">
      <c r="A67" s="58"/>
      <c r="B67" s="58"/>
      <c r="C67" s="58"/>
      <c r="D67" s="58"/>
      <c r="E67" s="58"/>
      <c r="F67" s="58"/>
      <c r="G67" s="145"/>
      <c r="H67" s="145"/>
      <c r="I67" s="155"/>
      <c r="J67" s="156"/>
      <c r="K67" s="282"/>
      <c r="L67" s="145"/>
      <c r="M67" s="58"/>
      <c r="N67" s="58"/>
      <c r="O67" s="58"/>
      <c r="P67" s="58"/>
      <c r="Q67" s="145"/>
      <c r="R67" s="145"/>
      <c r="S67" s="145"/>
      <c r="T67" s="145"/>
      <c r="U67" s="145"/>
    </row>
    <row r="68" spans="1:22" s="13" customFormat="1">
      <c r="A68" s="58"/>
      <c r="B68" s="58"/>
      <c r="C68" s="58"/>
      <c r="D68" s="58"/>
      <c r="E68" s="58"/>
      <c r="F68" s="58"/>
      <c r="G68" s="58"/>
      <c r="H68" s="423" t="s">
        <v>204</v>
      </c>
      <c r="I68" s="424"/>
      <c r="J68" s="425"/>
      <c r="K68" s="280" t="e">
        <f>E51</f>
        <v>#DIV/0!</v>
      </c>
      <c r="L68" s="145"/>
      <c r="M68" s="58"/>
      <c r="N68" s="58"/>
      <c r="O68" s="58"/>
      <c r="P68" s="58"/>
      <c r="Q68" s="58"/>
      <c r="R68" s="58"/>
      <c r="S68" s="58"/>
      <c r="T68" s="58"/>
      <c r="U68" s="58"/>
      <c r="V68" s="2"/>
    </row>
    <row r="69" spans="1:22">
      <c r="H69" s="145"/>
      <c r="I69" s="155"/>
      <c r="J69" s="156"/>
      <c r="K69" s="282"/>
      <c r="L69" s="145"/>
    </row>
    <row r="70" spans="1:22">
      <c r="H70" s="423" t="s">
        <v>205</v>
      </c>
      <c r="I70" s="424"/>
      <c r="J70" s="425"/>
      <c r="K70" s="280" t="e">
        <f>E53</f>
        <v>#DIV/0!</v>
      </c>
      <c r="L70" s="145"/>
    </row>
    <row r="72" spans="1:22">
      <c r="L72" s="145"/>
    </row>
    <row r="73" spans="1:22">
      <c r="L73" s="145"/>
    </row>
    <row r="74" spans="1:22">
      <c r="L74" s="145"/>
    </row>
  </sheetData>
  <dataConsolidate/>
  <mergeCells count="8">
    <mergeCell ref="I32:N32"/>
    <mergeCell ref="H44:J44"/>
    <mergeCell ref="E10:F10"/>
    <mergeCell ref="H1:N2"/>
    <mergeCell ref="H3:N3"/>
    <mergeCell ref="H4:N5"/>
    <mergeCell ref="I10:N10"/>
    <mergeCell ref="I20:N20"/>
  </mergeCells>
  <phoneticPr fontId="9"/>
  <conditionalFormatting sqref="O29">
    <cfRule type="cellIs" dxfId="7" priority="1" operator="greaterThan">
      <formula>1</formula>
    </cfRule>
    <cfRule type="cellIs" dxfId="6" priority="2" operator="between">
      <formula>0.999999</formula>
      <formula>0</formula>
    </cfRule>
    <cfRule type="cellIs" dxfId="5"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76"/>
  <sheetViews>
    <sheetView showGridLines="0" zoomScale="89" zoomScaleNormal="89" zoomScalePageLayoutView="50" workbookViewId="0">
      <pane ySplit="9" topLeftCell="A15" activePane="bottomLeft" state="frozen"/>
      <selection activeCell="B1" sqref="B1"/>
      <selection pane="bottomLeft" activeCell="E43" sqref="E43"/>
    </sheetView>
  </sheetViews>
  <sheetFormatPr defaultColWidth="11.44140625" defaultRowHeight="13.2"/>
  <cols>
    <col min="1" max="1" width="35.88671875" style="58" customWidth="1"/>
    <col min="2" max="2" width="21.33203125" style="58" customWidth="1"/>
    <col min="3" max="3" width="19.33203125" style="58" bestFit="1" customWidth="1"/>
    <col min="4" max="4" width="2" style="58" customWidth="1"/>
    <col min="5" max="5" width="14.44140625" style="58" customWidth="1"/>
    <col min="6" max="6" width="11.6640625" style="58" customWidth="1"/>
    <col min="7" max="7" width="6" style="58" customWidth="1"/>
    <col min="8" max="8" width="27.88671875" style="58" customWidth="1"/>
    <col min="9" max="15" width="11.44140625" style="58"/>
    <col min="16" max="16384" width="11.44140625" style="2"/>
  </cols>
  <sheetData>
    <row r="1" spans="1:15" ht="12.75" customHeight="1">
      <c r="A1" s="487" t="s">
        <v>5</v>
      </c>
      <c r="B1" s="102"/>
      <c r="C1" s="103"/>
      <c r="D1" s="103"/>
      <c r="E1" s="103"/>
      <c r="F1" s="103"/>
      <c r="H1" s="556"/>
      <c r="I1" s="556"/>
      <c r="J1" s="556"/>
      <c r="K1" s="556"/>
      <c r="L1" s="556"/>
      <c r="M1" s="556"/>
      <c r="N1" s="556"/>
    </row>
    <row r="2" spans="1:15">
      <c r="A2" s="103"/>
      <c r="B2" s="121"/>
      <c r="C2" s="122"/>
      <c r="D2" s="121"/>
      <c r="E2" s="123"/>
      <c r="F2" s="124"/>
      <c r="H2" s="556"/>
      <c r="I2" s="556"/>
      <c r="J2" s="556"/>
      <c r="K2" s="556"/>
      <c r="L2" s="556"/>
      <c r="M2" s="556"/>
      <c r="N2" s="556"/>
    </row>
    <row r="3" spans="1:15" ht="14.25" customHeight="1">
      <c r="A3" s="38" t="str">
        <f>'2-Kosten per locatie'!A3</f>
        <v>Naam opdrachtgever</v>
      </c>
      <c r="B3" s="125" t="str">
        <f>'2-Kosten per locatie'!B3</f>
        <v>SED organisatie</v>
      </c>
      <c r="C3" s="126"/>
      <c r="D3" s="121"/>
      <c r="E3" s="127"/>
      <c r="F3" s="128"/>
      <c r="H3" s="556"/>
      <c r="I3" s="556"/>
      <c r="J3" s="556"/>
      <c r="K3" s="556"/>
      <c r="L3" s="556"/>
      <c r="M3" s="556"/>
      <c r="N3" s="556"/>
    </row>
    <row r="4" spans="1:15" ht="15.75" customHeight="1">
      <c r="A4" s="38" t="str">
        <f>'2-Kosten per locatie'!A4</f>
        <v>Calculatie onderdeel</v>
      </c>
      <c r="B4" s="129" t="str">
        <f ca="1">MID(CELL("bestandsnaam",$C$9),SEARCH("]",CELL("bestandsnaam",$C$9),1)+1,256)</f>
        <v>7-Opbouw uurtarief toezicht</v>
      </c>
      <c r="C4" s="130"/>
      <c r="D4" s="131"/>
      <c r="H4" s="556"/>
      <c r="I4" s="556"/>
      <c r="J4" s="556"/>
      <c r="K4" s="556"/>
      <c r="L4" s="556"/>
      <c r="M4" s="556"/>
      <c r="N4" s="556"/>
    </row>
    <row r="5" spans="1:15" ht="15.6">
      <c r="A5" s="38" t="str">
        <f>'2-Kosten per locatie'!A5</f>
        <v>Gebouw/plaats</v>
      </c>
      <c r="B5" s="125" t="str">
        <f>'2-Kosten per locatie'!B5</f>
        <v>Perceel 2</v>
      </c>
      <c r="C5" s="130"/>
      <c r="D5" s="131"/>
      <c r="H5" s="556"/>
      <c r="I5" s="556"/>
      <c r="J5" s="556"/>
      <c r="K5" s="556"/>
      <c r="L5" s="556"/>
      <c r="M5" s="556"/>
      <c r="N5" s="556"/>
    </row>
    <row r="6" spans="1:15" ht="15.6">
      <c r="A6" s="38" t="str">
        <f>'2-Kosten per locatie'!A6</f>
        <v>Referentie nummer</v>
      </c>
      <c r="B6" s="125">
        <f>'2-Kosten per locatie'!B6</f>
        <v>0</v>
      </c>
      <c r="C6" s="130"/>
      <c r="D6" s="131"/>
      <c r="H6" s="132"/>
      <c r="I6" s="132"/>
      <c r="J6" s="132"/>
      <c r="K6" s="132"/>
      <c r="L6" s="132"/>
      <c r="M6" s="132"/>
      <c r="N6" s="132"/>
    </row>
    <row r="7" spans="1:15" ht="15.6">
      <c r="A7" s="38" t="str">
        <f>'2-Kosten per locatie'!A7</f>
        <v>Naam dienstverlener</v>
      </c>
      <c r="B7" s="125">
        <f>'2-Kosten per locatie'!B7</f>
        <v>0</v>
      </c>
      <c r="C7" s="130"/>
      <c r="D7" s="131"/>
      <c r="H7" s="132"/>
      <c r="I7" s="132"/>
      <c r="J7" s="132"/>
      <c r="K7" s="132"/>
      <c r="L7" s="132"/>
      <c r="M7" s="132"/>
      <c r="N7" s="132"/>
    </row>
    <row r="8" spans="1:15" ht="15.6">
      <c r="A8" s="38" t="str">
        <f>'2-Kosten per locatie'!A8</f>
        <v>Prijspeil</v>
      </c>
      <c r="B8" s="283">
        <f>'2-Kosten per locatie'!B8</f>
        <v>46023</v>
      </c>
      <c r="C8" s="130"/>
      <c r="D8" s="131"/>
      <c r="J8" s="132"/>
      <c r="K8" s="132"/>
      <c r="L8" s="132"/>
      <c r="M8" s="132"/>
      <c r="N8" s="132"/>
      <c r="O8" s="133"/>
    </row>
    <row r="9" spans="1:15" ht="15.6">
      <c r="A9" s="134"/>
      <c r="B9" s="135"/>
      <c r="C9" s="136"/>
      <c r="D9" s="131"/>
      <c r="E9" s="137"/>
      <c r="F9" s="138"/>
    </row>
    <row r="10" spans="1:15" s="21" customFormat="1" ht="30.75" customHeight="1">
      <c r="A10" s="426" t="s">
        <v>207</v>
      </c>
      <c r="B10" s="388"/>
      <c r="C10" s="389"/>
      <c r="D10" s="212"/>
      <c r="E10" s="554" t="s">
        <v>208</v>
      </c>
      <c r="F10" s="555"/>
      <c r="G10" s="133"/>
      <c r="H10" s="214" t="s">
        <v>160</v>
      </c>
      <c r="I10" s="557" t="s">
        <v>161</v>
      </c>
      <c r="J10" s="558"/>
      <c r="K10" s="558"/>
      <c r="L10" s="558"/>
      <c r="M10" s="558"/>
      <c r="N10" s="558"/>
      <c r="O10" s="133"/>
    </row>
    <row r="11" spans="1:15" ht="14.4" customHeight="1">
      <c r="A11" s="146"/>
      <c r="B11" s="390" t="s">
        <v>162</v>
      </c>
      <c r="C11" s="391" t="s">
        <v>162</v>
      </c>
      <c r="D11" s="131"/>
      <c r="E11" s="139"/>
      <c r="F11" s="427"/>
      <c r="H11" s="146"/>
      <c r="I11" s="286">
        <v>1</v>
      </c>
      <c r="J11" s="286">
        <v>2</v>
      </c>
      <c r="K11" s="286">
        <v>3</v>
      </c>
      <c r="L11" s="286">
        <v>4</v>
      </c>
      <c r="M11" s="286">
        <v>5</v>
      </c>
      <c r="N11" s="286">
        <v>6</v>
      </c>
    </row>
    <row r="12" spans="1:15" ht="12.75" customHeight="1">
      <c r="A12" s="146" t="s">
        <v>163</v>
      </c>
      <c r="B12" s="393" t="s">
        <v>164</v>
      </c>
      <c r="C12" s="394"/>
      <c r="D12" s="131"/>
      <c r="E12" s="266">
        <f>SUM(I31:N31)</f>
        <v>0</v>
      </c>
      <c r="F12" s="267"/>
      <c r="H12" s="146" t="s">
        <v>170</v>
      </c>
      <c r="I12" s="562">
        <v>15.52</v>
      </c>
      <c r="J12" s="562">
        <v>16.079999999999998</v>
      </c>
      <c r="K12" s="562">
        <v>16.7</v>
      </c>
      <c r="L12" s="562">
        <v>17.53</v>
      </c>
      <c r="M12" s="562">
        <v>18.2</v>
      </c>
      <c r="N12" s="562">
        <v>19.12</v>
      </c>
    </row>
    <row r="13" spans="1:15">
      <c r="A13" s="146" t="s">
        <v>166</v>
      </c>
      <c r="B13" s="393" t="s">
        <v>164</v>
      </c>
      <c r="C13" s="395"/>
      <c r="D13" s="131"/>
      <c r="E13" s="268">
        <v>0</v>
      </c>
      <c r="F13" s="267"/>
      <c r="H13" s="146" t="s">
        <v>172</v>
      </c>
      <c r="I13" s="562">
        <v>16.079999999999998</v>
      </c>
      <c r="J13" s="562">
        <v>16.63</v>
      </c>
      <c r="K13" s="562">
        <v>17.3</v>
      </c>
      <c r="L13" s="562">
        <v>18.14</v>
      </c>
      <c r="M13" s="562">
        <v>18.82</v>
      </c>
      <c r="N13" s="562">
        <v>19.77</v>
      </c>
    </row>
    <row r="14" spans="1:15">
      <c r="A14" s="396" t="s">
        <v>168</v>
      </c>
      <c r="B14" s="397"/>
      <c r="C14" s="398"/>
      <c r="D14" s="143"/>
      <c r="E14" s="269">
        <f>SUM(E12:E13)</f>
        <v>0</v>
      </c>
      <c r="F14" s="267"/>
      <c r="H14" s="146" t="s">
        <v>174</v>
      </c>
      <c r="I14" s="562">
        <v>16.55</v>
      </c>
      <c r="J14" s="562">
        <v>17.07</v>
      </c>
      <c r="K14" s="562">
        <v>17.84</v>
      </c>
      <c r="L14" s="562">
        <v>18.73</v>
      </c>
      <c r="M14" s="562">
        <v>19.45</v>
      </c>
      <c r="N14" s="562">
        <v>20.420000000000002</v>
      </c>
    </row>
    <row r="15" spans="1:15">
      <c r="A15" s="141"/>
      <c r="B15" s="399"/>
      <c r="C15" s="400"/>
      <c r="D15" s="131"/>
      <c r="E15" s="270"/>
      <c r="F15" s="267"/>
      <c r="H15" s="146" t="s">
        <v>176</v>
      </c>
      <c r="I15" s="562">
        <v>17.05</v>
      </c>
      <c r="J15" s="562">
        <v>17.7</v>
      </c>
      <c r="K15" s="562">
        <v>18.440000000000001</v>
      </c>
      <c r="L15" s="562">
        <v>19.309999999999999</v>
      </c>
      <c r="M15" s="562">
        <v>20.059999999999999</v>
      </c>
      <c r="N15" s="562">
        <v>21.07</v>
      </c>
    </row>
    <row r="16" spans="1:15">
      <c r="A16" s="401" t="s">
        <v>171</v>
      </c>
      <c r="B16" s="393" t="s">
        <v>164</v>
      </c>
      <c r="C16" s="563">
        <v>0.08</v>
      </c>
      <c r="D16" s="131"/>
      <c r="E16" s="271">
        <f>$C16*E14</f>
        <v>0</v>
      </c>
      <c r="F16" s="267"/>
    </row>
    <row r="17" spans="1:15" ht="14.4" customHeight="1">
      <c r="A17" s="401" t="s">
        <v>173</v>
      </c>
      <c r="B17" s="393" t="s">
        <v>164</v>
      </c>
      <c r="C17" s="563">
        <v>0.05</v>
      </c>
      <c r="D17" s="131"/>
      <c r="E17" s="272">
        <f>$C17*E14</f>
        <v>0</v>
      </c>
      <c r="F17" s="267"/>
      <c r="H17" s="214" t="s">
        <v>160</v>
      </c>
      <c r="I17" s="548" t="s">
        <v>178</v>
      </c>
      <c r="J17" s="549"/>
      <c r="K17" s="549"/>
      <c r="L17" s="549"/>
      <c r="M17" s="549"/>
      <c r="N17" s="550"/>
    </row>
    <row r="18" spans="1:15" ht="13.2" customHeight="1">
      <c r="A18" s="396" t="s">
        <v>175</v>
      </c>
      <c r="B18" s="402"/>
      <c r="C18" s="142"/>
      <c r="D18" s="131"/>
      <c r="E18" s="269">
        <f>SUM(E14:E17)</f>
        <v>0</v>
      </c>
      <c r="F18" s="403">
        <f>IF(E18=0,0,E18/E$46)</f>
        <v>0</v>
      </c>
      <c r="H18" s="146"/>
      <c r="I18" s="286">
        <v>1</v>
      </c>
      <c r="J18" s="286">
        <v>2</v>
      </c>
      <c r="K18" s="286">
        <v>3</v>
      </c>
      <c r="L18" s="286">
        <v>4</v>
      </c>
      <c r="M18" s="286">
        <v>5</v>
      </c>
      <c r="N18" s="286">
        <v>6</v>
      </c>
      <c r="O18" s="249"/>
    </row>
    <row r="19" spans="1:15">
      <c r="A19" s="141"/>
      <c r="B19" s="399"/>
      <c r="C19" s="400"/>
      <c r="D19" s="131"/>
      <c r="E19" s="270"/>
      <c r="F19" s="267"/>
      <c r="H19" s="146" t="s">
        <v>170</v>
      </c>
      <c r="I19" s="407"/>
      <c r="J19" s="407"/>
      <c r="K19" s="407"/>
      <c r="L19" s="407"/>
      <c r="M19" s="407"/>
      <c r="N19" s="407"/>
      <c r="O19" s="249"/>
    </row>
    <row r="20" spans="1:15">
      <c r="A20" s="404" t="s">
        <v>177</v>
      </c>
      <c r="B20" s="405"/>
      <c r="C20" s="400"/>
      <c r="D20" s="144"/>
      <c r="E20" s="273">
        <f>E18*0.96</f>
        <v>0</v>
      </c>
      <c r="F20" s="274"/>
      <c r="H20" s="146" t="s">
        <v>172</v>
      </c>
      <c r="I20" s="407"/>
      <c r="J20" s="407"/>
      <c r="K20" s="407"/>
      <c r="L20" s="407"/>
      <c r="M20" s="407"/>
      <c r="N20" s="407"/>
      <c r="O20" s="282"/>
    </row>
    <row r="21" spans="1:15">
      <c r="A21" s="401" t="s">
        <v>179</v>
      </c>
      <c r="B21" s="405"/>
      <c r="C21" s="406" t="s">
        <v>180</v>
      </c>
      <c r="D21" s="131"/>
      <c r="E21" s="271" t="e">
        <f>E20*'5-Premies en opslagen'!$C24</f>
        <v>#DIV/0!</v>
      </c>
      <c r="F21" s="267"/>
      <c r="G21" s="145"/>
      <c r="H21" s="146" t="s">
        <v>174</v>
      </c>
      <c r="I21" s="407"/>
      <c r="J21" s="407"/>
      <c r="K21" s="407"/>
      <c r="L21" s="407"/>
      <c r="M21" s="407"/>
      <c r="N21" s="407"/>
      <c r="O21" s="249"/>
    </row>
    <row r="22" spans="1:15" s="13" customFormat="1">
      <c r="A22" s="396" t="s">
        <v>181</v>
      </c>
      <c r="B22" s="408"/>
      <c r="C22" s="142"/>
      <c r="D22" s="131"/>
      <c r="E22" s="269" t="e">
        <f>E21+E18</f>
        <v>#DIV/0!</v>
      </c>
      <c r="F22" s="403" t="e">
        <f>IF(E22=0,0,E22/E$46)</f>
        <v>#DIV/0!</v>
      </c>
      <c r="G22" s="58"/>
      <c r="H22" s="146" t="s">
        <v>176</v>
      </c>
      <c r="I22" s="407"/>
      <c r="J22" s="407"/>
      <c r="K22" s="407"/>
      <c r="L22" s="407"/>
      <c r="M22" s="407"/>
      <c r="N22" s="407"/>
      <c r="O22" s="249"/>
    </row>
    <row r="23" spans="1:15" ht="14.25" customHeight="1">
      <c r="A23" s="141"/>
      <c r="B23" s="402"/>
      <c r="C23" s="142"/>
      <c r="D23" s="131"/>
      <c r="E23" s="265"/>
      <c r="F23" s="267"/>
      <c r="H23" s="147" t="s">
        <v>188</v>
      </c>
      <c r="I23" s="411">
        <f t="shared" ref="I23:N23" si="0">SUM(I19:I22)</f>
        <v>0</v>
      </c>
      <c r="J23" s="411">
        <f t="shared" si="0"/>
        <v>0</v>
      </c>
      <c r="K23" s="411">
        <f t="shared" si="0"/>
        <v>0</v>
      </c>
      <c r="L23" s="411">
        <f t="shared" si="0"/>
        <v>0</v>
      </c>
      <c r="M23" s="411">
        <f t="shared" si="0"/>
        <v>0</v>
      </c>
      <c r="N23" s="411">
        <f t="shared" si="0"/>
        <v>0</v>
      </c>
      <c r="O23" s="412">
        <f>SUM(I23:N23)</f>
        <v>0</v>
      </c>
    </row>
    <row r="24" spans="1:15" ht="12.75" customHeight="1">
      <c r="A24" s="401" t="s">
        <v>182</v>
      </c>
      <c r="B24" s="405"/>
      <c r="C24" s="406" t="s">
        <v>180</v>
      </c>
      <c r="D24" s="131"/>
      <c r="E24" s="271" t="e">
        <f>E22*'5-Premies en opslagen'!$B53</f>
        <v>#DIV/0!</v>
      </c>
      <c r="F24" s="267"/>
    </row>
    <row r="25" spans="1:15" ht="12.75" customHeight="1">
      <c r="A25" s="396" t="s">
        <v>183</v>
      </c>
      <c r="B25" s="402"/>
      <c r="C25" s="142"/>
      <c r="D25" s="131"/>
      <c r="E25" s="269" t="e">
        <f>SUM(E22:E24)</f>
        <v>#DIV/0!</v>
      </c>
      <c r="F25" s="403" t="e">
        <f>IF(E25=0,0,E25/E$46)</f>
        <v>#DIV/0!</v>
      </c>
      <c r="H25" s="214" t="s">
        <v>160</v>
      </c>
      <c r="I25" s="557" t="s">
        <v>190</v>
      </c>
      <c r="J25" s="558"/>
      <c r="K25" s="558"/>
      <c r="L25" s="558"/>
      <c r="M25" s="558"/>
      <c r="N25" s="558"/>
    </row>
    <row r="26" spans="1:15">
      <c r="A26" s="141"/>
      <c r="B26" s="402"/>
      <c r="C26" s="142"/>
      <c r="D26" s="131"/>
      <c r="E26" s="265"/>
      <c r="F26" s="267"/>
      <c r="H26" s="288"/>
      <c r="I26" s="286">
        <v>1</v>
      </c>
      <c r="J26" s="286">
        <v>2</v>
      </c>
      <c r="K26" s="286">
        <v>3</v>
      </c>
      <c r="L26" s="286">
        <v>4</v>
      </c>
      <c r="M26" s="286">
        <v>5</v>
      </c>
      <c r="N26" s="286">
        <v>6</v>
      </c>
    </row>
    <row r="27" spans="1:15" ht="13.2" customHeight="1">
      <c r="A27" s="141" t="s">
        <v>184</v>
      </c>
      <c r="B27" s="409"/>
      <c r="C27" s="395" t="s">
        <v>185</v>
      </c>
      <c r="D27" s="131"/>
      <c r="E27" s="268">
        <v>0</v>
      </c>
      <c r="F27" s="267">
        <v>0</v>
      </c>
      <c r="H27" s="146" t="s">
        <v>170</v>
      </c>
      <c r="I27" s="489">
        <f t="shared" ref="I27:N30" si="1">I19*I12</f>
        <v>0</v>
      </c>
      <c r="J27" s="489">
        <f t="shared" si="1"/>
        <v>0</v>
      </c>
      <c r="K27" s="489">
        <f t="shared" si="1"/>
        <v>0</v>
      </c>
      <c r="L27" s="489">
        <f t="shared" si="1"/>
        <v>0</v>
      </c>
      <c r="M27" s="489">
        <f t="shared" si="1"/>
        <v>0</v>
      </c>
      <c r="N27" s="489">
        <f t="shared" si="1"/>
        <v>0</v>
      </c>
    </row>
    <row r="28" spans="1:15">
      <c r="A28" s="141" t="s">
        <v>186</v>
      </c>
      <c r="B28" s="410"/>
      <c r="C28" s="395" t="s">
        <v>185</v>
      </c>
      <c r="D28" s="131"/>
      <c r="E28" s="268">
        <v>0</v>
      </c>
      <c r="F28" s="267">
        <v>0</v>
      </c>
      <c r="H28" s="146" t="s">
        <v>172</v>
      </c>
      <c r="I28" s="489">
        <f t="shared" si="1"/>
        <v>0</v>
      </c>
      <c r="J28" s="489">
        <f t="shared" si="1"/>
        <v>0</v>
      </c>
      <c r="K28" s="489">
        <f t="shared" si="1"/>
        <v>0</v>
      </c>
      <c r="L28" s="489">
        <f t="shared" si="1"/>
        <v>0</v>
      </c>
      <c r="M28" s="489">
        <f t="shared" si="1"/>
        <v>0</v>
      </c>
      <c r="N28" s="489">
        <f t="shared" si="1"/>
        <v>0</v>
      </c>
    </row>
    <row r="29" spans="1:15">
      <c r="A29" s="141" t="s">
        <v>209</v>
      </c>
      <c r="B29" s="402"/>
      <c r="C29" s="142"/>
      <c r="D29" s="131"/>
      <c r="E29" s="268">
        <v>0</v>
      </c>
      <c r="F29" s="267"/>
      <c r="H29" s="146" t="s">
        <v>174</v>
      </c>
      <c r="I29" s="489">
        <f t="shared" si="1"/>
        <v>0</v>
      </c>
      <c r="J29" s="489">
        <f t="shared" si="1"/>
        <v>0</v>
      </c>
      <c r="K29" s="489">
        <f t="shared" si="1"/>
        <v>0</v>
      </c>
      <c r="L29" s="489">
        <f t="shared" si="1"/>
        <v>0</v>
      </c>
      <c r="M29" s="489">
        <f t="shared" si="1"/>
        <v>0</v>
      </c>
      <c r="N29" s="489">
        <f t="shared" si="1"/>
        <v>0</v>
      </c>
    </row>
    <row r="30" spans="1:15">
      <c r="A30" s="413"/>
      <c r="B30" s="414"/>
      <c r="C30" s="415" t="s">
        <v>162</v>
      </c>
      <c r="D30" s="131"/>
      <c r="E30" s="268"/>
      <c r="F30" s="267"/>
      <c r="H30" s="146" t="s">
        <v>176</v>
      </c>
      <c r="I30" s="489">
        <f t="shared" si="1"/>
        <v>0</v>
      </c>
      <c r="J30" s="489">
        <f t="shared" si="1"/>
        <v>0</v>
      </c>
      <c r="K30" s="489">
        <f t="shared" si="1"/>
        <v>0</v>
      </c>
      <c r="L30" s="489">
        <f t="shared" si="1"/>
        <v>0</v>
      </c>
      <c r="M30" s="489">
        <f t="shared" si="1"/>
        <v>0</v>
      </c>
      <c r="N30" s="489">
        <f t="shared" si="1"/>
        <v>0</v>
      </c>
    </row>
    <row r="31" spans="1:15" ht="12.75" customHeight="1">
      <c r="A31" s="396" t="s">
        <v>189</v>
      </c>
      <c r="B31" s="402"/>
      <c r="C31" s="142"/>
      <c r="D31" s="131"/>
      <c r="E31" s="269" t="e">
        <f>SUM(E25:E30)</f>
        <v>#DIV/0!</v>
      </c>
      <c r="F31" s="403" t="e">
        <f>IF(E31=0,0,E31/E$46)</f>
        <v>#DIV/0!</v>
      </c>
      <c r="H31" s="147" t="s">
        <v>188</v>
      </c>
      <c r="I31" s="428">
        <f t="shared" ref="I31:N31" si="2">SUM(I27:I30)</f>
        <v>0</v>
      </c>
      <c r="J31" s="428">
        <f t="shared" si="2"/>
        <v>0</v>
      </c>
      <c r="K31" s="428">
        <f t="shared" si="2"/>
        <v>0</v>
      </c>
      <c r="L31" s="428">
        <f t="shared" si="2"/>
        <v>0</v>
      </c>
      <c r="M31" s="428">
        <f t="shared" si="2"/>
        <v>0</v>
      </c>
      <c r="N31" s="428">
        <f t="shared" si="2"/>
        <v>0</v>
      </c>
    </row>
    <row r="32" spans="1:15" ht="12.75" customHeight="1">
      <c r="A32" s="141"/>
      <c r="B32" s="402"/>
      <c r="C32" s="142"/>
      <c r="D32" s="131"/>
      <c r="E32" s="265"/>
      <c r="F32" s="267"/>
    </row>
    <row r="33" spans="1:15" ht="12.75" customHeight="1">
      <c r="A33" s="141" t="s">
        <v>191</v>
      </c>
      <c r="B33" s="402"/>
      <c r="C33" s="416"/>
      <c r="D33" s="131"/>
      <c r="E33" s="268">
        <v>0</v>
      </c>
      <c r="F33" s="275" t="e">
        <f>E33/$E$46</f>
        <v>#DIV/0!</v>
      </c>
    </row>
    <row r="34" spans="1:15" ht="12.75" customHeight="1">
      <c r="A34" s="141" t="s">
        <v>192</v>
      </c>
      <c r="B34" s="402"/>
      <c r="C34" s="416"/>
      <c r="D34" s="131"/>
      <c r="E34" s="268">
        <v>0</v>
      </c>
      <c r="F34" s="275" t="e">
        <f t="shared" ref="F34:F40" si="3">E34/$E$46</f>
        <v>#DIV/0!</v>
      </c>
    </row>
    <row r="35" spans="1:15" ht="12.75" customHeight="1">
      <c r="A35" s="141" t="s">
        <v>193</v>
      </c>
      <c r="B35" s="402"/>
      <c r="C35" s="416"/>
      <c r="D35" s="131"/>
      <c r="E35" s="268">
        <v>0</v>
      </c>
      <c r="F35" s="275" t="e">
        <f t="shared" si="3"/>
        <v>#DIV/0!</v>
      </c>
    </row>
    <row r="36" spans="1:15" ht="14.25" customHeight="1">
      <c r="A36" s="141" t="s">
        <v>194</v>
      </c>
      <c r="B36" s="402"/>
      <c r="C36" s="417"/>
      <c r="D36" s="131"/>
      <c r="E36" s="268">
        <v>0</v>
      </c>
      <c r="F36" s="275" t="e">
        <f t="shared" si="3"/>
        <v>#DIV/0!</v>
      </c>
    </row>
    <row r="37" spans="1:15">
      <c r="A37" s="141" t="s">
        <v>195</v>
      </c>
      <c r="B37" s="402"/>
      <c r="C37" s="416"/>
      <c r="D37" s="131"/>
      <c r="E37" s="268">
        <v>0</v>
      </c>
      <c r="F37" s="275" t="e">
        <f t="shared" si="3"/>
        <v>#DIV/0!</v>
      </c>
    </row>
    <row r="38" spans="1:15">
      <c r="A38" s="141" t="s">
        <v>196</v>
      </c>
      <c r="B38" s="402"/>
      <c r="C38" s="417"/>
      <c r="D38" s="131"/>
      <c r="E38" s="268">
        <v>0</v>
      </c>
      <c r="F38" s="275" t="e">
        <f t="shared" si="3"/>
        <v>#DIV/0!</v>
      </c>
    </row>
    <row r="39" spans="1:15">
      <c r="A39" s="141" t="s">
        <v>197</v>
      </c>
      <c r="B39" s="402"/>
      <c r="C39" s="395" t="s">
        <v>185</v>
      </c>
      <c r="D39" s="131"/>
      <c r="E39" s="268">
        <v>0</v>
      </c>
      <c r="F39" s="275" t="e">
        <f t="shared" si="3"/>
        <v>#DIV/0!</v>
      </c>
    </row>
    <row r="40" spans="1:15">
      <c r="A40" s="141" t="s">
        <v>206</v>
      </c>
      <c r="B40" s="402"/>
      <c r="C40" s="395"/>
      <c r="D40" s="131"/>
      <c r="E40" s="268">
        <v>0</v>
      </c>
      <c r="F40" s="275" t="e">
        <f t="shared" si="3"/>
        <v>#DIV/0!</v>
      </c>
    </row>
    <row r="41" spans="1:15">
      <c r="A41" s="413"/>
      <c r="B41" s="414"/>
      <c r="C41" s="418"/>
      <c r="D41" s="131"/>
      <c r="E41" s="268">
        <v>0</v>
      </c>
      <c r="F41" s="267"/>
      <c r="H41" s="145"/>
      <c r="I41" s="145"/>
      <c r="J41" s="145"/>
      <c r="K41" s="145"/>
      <c r="L41" s="145"/>
      <c r="M41" s="145"/>
      <c r="N41" s="145"/>
      <c r="O41" s="145"/>
    </row>
    <row r="42" spans="1:15">
      <c r="A42" s="396" t="s">
        <v>199</v>
      </c>
      <c r="B42" s="402"/>
      <c r="C42" s="142"/>
      <c r="D42" s="131"/>
      <c r="E42" s="269" t="e">
        <f>SUM(E31:E41)</f>
        <v>#DIV/0!</v>
      </c>
      <c r="F42" s="403" t="e">
        <f>IF(E42=0,0,E42/E$46)</f>
        <v>#DIV/0!</v>
      </c>
      <c r="H42" s="145"/>
      <c r="I42" s="145"/>
      <c r="J42" s="145"/>
      <c r="K42" s="145"/>
      <c r="L42" s="145"/>
      <c r="M42" s="145"/>
      <c r="N42" s="145"/>
      <c r="O42" s="145"/>
    </row>
    <row r="43" spans="1:15" ht="45">
      <c r="A43" s="141"/>
      <c r="B43" s="402"/>
      <c r="C43" s="142"/>
      <c r="D43" s="131"/>
      <c r="E43" s="265"/>
      <c r="F43" s="276"/>
      <c r="H43" s="426" t="s">
        <v>200</v>
      </c>
      <c r="I43" s="388"/>
      <c r="J43" s="389"/>
      <c r="K43" s="215" t="s">
        <v>159</v>
      </c>
      <c r="L43" s="145"/>
      <c r="M43" s="145"/>
      <c r="N43" s="145"/>
    </row>
    <row r="44" spans="1:15">
      <c r="A44" s="141" t="s">
        <v>201</v>
      </c>
      <c r="B44" s="402"/>
      <c r="C44" s="417"/>
      <c r="D44" s="131"/>
      <c r="E44" s="567"/>
      <c r="F44" s="403">
        <f>(IF(E44=0,0,E44/E$46))</f>
        <v>0</v>
      </c>
      <c r="H44" s="146"/>
      <c r="I44" s="390" t="s">
        <v>162</v>
      </c>
      <c r="J44" s="391" t="s">
        <v>162</v>
      </c>
      <c r="K44" s="265"/>
      <c r="L44" s="145"/>
      <c r="M44" s="145"/>
      <c r="N44" s="145"/>
    </row>
    <row r="45" spans="1:15">
      <c r="A45" s="141"/>
      <c r="B45" s="419"/>
      <c r="C45" s="142"/>
      <c r="D45" s="131"/>
      <c r="E45" s="265"/>
      <c r="F45" s="267"/>
      <c r="H45" s="149" t="s">
        <v>168</v>
      </c>
      <c r="I45" s="150"/>
      <c r="J45" s="151"/>
      <c r="K45" s="269">
        <f>E14</f>
        <v>0</v>
      </c>
      <c r="L45" s="145"/>
      <c r="M45" s="145"/>
      <c r="N45" s="145"/>
    </row>
    <row r="46" spans="1:15">
      <c r="A46" s="396" t="s">
        <v>202</v>
      </c>
      <c r="B46" s="420"/>
      <c r="C46" s="421"/>
      <c r="D46" s="131"/>
      <c r="E46" s="277" t="e">
        <f>SUM(E42:E45)</f>
        <v>#DIV/0!</v>
      </c>
      <c r="F46" s="278" t="e">
        <f>SUM(F42:F45)</f>
        <v>#DIV/0!</v>
      </c>
      <c r="H46" s="152" t="s">
        <v>171</v>
      </c>
      <c r="I46" s="153"/>
      <c r="J46" s="154"/>
      <c r="K46" s="271">
        <f>E16</f>
        <v>0</v>
      </c>
      <c r="L46" s="145"/>
      <c r="M46" s="145"/>
      <c r="N46" s="145"/>
    </row>
    <row r="47" spans="1:15">
      <c r="B47" s="148"/>
      <c r="C47" s="422"/>
      <c r="D47" s="131"/>
      <c r="E47" s="249"/>
      <c r="F47" s="279"/>
      <c r="H47" s="401" t="s">
        <v>173</v>
      </c>
      <c r="I47" s="153"/>
      <c r="J47" s="154"/>
      <c r="K47" s="272">
        <f>E17</f>
        <v>0</v>
      </c>
      <c r="L47" s="145"/>
      <c r="M47" s="145"/>
      <c r="N47" s="145"/>
      <c r="O47" s="145"/>
    </row>
    <row r="48" spans="1:15">
      <c r="A48" s="423" t="s">
        <v>203</v>
      </c>
      <c r="B48" s="424"/>
      <c r="C48" s="425"/>
      <c r="D48" s="145"/>
      <c r="E48" s="280" t="e">
        <f>(E$25*1.3)+($E$46-$E$25)</f>
        <v>#DIV/0!</v>
      </c>
      <c r="F48" s="281"/>
      <c r="H48" s="401" t="s">
        <v>179</v>
      </c>
      <c r="I48" s="153"/>
      <c r="J48" s="154"/>
      <c r="K48" s="271" t="e">
        <f>E21</f>
        <v>#DIV/0!</v>
      </c>
      <c r="L48" s="145"/>
      <c r="M48" s="145"/>
      <c r="N48" s="145"/>
      <c r="O48" s="145"/>
    </row>
    <row r="49" spans="1:15">
      <c r="A49" s="145"/>
      <c r="B49" s="155"/>
      <c r="C49" s="156"/>
      <c r="D49" s="145"/>
      <c r="E49" s="282"/>
      <c r="F49" s="282"/>
      <c r="G49" s="145"/>
      <c r="H49" s="401" t="s">
        <v>182</v>
      </c>
      <c r="I49" s="405"/>
      <c r="J49" s="406"/>
      <c r="K49" s="271" t="e">
        <f>E24</f>
        <v>#DIV/0!</v>
      </c>
      <c r="L49" s="145"/>
      <c r="M49" s="145"/>
      <c r="N49" s="145"/>
      <c r="O49" s="145"/>
    </row>
    <row r="50" spans="1:15" s="13" customFormat="1">
      <c r="A50" s="423" t="s">
        <v>204</v>
      </c>
      <c r="B50" s="424"/>
      <c r="C50" s="425"/>
      <c r="D50" s="145"/>
      <c r="E50" s="280" t="e">
        <f>(E$25*1.5)+($E$46-$E$25)</f>
        <v>#DIV/0!</v>
      </c>
      <c r="F50" s="281"/>
      <c r="G50" s="145"/>
      <c r="H50" s="141" t="s">
        <v>184</v>
      </c>
      <c r="I50" s="409"/>
      <c r="J50" s="395"/>
      <c r="K50" s="266">
        <f>E27</f>
        <v>0</v>
      </c>
      <c r="L50" s="145"/>
      <c r="M50" s="145"/>
      <c r="N50" s="145"/>
      <c r="O50" s="145"/>
    </row>
    <row r="51" spans="1:15" s="13" customFormat="1">
      <c r="A51" s="145"/>
      <c r="B51" s="155"/>
      <c r="C51" s="156"/>
      <c r="D51" s="145"/>
      <c r="E51" s="282"/>
      <c r="F51" s="282"/>
      <c r="G51" s="145"/>
      <c r="H51" s="141" t="s">
        <v>186</v>
      </c>
      <c r="I51" s="410"/>
      <c r="J51" s="395"/>
      <c r="K51" s="266">
        <f t="shared" ref="K51:K52" si="4">E28</f>
        <v>0</v>
      </c>
      <c r="L51" s="145"/>
      <c r="M51" s="58"/>
      <c r="N51" s="145"/>
      <c r="O51" s="145"/>
    </row>
    <row r="52" spans="1:15" s="13" customFormat="1">
      <c r="A52" s="423" t="s">
        <v>205</v>
      </c>
      <c r="B52" s="424"/>
      <c r="C52" s="425"/>
      <c r="D52" s="145"/>
      <c r="E52" s="280" t="e">
        <f>(E$25*2.5)+($E$46-$E$25)</f>
        <v>#DIV/0!</v>
      </c>
      <c r="F52" s="282"/>
      <c r="G52" s="145"/>
      <c r="H52" s="141" t="s">
        <v>187</v>
      </c>
      <c r="I52" s="402"/>
      <c r="J52" s="142" t="s">
        <v>162</v>
      </c>
      <c r="K52" s="266">
        <f t="shared" si="4"/>
        <v>0</v>
      </c>
      <c r="L52" s="145"/>
      <c r="M52" s="58"/>
      <c r="N52" s="145"/>
      <c r="O52" s="145"/>
    </row>
    <row r="53" spans="1:15" s="13" customFormat="1">
      <c r="A53" s="145"/>
      <c r="B53" s="155"/>
      <c r="C53" s="157"/>
      <c r="D53" s="145"/>
      <c r="E53" s="145"/>
      <c r="F53" s="158"/>
      <c r="G53" s="145"/>
      <c r="H53" s="141" t="s">
        <v>191</v>
      </c>
      <c r="I53" s="402"/>
      <c r="J53" s="416"/>
      <c r="K53" s="266">
        <f>E33</f>
        <v>0</v>
      </c>
      <c r="L53" s="145"/>
      <c r="M53" s="58"/>
      <c r="N53" s="145"/>
      <c r="O53" s="145"/>
    </row>
    <row r="54" spans="1:15" s="13" customFormat="1">
      <c r="A54" s="145"/>
      <c r="B54" s="155"/>
      <c r="C54" s="157"/>
      <c r="D54" s="145"/>
      <c r="E54" s="145"/>
      <c r="F54" s="158"/>
      <c r="G54" s="145"/>
      <c r="H54" s="141" t="s">
        <v>192</v>
      </c>
      <c r="I54" s="402"/>
      <c r="J54" s="416"/>
      <c r="K54" s="266">
        <f t="shared" ref="K54:K60" si="5">E34</f>
        <v>0</v>
      </c>
      <c r="L54" s="145"/>
      <c r="M54" s="58"/>
      <c r="N54" s="145"/>
      <c r="O54" s="145"/>
    </row>
    <row r="55" spans="1:15" s="13" customFormat="1">
      <c r="A55" s="145"/>
      <c r="B55" s="145"/>
      <c r="C55" s="159"/>
      <c r="D55" s="145"/>
      <c r="E55" s="145"/>
      <c r="F55" s="158"/>
      <c r="G55" s="145"/>
      <c r="H55" s="141" t="s">
        <v>193</v>
      </c>
      <c r="I55" s="402"/>
      <c r="J55" s="416"/>
      <c r="K55" s="266">
        <f t="shared" si="5"/>
        <v>0</v>
      </c>
      <c r="L55" s="145"/>
      <c r="M55" s="58"/>
      <c r="N55" s="145"/>
      <c r="O55" s="145"/>
    </row>
    <row r="56" spans="1:15" s="13" customFormat="1">
      <c r="A56" s="145"/>
      <c r="B56" s="145"/>
      <c r="C56" s="159"/>
      <c r="D56" s="145"/>
      <c r="E56" s="145"/>
      <c r="F56" s="158"/>
      <c r="G56" s="145"/>
      <c r="H56" s="141" t="s">
        <v>194</v>
      </c>
      <c r="I56" s="402"/>
      <c r="J56" s="417"/>
      <c r="K56" s="266">
        <f t="shared" si="5"/>
        <v>0</v>
      </c>
      <c r="L56" s="145"/>
      <c r="M56" s="58"/>
      <c r="N56" s="145"/>
      <c r="O56" s="145"/>
    </row>
    <row r="57" spans="1:15" s="13" customFormat="1">
      <c r="A57" s="58"/>
      <c r="B57" s="145"/>
      <c r="C57" s="159"/>
      <c r="D57" s="145"/>
      <c r="E57" s="145"/>
      <c r="F57" s="158"/>
      <c r="G57" s="145"/>
      <c r="H57" s="141" t="s">
        <v>195</v>
      </c>
      <c r="I57" s="402"/>
      <c r="J57" s="416"/>
      <c r="K57" s="266">
        <f t="shared" si="5"/>
        <v>0</v>
      </c>
      <c r="L57" s="145"/>
      <c r="M57" s="58"/>
      <c r="N57" s="145"/>
      <c r="O57" s="145"/>
    </row>
    <row r="58" spans="1:15" s="13" customFormat="1">
      <c r="A58" s="145"/>
      <c r="B58" s="145"/>
      <c r="C58" s="159"/>
      <c r="D58" s="145"/>
      <c r="E58" s="145"/>
      <c r="F58" s="158"/>
      <c r="G58" s="145"/>
      <c r="H58" s="141" t="s">
        <v>196</v>
      </c>
      <c r="I58" s="402"/>
      <c r="J58" s="417"/>
      <c r="K58" s="266">
        <f t="shared" si="5"/>
        <v>0</v>
      </c>
      <c r="L58" s="145"/>
      <c r="M58" s="58"/>
      <c r="N58" s="58"/>
      <c r="O58" s="145"/>
    </row>
    <row r="59" spans="1:15" s="13" customFormat="1">
      <c r="A59" s="145"/>
      <c r="B59" s="145"/>
      <c r="C59" s="159"/>
      <c r="D59" s="145"/>
      <c r="E59" s="145"/>
      <c r="F59" s="158"/>
      <c r="G59" s="145"/>
      <c r="H59" s="141" t="s">
        <v>197</v>
      </c>
      <c r="I59" s="402"/>
      <c r="J59" s="395"/>
      <c r="K59" s="266">
        <f t="shared" si="5"/>
        <v>0</v>
      </c>
      <c r="L59" s="145"/>
      <c r="M59" s="58"/>
      <c r="N59" s="58"/>
      <c r="O59" s="145"/>
    </row>
    <row r="60" spans="1:15" s="13" customFormat="1">
      <c r="A60" s="145"/>
      <c r="B60" s="145"/>
      <c r="C60" s="159"/>
      <c r="D60" s="145"/>
      <c r="E60" s="145"/>
      <c r="F60" s="158"/>
      <c r="G60" s="145"/>
      <c r="H60" s="141" t="s">
        <v>206</v>
      </c>
      <c r="I60" s="402"/>
      <c r="J60" s="395"/>
      <c r="K60" s="266">
        <f t="shared" si="5"/>
        <v>0</v>
      </c>
      <c r="L60" s="145"/>
      <c r="M60" s="58"/>
      <c r="N60" s="58"/>
      <c r="O60" s="145"/>
    </row>
    <row r="61" spans="1:15" s="13" customFormat="1">
      <c r="A61" s="145"/>
      <c r="B61" s="145"/>
      <c r="C61" s="159"/>
      <c r="D61" s="145"/>
      <c r="E61" s="145"/>
      <c r="F61" s="158"/>
      <c r="G61" s="145"/>
      <c r="H61" s="141" t="s">
        <v>201</v>
      </c>
      <c r="I61" s="402"/>
      <c r="J61" s="417"/>
      <c r="K61" s="266">
        <f>E44</f>
        <v>0</v>
      </c>
      <c r="L61" s="145"/>
      <c r="M61" s="58"/>
      <c r="N61" s="58"/>
      <c r="O61" s="145"/>
    </row>
    <row r="62" spans="1:15" s="13" customFormat="1">
      <c r="A62" s="145"/>
      <c r="B62" s="145"/>
      <c r="C62" s="159"/>
      <c r="D62" s="145"/>
      <c r="E62" s="145"/>
      <c r="F62" s="158"/>
      <c r="G62" s="145"/>
      <c r="H62" s="141"/>
      <c r="I62" s="419"/>
      <c r="J62" s="142"/>
      <c r="K62" s="265"/>
      <c r="L62" s="145"/>
      <c r="M62" s="58"/>
      <c r="N62" s="58"/>
      <c r="O62" s="145"/>
    </row>
    <row r="63" spans="1:15" s="13" customFormat="1">
      <c r="A63" s="145"/>
      <c r="B63" s="145"/>
      <c r="C63" s="159"/>
      <c r="D63" s="145"/>
      <c r="E63" s="145"/>
      <c r="F63" s="158"/>
      <c r="G63" s="145"/>
      <c r="H63" s="396" t="s">
        <v>202</v>
      </c>
      <c r="I63" s="420"/>
      <c r="J63" s="421"/>
      <c r="K63" s="277" t="e">
        <f>SUM(K45:K62)</f>
        <v>#DIV/0!</v>
      </c>
      <c r="L63" s="145"/>
      <c r="M63" s="58"/>
      <c r="N63" s="58"/>
      <c r="O63" s="145"/>
    </row>
    <row r="64" spans="1:15" s="13" customFormat="1">
      <c r="A64" s="145"/>
      <c r="B64" s="145"/>
      <c r="C64" s="159"/>
      <c r="D64" s="145"/>
      <c r="E64" s="58"/>
      <c r="F64" s="158"/>
      <c r="G64" s="145"/>
      <c r="H64" s="58"/>
      <c r="I64" s="148"/>
      <c r="J64" s="422"/>
      <c r="K64" s="249"/>
      <c r="L64" s="145"/>
      <c r="M64" s="58"/>
      <c r="N64" s="58"/>
      <c r="O64" s="58"/>
    </row>
    <row r="65" spans="1:15" s="13" customFormat="1">
      <c r="A65" s="58"/>
      <c r="B65" s="58"/>
      <c r="C65" s="58"/>
      <c r="D65" s="58"/>
      <c r="E65" s="58"/>
      <c r="F65" s="58"/>
      <c r="G65" s="145"/>
      <c r="H65" s="423" t="s">
        <v>203</v>
      </c>
      <c r="I65" s="424"/>
      <c r="J65" s="425"/>
      <c r="K65" s="280" t="e">
        <f>E48</f>
        <v>#DIV/0!</v>
      </c>
      <c r="L65" s="145"/>
      <c r="M65" s="58"/>
      <c r="N65" s="58"/>
      <c r="O65" s="58"/>
    </row>
    <row r="66" spans="1:15">
      <c r="H66" s="145"/>
      <c r="I66" s="155"/>
      <c r="J66" s="156"/>
      <c r="K66" s="282"/>
      <c r="L66" s="145"/>
    </row>
    <row r="67" spans="1:15">
      <c r="H67" s="423" t="s">
        <v>204</v>
      </c>
      <c r="I67" s="424"/>
      <c r="J67" s="425"/>
      <c r="K67" s="280" t="e">
        <f>E50</f>
        <v>#DIV/0!</v>
      </c>
      <c r="L67" s="145"/>
    </row>
    <row r="68" spans="1:15">
      <c r="H68" s="145"/>
      <c r="I68" s="155"/>
      <c r="J68" s="156"/>
      <c r="K68" s="282"/>
      <c r="L68" s="145"/>
    </row>
    <row r="69" spans="1:15">
      <c r="H69" s="423" t="s">
        <v>205</v>
      </c>
      <c r="I69" s="424"/>
      <c r="J69" s="425"/>
      <c r="K69" s="280" t="e">
        <f>E52</f>
        <v>#DIV/0!</v>
      </c>
      <c r="L69" s="145"/>
    </row>
    <row r="70" spans="1:15">
      <c r="L70" s="145"/>
      <c r="O70" s="145"/>
    </row>
    <row r="71" spans="1:15">
      <c r="O71" s="145"/>
    </row>
    <row r="72" spans="1:15">
      <c r="O72" s="145"/>
    </row>
    <row r="73" spans="1:15">
      <c r="O73" s="145"/>
    </row>
    <row r="74" spans="1:15">
      <c r="O74" s="145"/>
    </row>
    <row r="75" spans="1:15">
      <c r="O75" s="145"/>
    </row>
    <row r="76" spans="1:15">
      <c r="O76" s="145"/>
    </row>
  </sheetData>
  <mergeCells count="7">
    <mergeCell ref="I25:N25"/>
    <mergeCell ref="I17:N17"/>
    <mergeCell ref="E10:F10"/>
    <mergeCell ref="I10:N10"/>
    <mergeCell ref="H1:N2"/>
    <mergeCell ref="H3:N3"/>
    <mergeCell ref="H4:N5"/>
  </mergeCells>
  <conditionalFormatting sqref="O23">
    <cfRule type="cellIs" dxfId="4" priority="1" operator="greaterThan">
      <formula>1</formula>
    </cfRule>
    <cfRule type="cellIs" dxfId="3" priority="2" operator="between">
      <formula>0.999999</formula>
      <formula>0</formula>
    </cfRule>
    <cfRule type="cellIs" dxfId="2"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27"/>
  <sheetViews>
    <sheetView showGridLines="0" zoomScaleNormal="100" workbookViewId="0">
      <pane ySplit="10" topLeftCell="A14" activePane="bottomLeft" state="frozen"/>
      <selection activeCell="B1" sqref="B1"/>
      <selection pane="bottomLeft"/>
    </sheetView>
  </sheetViews>
  <sheetFormatPr defaultColWidth="9.109375" defaultRowHeight="13.2"/>
  <cols>
    <col min="1" max="1" width="28.109375" style="58" customWidth="1"/>
    <col min="2" max="2" width="30.5546875" style="58" bestFit="1" customWidth="1"/>
    <col min="3" max="3" width="12.88671875" style="58" customWidth="1"/>
    <col min="4" max="4" width="43.88671875" style="58" bestFit="1" customWidth="1"/>
    <col min="5" max="5" width="15.33203125" style="58" customWidth="1"/>
    <col min="6" max="6" width="12.88671875" style="58" customWidth="1"/>
    <col min="7" max="7" width="12.33203125" style="58" bestFit="1" customWidth="1"/>
    <col min="8" max="8" width="13.6640625" style="58" bestFit="1" customWidth="1"/>
    <col min="9" max="9" width="19.88671875" style="2" customWidth="1"/>
    <col min="10" max="16384" width="9.109375" style="2"/>
  </cols>
  <sheetData>
    <row r="1" spans="1:9">
      <c r="A1" s="487" t="s">
        <v>5</v>
      </c>
      <c r="I1" s="58"/>
    </row>
    <row r="2" spans="1:9">
      <c r="A2" s="103"/>
      <c r="I2" s="58"/>
    </row>
    <row r="3" spans="1:9" ht="15.6">
      <c r="A3" s="38" t="str">
        <f>'2-Kosten per locatie'!A3</f>
        <v>Naam opdrachtgever</v>
      </c>
      <c r="B3" s="161" t="str">
        <f>'2-Kosten per locatie'!B3</f>
        <v>SED organisatie</v>
      </c>
      <c r="I3" s="58"/>
    </row>
    <row r="4" spans="1:9" ht="15.6">
      <c r="A4" s="38" t="str">
        <f>'2-Kosten per locatie'!A4</f>
        <v>Calculatie onderdeel</v>
      </c>
      <c r="B4" s="47" t="str">
        <f ca="1">MID(CELL("bestandsnaam",$C$9),SEARCH("]",CELL("bestandsnaam",$C$9),1)+1,256)</f>
        <v>8-Additionele kosten</v>
      </c>
      <c r="I4" s="58"/>
    </row>
    <row r="5" spans="1:9" ht="15.6">
      <c r="A5" s="38" t="str">
        <f>'2-Kosten per locatie'!A5</f>
        <v>Gebouw/plaats</v>
      </c>
      <c r="B5" s="161" t="str">
        <f>'2-Kosten per locatie'!B5</f>
        <v>Perceel 2</v>
      </c>
      <c r="D5" s="512"/>
      <c r="E5" s="512"/>
      <c r="I5" s="58"/>
    </row>
    <row r="6" spans="1:9" ht="15.6">
      <c r="A6" s="38" t="str">
        <f>'2-Kosten per locatie'!A6</f>
        <v>Referentie nummer</v>
      </c>
      <c r="B6" s="161">
        <f>'2-Kosten per locatie'!B6</f>
        <v>0</v>
      </c>
      <c r="I6" s="58"/>
    </row>
    <row r="7" spans="1:9" ht="15" customHeight="1">
      <c r="A7" s="38" t="str">
        <f>'2-Kosten per locatie'!A7</f>
        <v>Naam dienstverlener</v>
      </c>
      <c r="B7" s="161">
        <f>'2-Kosten per locatie'!B7</f>
        <v>0</v>
      </c>
      <c r="I7" s="58"/>
    </row>
    <row r="8" spans="1:9" ht="15.6">
      <c r="A8" s="38" t="str">
        <f>'2-Kosten per locatie'!A8</f>
        <v>Prijspeil</v>
      </c>
      <c r="B8" s="290">
        <f>'2-Kosten per locatie'!B8</f>
        <v>46023</v>
      </c>
      <c r="I8" s="58"/>
    </row>
    <row r="10" spans="1:9" ht="48.6">
      <c r="A10" s="429" t="s">
        <v>23</v>
      </c>
      <c r="B10" s="429" t="s">
        <v>210</v>
      </c>
      <c r="C10" s="429" t="s">
        <v>211</v>
      </c>
      <c r="D10" s="429" t="s">
        <v>212</v>
      </c>
      <c r="E10" s="429" t="s">
        <v>213</v>
      </c>
      <c r="F10" s="429" t="s">
        <v>214</v>
      </c>
      <c r="G10" s="429" t="s">
        <v>215</v>
      </c>
      <c r="H10" s="429" t="s">
        <v>216</v>
      </c>
    </row>
    <row r="11" spans="1:9">
      <c r="A11" s="314"/>
      <c r="B11" s="72"/>
      <c r="C11" s="430"/>
      <c r="D11" s="430"/>
      <c r="E11" s="301"/>
      <c r="F11" s="431">
        <f>E11*D11</f>
        <v>0</v>
      </c>
      <c r="G11" s="289"/>
      <c r="H11" s="233">
        <f>G11*F11</f>
        <v>0</v>
      </c>
    </row>
    <row r="12" spans="1:9">
      <c r="A12" s="314"/>
      <c r="B12" s="72"/>
      <c r="C12" s="430"/>
      <c r="D12" s="430"/>
      <c r="E12" s="301"/>
      <c r="F12" s="431">
        <f t="shared" ref="F12:F20" si="0">E12*D12</f>
        <v>0</v>
      </c>
      <c r="G12" s="289"/>
      <c r="H12" s="233">
        <f t="shared" ref="H12:H20" si="1">G12*F12</f>
        <v>0</v>
      </c>
    </row>
    <row r="13" spans="1:9">
      <c r="A13" s="314"/>
      <c r="B13" s="72"/>
      <c r="C13" s="430"/>
      <c r="D13" s="430"/>
      <c r="E13" s="301"/>
      <c r="F13" s="431">
        <f t="shared" ref="F13" si="2">E13*D13</f>
        <v>0</v>
      </c>
      <c r="G13" s="289"/>
      <c r="H13" s="233">
        <f t="shared" si="1"/>
        <v>0</v>
      </c>
    </row>
    <row r="14" spans="1:9">
      <c r="A14" s="314"/>
      <c r="B14" s="72"/>
      <c r="C14" s="430"/>
      <c r="D14" s="430"/>
      <c r="E14" s="301"/>
      <c r="F14" s="431">
        <f t="shared" si="0"/>
        <v>0</v>
      </c>
      <c r="G14" s="289"/>
      <c r="H14" s="233">
        <f t="shared" si="1"/>
        <v>0</v>
      </c>
    </row>
    <row r="15" spans="1:9">
      <c r="A15" s="314"/>
      <c r="B15" s="72"/>
      <c r="C15" s="430"/>
      <c r="D15" s="430"/>
      <c r="E15" s="301"/>
      <c r="F15" s="431">
        <f t="shared" ref="F15" si="3">E15*D15</f>
        <v>0</v>
      </c>
      <c r="G15" s="289"/>
      <c r="H15" s="233">
        <f t="shared" ref="H15" si="4">G15*F15</f>
        <v>0</v>
      </c>
      <c r="I15" s="35"/>
    </row>
    <row r="16" spans="1:9">
      <c r="A16" s="314"/>
      <c r="B16" s="72"/>
      <c r="C16" s="430"/>
      <c r="D16" s="430"/>
      <c r="E16" s="301"/>
      <c r="F16" s="431">
        <f t="shared" si="0"/>
        <v>0</v>
      </c>
      <c r="G16" s="289"/>
      <c r="H16" s="233">
        <f t="shared" si="1"/>
        <v>0</v>
      </c>
    </row>
    <row r="17" spans="1:8">
      <c r="A17" s="314"/>
      <c r="B17" s="72"/>
      <c r="C17" s="430"/>
      <c r="D17" s="430"/>
      <c r="E17" s="301"/>
      <c r="F17" s="431">
        <f t="shared" si="0"/>
        <v>0</v>
      </c>
      <c r="G17" s="289"/>
      <c r="H17" s="233">
        <f t="shared" si="1"/>
        <v>0</v>
      </c>
    </row>
    <row r="18" spans="1:8">
      <c r="A18" s="314"/>
      <c r="B18" s="72"/>
      <c r="C18" s="430"/>
      <c r="D18" s="430"/>
      <c r="E18" s="301"/>
      <c r="F18" s="431">
        <f t="shared" si="0"/>
        <v>0</v>
      </c>
      <c r="G18" s="289"/>
      <c r="H18" s="233">
        <f t="shared" si="1"/>
        <v>0</v>
      </c>
    </row>
    <row r="19" spans="1:8">
      <c r="A19" s="314"/>
      <c r="B19" s="72"/>
      <c r="C19" s="430"/>
      <c r="D19" s="430"/>
      <c r="E19" s="301"/>
      <c r="F19" s="431">
        <f t="shared" si="0"/>
        <v>0</v>
      </c>
      <c r="G19" s="289"/>
      <c r="H19" s="233">
        <f t="shared" si="1"/>
        <v>0</v>
      </c>
    </row>
    <row r="20" spans="1:8">
      <c r="A20" s="314"/>
      <c r="B20" s="72"/>
      <c r="C20" s="430"/>
      <c r="D20" s="430"/>
      <c r="E20" s="301"/>
      <c r="F20" s="431">
        <f t="shared" si="0"/>
        <v>0</v>
      </c>
      <c r="G20" s="289"/>
      <c r="H20" s="233">
        <f t="shared" si="1"/>
        <v>0</v>
      </c>
    </row>
    <row r="21" spans="1:8">
      <c r="A21" s="101"/>
      <c r="C21" s="85"/>
      <c r="D21" s="85"/>
      <c r="E21" s="85"/>
      <c r="F21" s="85"/>
      <c r="G21" s="85"/>
      <c r="H21" s="85"/>
    </row>
    <row r="22" spans="1:8" ht="32.4">
      <c r="A22" s="429" t="s">
        <v>23</v>
      </c>
      <c r="B22" s="216" t="s">
        <v>217</v>
      </c>
      <c r="C22" s="216"/>
      <c r="D22" s="217"/>
      <c r="E22" s="217"/>
      <c r="F22" s="217"/>
      <c r="G22" s="218"/>
      <c r="H22" s="218" t="s">
        <v>218</v>
      </c>
    </row>
    <row r="23" spans="1:8">
      <c r="A23" s="314" t="s">
        <v>0</v>
      </c>
      <c r="B23" s="72" t="s">
        <v>187</v>
      </c>
      <c r="C23" s="162"/>
      <c r="D23" s="163"/>
      <c r="E23" s="163"/>
      <c r="F23" s="163"/>
      <c r="G23" s="164"/>
      <c r="H23" s="432">
        <f>'11-Machinekosten'!Q30</f>
        <v>0</v>
      </c>
    </row>
    <row r="24" spans="1:8">
      <c r="A24" s="314"/>
      <c r="B24" s="72"/>
      <c r="C24" s="162"/>
      <c r="D24" s="163"/>
      <c r="E24" s="163"/>
      <c r="F24" s="163"/>
      <c r="G24" s="164"/>
      <c r="H24" s="287">
        <f t="shared" ref="H24:H25" si="5">G24*F24</f>
        <v>0</v>
      </c>
    </row>
    <row r="25" spans="1:8">
      <c r="A25" s="314"/>
      <c r="B25" s="72"/>
      <c r="C25" s="162"/>
      <c r="D25" s="163"/>
      <c r="E25" s="163"/>
      <c r="F25" s="163"/>
      <c r="G25" s="164"/>
      <c r="H25" s="287">
        <f t="shared" si="5"/>
        <v>0</v>
      </c>
    </row>
    <row r="26" spans="1:8">
      <c r="H26" s="249"/>
    </row>
    <row r="27" spans="1:8" s="12" customFormat="1">
      <c r="A27" s="359" t="s">
        <v>50</v>
      </c>
      <c r="B27" s="371"/>
      <c r="C27" s="371"/>
      <c r="D27" s="371"/>
      <c r="E27" s="371"/>
      <c r="F27" s="433">
        <f>SUM(F11:F20)</f>
        <v>0</v>
      </c>
      <c r="G27" s="371"/>
      <c r="H27" s="285">
        <f>SUM(H11:H26)</f>
        <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9"/>
  <sheetViews>
    <sheetView showGridLines="0" showZeros="0" zoomScaleNormal="100" zoomScaleSheetLayoutView="75" zoomScalePageLayoutView="50" workbookViewId="0">
      <pane ySplit="10" topLeftCell="A32" activePane="bottomLeft" state="frozen"/>
      <selection activeCell="B1" sqref="B1"/>
      <selection pane="bottomLeft"/>
    </sheetView>
  </sheetViews>
  <sheetFormatPr defaultColWidth="11.44140625" defaultRowHeight="13.2"/>
  <cols>
    <col min="1" max="1" width="39" style="58" customWidth="1"/>
    <col min="2" max="2" width="20.33203125" style="58" customWidth="1"/>
    <col min="3" max="6" width="17.5546875" style="58" customWidth="1"/>
    <col min="7" max="16384" width="11.44140625" style="2"/>
  </cols>
  <sheetData>
    <row r="1" spans="1:6">
      <c r="A1" s="487" t="s">
        <v>5</v>
      </c>
      <c r="B1" s="165"/>
      <c r="C1" s="165"/>
      <c r="D1" s="166"/>
    </row>
    <row r="2" spans="1:6">
      <c r="A2" s="103"/>
    </row>
    <row r="3" spans="1:6" ht="15.6">
      <c r="A3" s="38" t="str">
        <f>'2-Kosten per locatie'!A3</f>
        <v>Naam opdrachtgever</v>
      </c>
      <c r="B3" s="47" t="str">
        <f>'2-Kosten per locatie'!B3</f>
        <v>SED organisatie</v>
      </c>
      <c r="C3" s="167"/>
      <c r="D3" s="167"/>
    </row>
    <row r="4" spans="1:6" ht="15.6">
      <c r="A4" s="38" t="str">
        <f>'2-Kosten per locatie'!A4</f>
        <v>Calculatie onderdeel</v>
      </c>
      <c r="B4" s="47" t="str">
        <f ca="1">MID(CELL("bestandsnaam",$C$9),SEARCH("]",CELL("bestandsnaam",$C$9),1)+1,256)</f>
        <v>9-Afroepprijs</v>
      </c>
      <c r="C4" s="168"/>
      <c r="D4" s="169"/>
    </row>
    <row r="5" spans="1:6" ht="15.6">
      <c r="A5" s="38" t="str">
        <f>'2-Kosten per locatie'!A5</f>
        <v>Gebouw/plaats</v>
      </c>
      <c r="B5" s="47" t="str">
        <f>'2-Kosten per locatie'!B5</f>
        <v>Perceel 2</v>
      </c>
      <c r="C5" s="168"/>
      <c r="D5" s="169"/>
    </row>
    <row r="6" spans="1:6" ht="15.6">
      <c r="A6" s="38" t="str">
        <f>'2-Kosten per locatie'!A6</f>
        <v>Referentie nummer</v>
      </c>
      <c r="B6" s="47">
        <f>'2-Kosten per locatie'!B6</f>
        <v>0</v>
      </c>
      <c r="C6" s="168"/>
      <c r="D6" s="169"/>
    </row>
    <row r="7" spans="1:6" ht="15.6">
      <c r="A7" s="38" t="str">
        <f>'2-Kosten per locatie'!A7</f>
        <v>Naam dienstverlener</v>
      </c>
      <c r="B7" s="47">
        <f>'2-Kosten per locatie'!B7</f>
        <v>0</v>
      </c>
      <c r="C7" s="168"/>
      <c r="D7" s="169"/>
    </row>
    <row r="8" spans="1:6" ht="15.6">
      <c r="A8" s="38" t="str">
        <f>'2-Kosten per locatie'!A8</f>
        <v>Prijspeil</v>
      </c>
      <c r="B8" s="261">
        <f>'2-Kosten per locatie'!B8</f>
        <v>46023</v>
      </c>
      <c r="C8" s="168"/>
      <c r="D8" s="169"/>
    </row>
    <row r="9" spans="1:6" ht="15.6">
      <c r="A9" s="170"/>
      <c r="B9" s="171"/>
      <c r="C9" s="168"/>
      <c r="D9" s="169"/>
    </row>
    <row r="10" spans="1:6">
      <c r="A10" s="172"/>
      <c r="B10" s="173"/>
      <c r="C10" s="173"/>
      <c r="D10" s="173"/>
    </row>
    <row r="11" spans="1:6" ht="18.600000000000001">
      <c r="A11" s="434" t="s">
        <v>219</v>
      </c>
      <c r="B11" s="435"/>
      <c r="C11" s="435"/>
      <c r="D11" s="436"/>
      <c r="E11" s="436"/>
      <c r="F11" s="437"/>
    </row>
    <row r="13" spans="1:6">
      <c r="A13" s="438"/>
      <c r="B13" s="439"/>
      <c r="C13" s="559" t="s">
        <v>220</v>
      </c>
      <c r="D13" s="560"/>
      <c r="E13" s="560"/>
      <c r="F13" s="561"/>
    </row>
    <row r="14" spans="1:6">
      <c r="A14" s="440" t="s">
        <v>221</v>
      </c>
      <c r="B14" s="440" t="s">
        <v>222</v>
      </c>
      <c r="C14" s="441" t="s">
        <v>223</v>
      </c>
      <c r="D14" s="430" t="s">
        <v>224</v>
      </c>
      <c r="E14" s="430" t="s">
        <v>225</v>
      </c>
      <c r="F14" s="430" t="s">
        <v>226</v>
      </c>
    </row>
    <row r="15" spans="1:6">
      <c r="A15" s="442" t="s">
        <v>227</v>
      </c>
      <c r="B15" s="442" t="s">
        <v>228</v>
      </c>
      <c r="C15" s="443">
        <v>0</v>
      </c>
      <c r="D15" s="443">
        <v>0</v>
      </c>
      <c r="E15" s="443">
        <v>0</v>
      </c>
      <c r="F15" s="443">
        <v>0</v>
      </c>
    </row>
    <row r="16" spans="1:6">
      <c r="A16" s="442" t="s">
        <v>229</v>
      </c>
      <c r="B16" s="442" t="s">
        <v>228</v>
      </c>
      <c r="C16" s="443">
        <v>0</v>
      </c>
      <c r="D16" s="443">
        <v>0</v>
      </c>
      <c r="E16" s="443">
        <v>0</v>
      </c>
      <c r="F16" s="443">
        <v>0</v>
      </c>
    </row>
    <row r="17" spans="1:6">
      <c r="A17" s="442" t="s">
        <v>230</v>
      </c>
      <c r="B17" s="442" t="s">
        <v>231</v>
      </c>
      <c r="C17" s="443">
        <v>0</v>
      </c>
      <c r="D17" s="443">
        <v>0</v>
      </c>
      <c r="E17" s="443">
        <v>0</v>
      </c>
      <c r="F17" s="443">
        <v>0</v>
      </c>
    </row>
    <row r="18" spans="1:6">
      <c r="A18" s="440" t="s">
        <v>232</v>
      </c>
      <c r="B18" s="444"/>
      <c r="C18" s="443">
        <v>0</v>
      </c>
      <c r="D18" s="443">
        <v>0</v>
      </c>
      <c r="E18" s="443">
        <v>0</v>
      </c>
      <c r="F18" s="443">
        <v>0</v>
      </c>
    </row>
    <row r="19" spans="1:6">
      <c r="A19" s="440" t="s">
        <v>233</v>
      </c>
      <c r="B19" s="444"/>
      <c r="C19" s="443">
        <v>0</v>
      </c>
      <c r="D19" s="443">
        <v>0</v>
      </c>
      <c r="E19" s="443">
        <v>0</v>
      </c>
      <c r="F19" s="443">
        <v>0</v>
      </c>
    </row>
    <row r="20" spans="1:6">
      <c r="A20" s="174"/>
      <c r="B20" s="174"/>
      <c r="C20" s="174"/>
      <c r="D20" s="165"/>
    </row>
    <row r="21" spans="1:6">
      <c r="A21" s="176"/>
      <c r="B21" s="177"/>
      <c r="C21" s="177"/>
      <c r="D21" s="176"/>
    </row>
    <row r="22" spans="1:6" ht="18.600000000000001">
      <c r="A22" s="434" t="s">
        <v>235</v>
      </c>
      <c r="B22" s="445"/>
      <c r="C22" s="445"/>
      <c r="D22" s="445"/>
      <c r="E22" s="445"/>
      <c r="F22" s="446"/>
    </row>
    <row r="23" spans="1:6">
      <c r="A23" s="451"/>
      <c r="B23" s="451"/>
      <c r="C23" s="451"/>
      <c r="D23" s="451"/>
    </row>
    <row r="24" spans="1:6" ht="26.4">
      <c r="A24" s="452" t="s">
        <v>236</v>
      </c>
      <c r="B24" s="453" t="s">
        <v>222</v>
      </c>
      <c r="C24" s="447"/>
      <c r="D24" s="448"/>
      <c r="E24" s="454" t="s">
        <v>237</v>
      </c>
      <c r="F24" s="455" t="s">
        <v>238</v>
      </c>
    </row>
    <row r="25" spans="1:6">
      <c r="A25" s="442" t="s">
        <v>239</v>
      </c>
      <c r="B25" s="444" t="s">
        <v>234</v>
      </c>
      <c r="C25" s="201"/>
      <c r="D25" s="201"/>
      <c r="E25" s="443">
        <v>0</v>
      </c>
      <c r="F25" s="443">
        <v>0</v>
      </c>
    </row>
    <row r="26" spans="1:6">
      <c r="A26" s="442" t="s">
        <v>240</v>
      </c>
      <c r="B26" s="444" t="s">
        <v>234</v>
      </c>
      <c r="C26" s="449"/>
      <c r="D26" s="449"/>
      <c r="E26" s="443">
        <v>0</v>
      </c>
      <c r="F26" s="443">
        <v>0</v>
      </c>
    </row>
    <row r="27" spans="1:6">
      <c r="A27" s="442" t="s">
        <v>241</v>
      </c>
      <c r="B27" s="444" t="s">
        <v>234</v>
      </c>
      <c r="C27" s="450"/>
      <c r="D27" s="449"/>
      <c r="E27" s="443">
        <v>0</v>
      </c>
      <c r="F27" s="443">
        <v>0</v>
      </c>
    </row>
    <row r="28" spans="1:6">
      <c r="A28" s="442" t="s">
        <v>242</v>
      </c>
      <c r="B28" s="444" t="s">
        <v>234</v>
      </c>
      <c r="C28" s="450"/>
      <c r="D28" s="449"/>
      <c r="E28" s="443">
        <v>0</v>
      </c>
      <c r="F28" s="443">
        <v>0</v>
      </c>
    </row>
    <row r="29" spans="1:6">
      <c r="A29" s="442" t="s">
        <v>243</v>
      </c>
      <c r="B29" s="444" t="s">
        <v>234</v>
      </c>
      <c r="C29" s="450"/>
      <c r="D29" s="449"/>
      <c r="E29" s="443">
        <v>0</v>
      </c>
      <c r="F29" s="443">
        <v>0</v>
      </c>
    </row>
    <row r="31" spans="1:6" ht="18.600000000000001">
      <c r="A31" s="434" t="s">
        <v>244</v>
      </c>
      <c r="B31" s="445"/>
      <c r="C31" s="445"/>
      <c r="D31" s="445"/>
      <c r="E31" s="445"/>
      <c r="F31" s="446"/>
    </row>
    <row r="32" spans="1:6">
      <c r="A32" s="175"/>
      <c r="B32" s="174"/>
      <c r="C32" s="174"/>
      <c r="D32" s="165"/>
    </row>
    <row r="33" spans="1:6">
      <c r="A33" s="440" t="s">
        <v>221</v>
      </c>
      <c r="B33" s="438" t="s">
        <v>222</v>
      </c>
      <c r="C33" s="451"/>
      <c r="D33" s="451"/>
      <c r="E33" s="451"/>
      <c r="F33" s="456" t="s">
        <v>245</v>
      </c>
    </row>
    <row r="34" spans="1:6">
      <c r="A34" s="442" t="s">
        <v>246</v>
      </c>
      <c r="B34" s="178" t="s">
        <v>247</v>
      </c>
      <c r="C34" s="178"/>
      <c r="D34" s="178"/>
      <c r="E34" s="178"/>
      <c r="F34" s="443">
        <v>0</v>
      </c>
    </row>
    <row r="35" spans="1:6">
      <c r="A35" s="442" t="s">
        <v>246</v>
      </c>
      <c r="B35" s="178" t="s">
        <v>248</v>
      </c>
      <c r="C35" s="178"/>
      <c r="D35" s="178"/>
      <c r="E35" s="178"/>
      <c r="F35" s="443">
        <v>0</v>
      </c>
    </row>
    <row r="36" spans="1:6">
      <c r="A36" s="442" t="s">
        <v>246</v>
      </c>
      <c r="B36" s="178" t="s">
        <v>249</v>
      </c>
      <c r="C36" s="178"/>
      <c r="D36" s="178"/>
      <c r="E36" s="178"/>
      <c r="F36" s="443">
        <v>0</v>
      </c>
    </row>
    <row r="37" spans="1:6">
      <c r="A37" s="442" t="s">
        <v>250</v>
      </c>
      <c r="B37" s="178" t="s">
        <v>247</v>
      </c>
      <c r="C37" s="178"/>
      <c r="D37" s="178"/>
      <c r="E37" s="178"/>
      <c r="F37" s="443">
        <v>0</v>
      </c>
    </row>
    <row r="38" spans="1:6">
      <c r="A38" s="174"/>
      <c r="B38" s="165"/>
      <c r="C38" s="165"/>
      <c r="D38" s="174"/>
    </row>
    <row r="39" spans="1:6" ht="15.6">
      <c r="A39" s="219" t="s">
        <v>251</v>
      </c>
      <c r="B39" s="165"/>
      <c r="C39" s="165"/>
      <c r="D39" s="174"/>
    </row>
    <row r="40" spans="1:6">
      <c r="A40" s="174" t="s">
        <v>252</v>
      </c>
    </row>
    <row r="41" spans="1:6">
      <c r="A41" s="174" t="s">
        <v>253</v>
      </c>
      <c r="B41" s="165"/>
      <c r="C41" s="165"/>
      <c r="D41" s="174"/>
    </row>
    <row r="42" spans="1:6" ht="12.75" customHeight="1">
      <c r="A42" s="174"/>
      <c r="B42" s="165"/>
      <c r="C42" s="165"/>
      <c r="D42" s="174"/>
    </row>
    <row r="43" spans="1:6">
      <c r="A43" s="174"/>
      <c r="B43" s="165"/>
      <c r="C43" s="165"/>
      <c r="D43" s="174"/>
    </row>
    <row r="44" spans="1:6">
      <c r="A44" s="174"/>
      <c r="B44" s="165"/>
      <c r="C44" s="165"/>
      <c r="D44" s="174"/>
    </row>
    <row r="46" spans="1:6">
      <c r="A46" s="179"/>
      <c r="B46" s="165"/>
      <c r="C46" s="165"/>
      <c r="D46" s="165"/>
    </row>
    <row r="47" spans="1:6">
      <c r="A47" s="179"/>
    </row>
    <row r="48" spans="1:6">
      <c r="A48" s="179"/>
    </row>
    <row r="49" spans="1:1">
      <c r="A49" s="179"/>
    </row>
  </sheetData>
  <mergeCells count="1">
    <mergeCell ref="C13:F13"/>
  </mergeCells>
  <phoneticPr fontId="11"/>
  <conditionalFormatting sqref="E21:F29">
    <cfRule type="cellIs" dxfId="1" priority="1" stopIfTrue="1" operator="equal">
      <formula>"nvt"</formula>
    </cfRule>
  </conditionalFormatting>
  <conditionalFormatting sqref="F34:F37">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FDEF1D0409D448BDBD15FF82375E2C" ma:contentTypeVersion="4" ma:contentTypeDescription="Een nieuw document maken." ma:contentTypeScope="" ma:versionID="5b9beb1e28d17613e58c7cfc9420e945">
  <xsd:schema xmlns:xsd="http://www.w3.org/2001/XMLSchema" xmlns:xs="http://www.w3.org/2001/XMLSchema" xmlns:p="http://schemas.microsoft.com/office/2006/metadata/properties" xmlns:ns2="02faeef2-fb2a-49e0-b2aa-885ab8044f57" targetNamespace="http://schemas.microsoft.com/office/2006/metadata/properties" ma:root="true" ma:fieldsID="40c4ae3bb78716ee6c728d50da93baaa" ns2:_="">
    <xsd:import namespace="02faeef2-fb2a-49e0-b2aa-885ab8044f5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faeef2-fb2a-49e0-b2aa-885ab8044f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97830C8-ACFC-48D2-B710-5BD0AED9D58B}"/>
</file>

<file path=customXml/itemProps2.xml><?xml version="1.0" encoding="utf-8"?>
<ds:datastoreItem xmlns:ds="http://schemas.openxmlformats.org/officeDocument/2006/customXml" ds:itemID="{CB9357A0-74EE-4EF5-91F0-DC5FEC2CAEE1}">
  <ds:schemaRefs>
    <ds:schemaRef ds:uri="http://schemas.microsoft.com/sharepoint/v3/contenttype/forms"/>
  </ds:schemaRefs>
</ds:datastoreItem>
</file>

<file path=customXml/itemProps3.xml><?xml version="1.0" encoding="utf-8"?>
<ds:datastoreItem xmlns:ds="http://schemas.openxmlformats.org/officeDocument/2006/customXml" ds:itemID="{AC3E4837-CE50-4A32-A54A-9639DA900BA8}">
  <ds:schemaRefs>
    <ds:schemaRef ds:uri="http://schemas.microsoft.com/office/2006/metadata/properties"/>
    <ds:schemaRef ds:uri="http://schemas.microsoft.com/office/infopath/2007/PartnerControls"/>
    <ds:schemaRef ds:uri="2bdcc3f3-49a5-47c4-ae00-3e6a3f4b5f23"/>
    <ds:schemaRef ds:uri="96af1940-cf19-4b50-92f4-053594182cf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16</vt:i4>
      </vt:variant>
    </vt:vector>
  </HeadingPairs>
  <TitlesOfParts>
    <vt:vector size="27"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11-Machinekosten</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'2-Kosten per locatie'!Afdruktitels</vt:lpstr>
      <vt:lpstr>'4-Basis ruimtestaat'!Afdruktitels</vt:lpstr>
      <vt:lpstr>'6-Opbouw uurtarief productie'!Afdruktitels</vt:lpstr>
      <vt:lpstr>'9-Afroepprijs'!Afdruktitels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Margriet van Dijken | CONTRAST</cp:lastModifiedBy>
  <cp:revision/>
  <dcterms:created xsi:type="dcterms:W3CDTF">1999-10-05T12:28:40Z</dcterms:created>
  <dcterms:modified xsi:type="dcterms:W3CDTF">2026-03-30T19:08:02Z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0x01010093FDEF1D0409D448BDBD15FF82375E2C</vt:lpwstr>
  </property>
  <property fmtid="{D5CDD505-2E9C-101B-9397-08002B2CF9AE}" pid="3" name="MediaServiceImageTags">
    <vt:lpwstr/>
  </property>
</Properties>
</file>