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6"/>
  <workbookPr/>
  <mc:AlternateContent xmlns:mc="http://schemas.openxmlformats.org/markup-compatibility/2006">
    <mc:Choice Requires="x15">
      <x15ac:absPath xmlns:x15ac="http://schemas.microsoft.com/office/spreadsheetml/2010/11/ac" url="C:\Users\m.vandijken\CONTRAST BV\Schoonmaak - Documenten\General\Projecten algemeen\In behandeling\SED Organisatie\Aanbesteding 2025\3. Calculatiemodel\Laatste check versies en info\"/>
    </mc:Choice>
  </mc:AlternateContent>
  <xr:revisionPtr revIDLastSave="0" documentId="13_ncr:1_{3CA4F1DE-2B34-48A2-ACB9-20D9AB1B3E57}" xr6:coauthVersionLast="47" xr6:coauthVersionMax="47" xr10:uidLastSave="{00000000-0000-0000-0000-000000000000}"/>
  <bookViews>
    <workbookView xWindow="-108" yWindow="-108" windowWidth="23256" windowHeight="12456" tabRatio="946" firstSheet="1" activeTab="1"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Machinekosten" sheetId="40" r:id="rId11"/>
  </sheets>
  <externalReferences>
    <externalReference r:id="rId12"/>
    <externalReference r:id="rId13"/>
    <externalReference r:id="rId14"/>
    <externalReference r:id="rId15"/>
    <externalReference r:id="rId16"/>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'10-Glasbewassing'!$A$12:$X$45</definedName>
    <definedName name="_xlnm._FilterDatabase" localSheetId="1" hidden="1">'2-Kosten per locatie'!$A$14:$J$27</definedName>
    <definedName name="_xlnm._FilterDatabase" localSheetId="3" hidden="1">'4-Basis ruimtestaat'!$B$9:$AE$270</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locatie'!$A$3:$AB$26</definedName>
    <definedName name="_xlnm.Print_Area" localSheetId="3">'4-Basis ruimtestaat'!$B$3:$AE$269</definedName>
    <definedName name="_xlnm.Print_Area" localSheetId="4">'5-Premies en opslagen'!$A$3:$E$55</definedName>
    <definedName name="_xlnm.Print_Area" localSheetId="5">'6-Opbouw uurtarief productie'!$A$1:$R$65</definedName>
    <definedName name="_xlnm.Print_Area" localSheetId="8">'9-Afroepprijs'!$A$3:$F$41</definedName>
    <definedName name="_xlnm.Print_Titles" localSheetId="9">'10-Glasbewassing'!$12:$12</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etal">'[5]3-Kengetal'!$A$10:$L$101</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2" i="37" l="1"/>
  <c r="E25" i="35"/>
  <c r="F25" i="35" s="1"/>
  <c r="H25" i="35" s="1"/>
  <c r="J270" i="2" l="1"/>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AE270" i="2" l="1"/>
  <c r="Z270" i="2"/>
  <c r="Y270" i="2"/>
  <c r="X270" i="2"/>
  <c r="V270" i="2"/>
  <c r="U270" i="2"/>
  <c r="T270" i="2"/>
  <c r="S270" i="2"/>
  <c r="R270" i="2"/>
  <c r="R27" i="2"/>
  <c r="S27" i="2"/>
  <c r="T27" i="2"/>
  <c r="U27" i="2"/>
  <c r="V27" i="2"/>
  <c r="X27" i="2"/>
  <c r="Y27" i="2"/>
  <c r="Z27" i="2"/>
  <c r="R28" i="2"/>
  <c r="S28" i="2"/>
  <c r="T28" i="2"/>
  <c r="U28" i="2"/>
  <c r="V28" i="2"/>
  <c r="X28" i="2"/>
  <c r="Y28" i="2"/>
  <c r="Z28" i="2"/>
  <c r="R25" i="2"/>
  <c r="S25" i="2"/>
  <c r="T25" i="2"/>
  <c r="U25" i="2"/>
  <c r="V25" i="2"/>
  <c r="X25" i="2"/>
  <c r="Y25" i="2"/>
  <c r="Z25" i="2"/>
  <c r="AE25" i="2"/>
  <c r="AE11" i="2"/>
  <c r="R11" i="2"/>
  <c r="S11" i="2"/>
  <c r="T11" i="2"/>
  <c r="U11" i="2"/>
  <c r="V11" i="2"/>
  <c r="X11" i="2"/>
  <c r="Y11" i="2"/>
  <c r="Z11" i="2"/>
  <c r="E24" i="35" l="1"/>
  <c r="F24" i="35" s="1"/>
  <c r="H24" i="35" s="1"/>
  <c r="E23" i="35"/>
  <c r="F23" i="35" s="1"/>
  <c r="H23" i="35" s="1"/>
  <c r="Q225" i="2" l="1"/>
  <c r="Q226" i="2"/>
  <c r="Q235" i="2"/>
  <c r="Q236" i="2"/>
  <c r="Q241" i="2"/>
  <c r="Q242" i="2"/>
  <c r="Q243" i="2"/>
  <c r="Q245" i="2"/>
  <c r="Q246" i="2"/>
  <c r="Q247" i="2"/>
  <c r="Q248" i="2"/>
  <c r="Q249" i="2"/>
  <c r="J227" i="2"/>
  <c r="J228" i="2"/>
  <c r="J229" i="2"/>
  <c r="J230" i="2"/>
  <c r="J231" i="2"/>
  <c r="J232" i="2"/>
  <c r="J233" i="2"/>
  <c r="J234" i="2"/>
  <c r="J235" i="2"/>
  <c r="J236" i="2"/>
  <c r="J237" i="2"/>
  <c r="J238" i="2"/>
  <c r="J239" i="2"/>
  <c r="J240" i="2"/>
  <c r="J241" i="2"/>
  <c r="J242" i="2"/>
  <c r="J243" i="2"/>
  <c r="J244" i="2"/>
  <c r="J245" i="2"/>
  <c r="J246" i="2"/>
  <c r="J247" i="2"/>
  <c r="J248" i="2"/>
  <c r="J249" i="2"/>
  <c r="Q269" i="2"/>
  <c r="J269" i="2"/>
  <c r="J145" i="2" l="1"/>
  <c r="AE145" i="2" s="1"/>
  <c r="W249" i="2"/>
  <c r="W245" i="2"/>
  <c r="AE227" i="2"/>
  <c r="AE228" i="2"/>
  <c r="AE229" i="2"/>
  <c r="AE230" i="2"/>
  <c r="AE231" i="2"/>
  <c r="AE232" i="2"/>
  <c r="AE233" i="2"/>
  <c r="AE234" i="2"/>
  <c r="AE235" i="2"/>
  <c r="AE236" i="2"/>
  <c r="AE237" i="2"/>
  <c r="AE238" i="2"/>
  <c r="AE239" i="2"/>
  <c r="AE240" i="2"/>
  <c r="AE241" i="2"/>
  <c r="AE242" i="2"/>
  <c r="AE243" i="2"/>
  <c r="AE244" i="2"/>
  <c r="AE245" i="2"/>
  <c r="AE246" i="2"/>
  <c r="AE247" i="2"/>
  <c r="AE248" i="2"/>
  <c r="AE249" i="2"/>
  <c r="W235" i="2"/>
  <c r="W236" i="2"/>
  <c r="W241" i="2"/>
  <c r="W242" i="2"/>
  <c r="W243" i="2"/>
  <c r="W246" i="2"/>
  <c r="W247" i="2"/>
  <c r="W248" i="2"/>
  <c r="V227" i="2"/>
  <c r="V228" i="2"/>
  <c r="V229" i="2"/>
  <c r="V230" i="2"/>
  <c r="V231" i="2"/>
  <c r="V232" i="2"/>
  <c r="V233" i="2"/>
  <c r="V234" i="2"/>
  <c r="V235" i="2"/>
  <c r="V236" i="2"/>
  <c r="V237" i="2"/>
  <c r="V238" i="2"/>
  <c r="V239" i="2"/>
  <c r="V240" i="2"/>
  <c r="V241" i="2"/>
  <c r="V242" i="2"/>
  <c r="V243" i="2"/>
  <c r="V244" i="2"/>
  <c r="V245" i="2"/>
  <c r="V246" i="2"/>
  <c r="V247" i="2"/>
  <c r="V248" i="2"/>
  <c r="V249" i="2"/>
  <c r="U227" i="2"/>
  <c r="U228" i="2"/>
  <c r="U229" i="2"/>
  <c r="U230" i="2"/>
  <c r="U231" i="2"/>
  <c r="U232" i="2"/>
  <c r="U233" i="2"/>
  <c r="U234" i="2"/>
  <c r="U235" i="2"/>
  <c r="U236" i="2"/>
  <c r="U237" i="2"/>
  <c r="U238" i="2"/>
  <c r="U239" i="2"/>
  <c r="U240" i="2"/>
  <c r="U241" i="2"/>
  <c r="U242" i="2"/>
  <c r="U243" i="2"/>
  <c r="U244" i="2"/>
  <c r="U245" i="2"/>
  <c r="U246" i="2"/>
  <c r="U247" i="2"/>
  <c r="U248" i="2"/>
  <c r="U249" i="2"/>
  <c r="D45" i="35"/>
  <c r="F14" i="31"/>
  <c r="H14" i="31" s="1"/>
  <c r="F13" i="31"/>
  <c r="H13" i="31" s="1"/>
  <c r="U40" i="37"/>
  <c r="E16" i="35"/>
  <c r="F16" i="35" s="1"/>
  <c r="H16" i="35" s="1"/>
  <c r="E17" i="35"/>
  <c r="F17" i="35" s="1"/>
  <c r="H17" i="35" s="1"/>
  <c r="E18" i="35"/>
  <c r="F18" i="35" s="1"/>
  <c r="H18" i="35" s="1"/>
  <c r="E19" i="35"/>
  <c r="F19" i="35" s="1"/>
  <c r="H19" i="35" s="1"/>
  <c r="E20" i="35"/>
  <c r="F20" i="35" s="1"/>
  <c r="H20" i="35" s="1"/>
  <c r="E21" i="35"/>
  <c r="F21" i="35" s="1"/>
  <c r="H21" i="35" s="1"/>
  <c r="E22" i="35"/>
  <c r="F22" i="35" s="1"/>
  <c r="H22" i="35" s="1"/>
  <c r="E26" i="35"/>
  <c r="F26" i="35" s="1"/>
  <c r="H26" i="35" s="1"/>
  <c r="E27" i="35"/>
  <c r="F27" i="35" s="1"/>
  <c r="H27" i="35" s="1"/>
  <c r="E28" i="35"/>
  <c r="F28" i="35" s="1"/>
  <c r="H28" i="35" s="1"/>
  <c r="E29" i="35"/>
  <c r="F29" i="35" s="1"/>
  <c r="H29" i="35" s="1"/>
  <c r="E30" i="35"/>
  <c r="F30" i="35" s="1"/>
  <c r="H30" i="35" s="1"/>
  <c r="E31" i="35"/>
  <c r="F31" i="35" s="1"/>
  <c r="H31" i="35" s="1"/>
  <c r="E32" i="35"/>
  <c r="F32" i="35" s="1"/>
  <c r="H32" i="35" s="1"/>
  <c r="E33" i="35"/>
  <c r="F33" i="35" s="1"/>
  <c r="H33" i="35" s="1"/>
  <c r="E34" i="35"/>
  <c r="F34" i="35" s="1"/>
  <c r="H34" i="35" s="1"/>
  <c r="E35" i="35"/>
  <c r="F35" i="35" s="1"/>
  <c r="H35" i="35" s="1"/>
  <c r="E36" i="35"/>
  <c r="F36" i="35" s="1"/>
  <c r="H36" i="35" s="1"/>
  <c r="E37" i="35"/>
  <c r="F37" i="35" s="1"/>
  <c r="H37" i="35" s="1"/>
  <c r="E38" i="35"/>
  <c r="F38" i="35" s="1"/>
  <c r="H38" i="35" s="1"/>
  <c r="E39" i="35"/>
  <c r="F39" i="35" s="1"/>
  <c r="H39" i="35" s="1"/>
  <c r="E40" i="35"/>
  <c r="F40" i="35" s="1"/>
  <c r="H40" i="35" s="1"/>
  <c r="E41" i="35"/>
  <c r="F41" i="35" s="1"/>
  <c r="H41" i="35" s="1"/>
  <c r="E42" i="35"/>
  <c r="F42" i="35" s="1"/>
  <c r="H42" i="35" s="1"/>
  <c r="E43" i="35"/>
  <c r="F43" i="35" s="1"/>
  <c r="H43" i="35" s="1"/>
  <c r="Y227" i="2" l="1"/>
  <c r="S227" i="2" s="1"/>
  <c r="Z227" i="2"/>
  <c r="T227" i="2" s="1"/>
  <c r="Y228" i="2"/>
  <c r="S228" i="2" s="1"/>
  <c r="Z228" i="2"/>
  <c r="T228" i="2" s="1"/>
  <c r="Y229" i="2"/>
  <c r="S229" i="2" s="1"/>
  <c r="Z229" i="2"/>
  <c r="T229" i="2" s="1"/>
  <c r="Y230" i="2"/>
  <c r="S230" i="2" s="1"/>
  <c r="Z230" i="2"/>
  <c r="T230" i="2" s="1"/>
  <c r="Y231" i="2"/>
  <c r="S231" i="2" s="1"/>
  <c r="Z231" i="2"/>
  <c r="T231" i="2" s="1"/>
  <c r="Y232" i="2"/>
  <c r="S232" i="2" s="1"/>
  <c r="Z232" i="2"/>
  <c r="T232" i="2" s="1"/>
  <c r="Y233" i="2"/>
  <c r="S233" i="2" s="1"/>
  <c r="Z233" i="2"/>
  <c r="T233" i="2" s="1"/>
  <c r="Y234" i="2"/>
  <c r="S234" i="2" s="1"/>
  <c r="Z234" i="2"/>
  <c r="T234" i="2" s="1"/>
  <c r="Y235" i="2"/>
  <c r="S235" i="2" s="1"/>
  <c r="Z235" i="2"/>
  <c r="T235" i="2" s="1"/>
  <c r="Y236" i="2"/>
  <c r="S236" i="2" s="1"/>
  <c r="Z236" i="2"/>
  <c r="T236" i="2" s="1"/>
  <c r="Y237" i="2"/>
  <c r="S237" i="2" s="1"/>
  <c r="Z237" i="2"/>
  <c r="T237" i="2" s="1"/>
  <c r="Y238" i="2"/>
  <c r="S238" i="2" s="1"/>
  <c r="Z238" i="2"/>
  <c r="T238" i="2" s="1"/>
  <c r="Y239" i="2"/>
  <c r="S239" i="2" s="1"/>
  <c r="Z239" i="2"/>
  <c r="T239" i="2" s="1"/>
  <c r="Y240" i="2"/>
  <c r="S240" i="2" s="1"/>
  <c r="Z240" i="2"/>
  <c r="T240" i="2" s="1"/>
  <c r="Y241" i="2"/>
  <c r="S241" i="2" s="1"/>
  <c r="Z241" i="2"/>
  <c r="T241" i="2" s="1"/>
  <c r="Y242" i="2"/>
  <c r="S242" i="2" s="1"/>
  <c r="Z242" i="2"/>
  <c r="T242" i="2" s="1"/>
  <c r="Y243" i="2"/>
  <c r="S243" i="2" s="1"/>
  <c r="Z243" i="2"/>
  <c r="T243" i="2" s="1"/>
  <c r="Y244" i="2"/>
  <c r="S244" i="2" s="1"/>
  <c r="Z244" i="2"/>
  <c r="T244" i="2" s="1"/>
  <c r="Y245" i="2"/>
  <c r="S245" i="2" s="1"/>
  <c r="Z245" i="2"/>
  <c r="T245" i="2" s="1"/>
  <c r="Y246" i="2"/>
  <c r="S246" i="2" s="1"/>
  <c r="Z246" i="2"/>
  <c r="T246" i="2" s="1"/>
  <c r="Y247" i="2"/>
  <c r="S247" i="2" s="1"/>
  <c r="Z247" i="2"/>
  <c r="T247" i="2" s="1"/>
  <c r="Y248" i="2"/>
  <c r="S248" i="2" s="1"/>
  <c r="Z248" i="2"/>
  <c r="T248" i="2" s="1"/>
  <c r="Y249" i="2"/>
  <c r="S249" i="2" s="1"/>
  <c r="Z249" i="2"/>
  <c r="T249" i="2" s="1"/>
  <c r="X227" i="2"/>
  <c r="R227" i="2" s="1"/>
  <c r="X228" i="2"/>
  <c r="R228" i="2" s="1"/>
  <c r="X229" i="2"/>
  <c r="R229" i="2" s="1"/>
  <c r="X230" i="2"/>
  <c r="R230" i="2" s="1"/>
  <c r="X231" i="2"/>
  <c r="R231" i="2" s="1"/>
  <c r="X232" i="2"/>
  <c r="R232" i="2" s="1"/>
  <c r="X233" i="2"/>
  <c r="R233" i="2" s="1"/>
  <c r="X234" i="2"/>
  <c r="R234" i="2" s="1"/>
  <c r="X235" i="2"/>
  <c r="R235" i="2" s="1"/>
  <c r="X236" i="2"/>
  <c r="R236" i="2" s="1"/>
  <c r="X237" i="2"/>
  <c r="R237" i="2" s="1"/>
  <c r="X238" i="2"/>
  <c r="R238" i="2" s="1"/>
  <c r="X239" i="2"/>
  <c r="R239" i="2" s="1"/>
  <c r="X240" i="2"/>
  <c r="R240" i="2" s="1"/>
  <c r="X241" i="2"/>
  <c r="R241" i="2" s="1"/>
  <c r="X242" i="2"/>
  <c r="R242" i="2" s="1"/>
  <c r="X243" i="2"/>
  <c r="R243" i="2" s="1"/>
  <c r="X244" i="2"/>
  <c r="R244" i="2" s="1"/>
  <c r="X245" i="2"/>
  <c r="R245" i="2" s="1"/>
  <c r="X246" i="2"/>
  <c r="R246" i="2" s="1"/>
  <c r="X247" i="2"/>
  <c r="R247" i="2" s="1"/>
  <c r="X248" i="2"/>
  <c r="R248" i="2" s="1"/>
  <c r="X249" i="2"/>
  <c r="R249" i="2" s="1"/>
  <c r="R31" i="2"/>
  <c r="S31" i="2"/>
  <c r="T31" i="2"/>
  <c r="U31" i="2"/>
  <c r="V31" i="2"/>
  <c r="R32" i="2"/>
  <c r="S32" i="2"/>
  <c r="T32" i="2"/>
  <c r="U32" i="2"/>
  <c r="V32" i="2"/>
  <c r="R33" i="2"/>
  <c r="S33" i="2"/>
  <c r="T33" i="2"/>
  <c r="U33" i="2"/>
  <c r="V33" i="2"/>
  <c r="R34" i="2"/>
  <c r="S34" i="2"/>
  <c r="T34" i="2"/>
  <c r="U34" i="2"/>
  <c r="V34" i="2"/>
  <c r="R35" i="2"/>
  <c r="S35" i="2"/>
  <c r="T35" i="2"/>
  <c r="U35" i="2"/>
  <c r="V35" i="2"/>
  <c r="R36" i="2"/>
  <c r="S36" i="2"/>
  <c r="T36" i="2"/>
  <c r="U36" i="2"/>
  <c r="V36" i="2"/>
  <c r="R37" i="2"/>
  <c r="S37" i="2"/>
  <c r="T37" i="2"/>
  <c r="U37" i="2"/>
  <c r="V37" i="2"/>
  <c r="R38" i="2"/>
  <c r="S38" i="2"/>
  <c r="T38" i="2"/>
  <c r="U38" i="2"/>
  <c r="V38" i="2"/>
  <c r="R39" i="2"/>
  <c r="S39" i="2"/>
  <c r="T39" i="2"/>
  <c r="U39" i="2"/>
  <c r="V39" i="2"/>
  <c r="R40" i="2"/>
  <c r="S40" i="2"/>
  <c r="T40" i="2"/>
  <c r="U40" i="2"/>
  <c r="V40" i="2"/>
  <c r="R41" i="2"/>
  <c r="S41" i="2"/>
  <c r="T41" i="2"/>
  <c r="U41" i="2"/>
  <c r="V41" i="2"/>
  <c r="R42" i="2"/>
  <c r="S42" i="2"/>
  <c r="T42" i="2"/>
  <c r="U42" i="2"/>
  <c r="V42" i="2"/>
  <c r="R43" i="2"/>
  <c r="S43" i="2"/>
  <c r="T43" i="2"/>
  <c r="U43" i="2"/>
  <c r="V43" i="2"/>
  <c r="Q44" i="2"/>
  <c r="R44" i="2"/>
  <c r="S44" i="2"/>
  <c r="T44" i="2"/>
  <c r="U44" i="2"/>
  <c r="V44" i="2"/>
  <c r="R45" i="2"/>
  <c r="S45" i="2"/>
  <c r="T45" i="2"/>
  <c r="U45" i="2"/>
  <c r="V45" i="2"/>
  <c r="R46" i="2"/>
  <c r="S46" i="2"/>
  <c r="T46" i="2"/>
  <c r="U46" i="2"/>
  <c r="V46" i="2"/>
  <c r="R47" i="2"/>
  <c r="S47" i="2"/>
  <c r="T47" i="2"/>
  <c r="U47" i="2"/>
  <c r="V47" i="2"/>
  <c r="R48" i="2"/>
  <c r="S48" i="2"/>
  <c r="T48" i="2"/>
  <c r="U48" i="2"/>
  <c r="V48" i="2"/>
  <c r="R49" i="2"/>
  <c r="S49" i="2"/>
  <c r="T49" i="2"/>
  <c r="U49" i="2"/>
  <c r="V49" i="2"/>
  <c r="R50" i="2"/>
  <c r="S50" i="2"/>
  <c r="T50" i="2"/>
  <c r="U50" i="2"/>
  <c r="V50" i="2"/>
  <c r="R51" i="2"/>
  <c r="S51" i="2"/>
  <c r="T51" i="2"/>
  <c r="U51" i="2"/>
  <c r="V51" i="2"/>
  <c r="R52" i="2"/>
  <c r="S52" i="2"/>
  <c r="T52" i="2"/>
  <c r="U52" i="2"/>
  <c r="V52" i="2"/>
  <c r="R53" i="2"/>
  <c r="S53" i="2"/>
  <c r="T53" i="2"/>
  <c r="U53" i="2"/>
  <c r="V53" i="2"/>
  <c r="R54" i="2"/>
  <c r="S54" i="2"/>
  <c r="T54" i="2"/>
  <c r="U54" i="2"/>
  <c r="V54" i="2"/>
  <c r="R55" i="2"/>
  <c r="S55" i="2"/>
  <c r="T55" i="2"/>
  <c r="U55" i="2"/>
  <c r="V55" i="2"/>
  <c r="Q56" i="2"/>
  <c r="R56" i="2"/>
  <c r="S56" i="2"/>
  <c r="T56" i="2"/>
  <c r="U56" i="2"/>
  <c r="V56" i="2"/>
  <c r="R57" i="2"/>
  <c r="S57" i="2"/>
  <c r="T57" i="2"/>
  <c r="U57" i="2"/>
  <c r="V57" i="2"/>
  <c r="R58" i="2"/>
  <c r="S58" i="2"/>
  <c r="T58" i="2"/>
  <c r="U58" i="2"/>
  <c r="V58" i="2"/>
  <c r="R59" i="2"/>
  <c r="S59" i="2"/>
  <c r="T59" i="2"/>
  <c r="U59" i="2"/>
  <c r="V59" i="2"/>
  <c r="R60" i="2"/>
  <c r="S60" i="2"/>
  <c r="T60" i="2"/>
  <c r="U60" i="2"/>
  <c r="V60" i="2"/>
  <c r="R61" i="2"/>
  <c r="S61" i="2"/>
  <c r="T61" i="2"/>
  <c r="U61" i="2"/>
  <c r="V61" i="2"/>
  <c r="R62" i="2"/>
  <c r="S62" i="2"/>
  <c r="T62" i="2"/>
  <c r="U62" i="2"/>
  <c r="V62" i="2"/>
  <c r="R63" i="2"/>
  <c r="S63" i="2"/>
  <c r="T63" i="2"/>
  <c r="U63" i="2"/>
  <c r="V63" i="2"/>
  <c r="R64" i="2"/>
  <c r="S64" i="2"/>
  <c r="T64" i="2"/>
  <c r="U64" i="2"/>
  <c r="V64" i="2"/>
  <c r="R65" i="2"/>
  <c r="S65" i="2"/>
  <c r="T65" i="2"/>
  <c r="U65" i="2"/>
  <c r="V65" i="2"/>
  <c r="R66" i="2"/>
  <c r="S66" i="2"/>
  <c r="T66" i="2"/>
  <c r="U66" i="2"/>
  <c r="V66" i="2"/>
  <c r="R67" i="2"/>
  <c r="S67" i="2"/>
  <c r="T67" i="2"/>
  <c r="U67" i="2"/>
  <c r="V67" i="2"/>
  <c r="R68" i="2"/>
  <c r="S68" i="2"/>
  <c r="T68" i="2"/>
  <c r="U68" i="2"/>
  <c r="V68" i="2"/>
  <c r="R69" i="2"/>
  <c r="S69" i="2"/>
  <c r="T69" i="2"/>
  <c r="U69" i="2"/>
  <c r="V69" i="2"/>
  <c r="R70" i="2"/>
  <c r="S70" i="2"/>
  <c r="T70" i="2"/>
  <c r="U70" i="2"/>
  <c r="V70" i="2"/>
  <c r="R71" i="2"/>
  <c r="S71" i="2"/>
  <c r="T71" i="2"/>
  <c r="U71" i="2"/>
  <c r="V71" i="2"/>
  <c r="R72" i="2"/>
  <c r="S72" i="2"/>
  <c r="T72" i="2"/>
  <c r="U72" i="2"/>
  <c r="V72" i="2"/>
  <c r="R73" i="2"/>
  <c r="S73" i="2"/>
  <c r="T73" i="2"/>
  <c r="U73" i="2"/>
  <c r="V73" i="2"/>
  <c r="R74" i="2"/>
  <c r="S74" i="2"/>
  <c r="T74" i="2"/>
  <c r="U74" i="2"/>
  <c r="V74" i="2"/>
  <c r="R75" i="2"/>
  <c r="S75" i="2"/>
  <c r="T75" i="2"/>
  <c r="U75" i="2"/>
  <c r="V75" i="2"/>
  <c r="Q76" i="2"/>
  <c r="R76" i="2"/>
  <c r="S76" i="2"/>
  <c r="T76" i="2"/>
  <c r="U76" i="2"/>
  <c r="V76" i="2"/>
  <c r="R77" i="2"/>
  <c r="S77" i="2"/>
  <c r="T77" i="2"/>
  <c r="U77" i="2"/>
  <c r="V77" i="2"/>
  <c r="R78" i="2"/>
  <c r="S78" i="2"/>
  <c r="T78" i="2"/>
  <c r="U78" i="2"/>
  <c r="V78" i="2"/>
  <c r="R79" i="2"/>
  <c r="S79" i="2"/>
  <c r="T79" i="2"/>
  <c r="U79" i="2"/>
  <c r="V79" i="2"/>
  <c r="R80" i="2"/>
  <c r="S80" i="2"/>
  <c r="T80" i="2"/>
  <c r="U80" i="2"/>
  <c r="V80" i="2"/>
  <c r="R81" i="2"/>
  <c r="S81" i="2"/>
  <c r="T81" i="2"/>
  <c r="U81" i="2"/>
  <c r="V81" i="2"/>
  <c r="R82" i="2"/>
  <c r="S82" i="2"/>
  <c r="T82" i="2"/>
  <c r="U82" i="2"/>
  <c r="V82" i="2"/>
  <c r="R83" i="2"/>
  <c r="S83" i="2"/>
  <c r="T83" i="2"/>
  <c r="U83" i="2"/>
  <c r="V83" i="2"/>
  <c r="R84" i="2"/>
  <c r="S84" i="2"/>
  <c r="T84" i="2"/>
  <c r="U84" i="2"/>
  <c r="V84" i="2"/>
  <c r="R85" i="2"/>
  <c r="S85" i="2"/>
  <c r="T85" i="2"/>
  <c r="U85" i="2"/>
  <c r="V85" i="2"/>
  <c r="R86" i="2"/>
  <c r="S86" i="2"/>
  <c r="T86" i="2"/>
  <c r="U86" i="2"/>
  <c r="V86" i="2"/>
  <c r="R87" i="2"/>
  <c r="S87" i="2"/>
  <c r="T87" i="2"/>
  <c r="U87" i="2"/>
  <c r="V87" i="2"/>
  <c r="R88" i="2"/>
  <c r="S88" i="2"/>
  <c r="T88" i="2"/>
  <c r="U88" i="2"/>
  <c r="V88" i="2"/>
  <c r="R89" i="2"/>
  <c r="S89" i="2"/>
  <c r="T89" i="2"/>
  <c r="U89" i="2"/>
  <c r="V89" i="2"/>
  <c r="R90" i="2"/>
  <c r="S90" i="2"/>
  <c r="T90" i="2"/>
  <c r="U90" i="2"/>
  <c r="V90" i="2"/>
  <c r="R91" i="2"/>
  <c r="S91" i="2"/>
  <c r="T91" i="2"/>
  <c r="U91" i="2"/>
  <c r="V91" i="2"/>
  <c r="R92" i="2"/>
  <c r="S92" i="2"/>
  <c r="T92" i="2"/>
  <c r="U92" i="2"/>
  <c r="V92" i="2"/>
  <c r="R93" i="2"/>
  <c r="S93" i="2"/>
  <c r="T93" i="2"/>
  <c r="U93" i="2"/>
  <c r="V93" i="2"/>
  <c r="R94" i="2"/>
  <c r="S94" i="2"/>
  <c r="T94" i="2"/>
  <c r="U94" i="2"/>
  <c r="V94" i="2"/>
  <c r="R95" i="2"/>
  <c r="S95" i="2"/>
  <c r="T95" i="2"/>
  <c r="U95" i="2"/>
  <c r="V95" i="2"/>
  <c r="R96" i="2"/>
  <c r="S96" i="2"/>
  <c r="T96" i="2"/>
  <c r="U96" i="2"/>
  <c r="V96" i="2"/>
  <c r="R97" i="2"/>
  <c r="S97" i="2"/>
  <c r="T97" i="2"/>
  <c r="U97" i="2"/>
  <c r="V97" i="2"/>
  <c r="R98" i="2"/>
  <c r="S98" i="2"/>
  <c r="T98" i="2"/>
  <c r="U98" i="2"/>
  <c r="V98" i="2"/>
  <c r="R99" i="2"/>
  <c r="S99" i="2"/>
  <c r="T99" i="2"/>
  <c r="U99" i="2"/>
  <c r="V99" i="2"/>
  <c r="R100" i="2"/>
  <c r="S100" i="2"/>
  <c r="T100" i="2"/>
  <c r="U100" i="2"/>
  <c r="V100" i="2"/>
  <c r="R101" i="2"/>
  <c r="S101" i="2"/>
  <c r="T101" i="2"/>
  <c r="U101" i="2"/>
  <c r="V101" i="2"/>
  <c r="R102" i="2"/>
  <c r="S102" i="2"/>
  <c r="T102" i="2"/>
  <c r="U102" i="2"/>
  <c r="V102" i="2"/>
  <c r="R103" i="2"/>
  <c r="S103" i="2"/>
  <c r="T103" i="2"/>
  <c r="U103" i="2"/>
  <c r="V103" i="2"/>
  <c r="R104" i="2"/>
  <c r="S104" i="2"/>
  <c r="T104" i="2"/>
  <c r="U104" i="2"/>
  <c r="V104" i="2"/>
  <c r="R105" i="2"/>
  <c r="S105" i="2"/>
  <c r="T105" i="2"/>
  <c r="U105" i="2"/>
  <c r="V105" i="2"/>
  <c r="Q106" i="2"/>
  <c r="R106" i="2"/>
  <c r="S106" i="2"/>
  <c r="T106" i="2"/>
  <c r="U106" i="2"/>
  <c r="V106" i="2"/>
  <c r="R107" i="2"/>
  <c r="S107" i="2"/>
  <c r="T107" i="2"/>
  <c r="U107" i="2"/>
  <c r="V107" i="2"/>
  <c r="R108" i="2"/>
  <c r="S108" i="2"/>
  <c r="T108" i="2"/>
  <c r="U108" i="2"/>
  <c r="V108" i="2"/>
  <c r="R109" i="2"/>
  <c r="S109" i="2"/>
  <c r="T109" i="2"/>
  <c r="U109" i="2"/>
  <c r="V109" i="2"/>
  <c r="Q110" i="2"/>
  <c r="R110" i="2"/>
  <c r="S110" i="2"/>
  <c r="T110" i="2"/>
  <c r="U110" i="2"/>
  <c r="V110" i="2"/>
  <c r="Q111" i="2"/>
  <c r="R111" i="2"/>
  <c r="S111" i="2"/>
  <c r="T111" i="2"/>
  <c r="U111" i="2"/>
  <c r="V111" i="2"/>
  <c r="Q127" i="2"/>
  <c r="R127" i="2"/>
  <c r="S127" i="2"/>
  <c r="T127" i="2"/>
  <c r="U127" i="2"/>
  <c r="V127" i="2"/>
  <c r="R147" i="2"/>
  <c r="T147" i="2"/>
  <c r="V147" i="2"/>
  <c r="R148" i="2"/>
  <c r="T148" i="2"/>
  <c r="V148" i="2"/>
  <c r="R150" i="2"/>
  <c r="T150" i="2"/>
  <c r="V150" i="2"/>
  <c r="R151" i="2"/>
  <c r="T151" i="2"/>
  <c r="V151" i="2"/>
  <c r="R152" i="2"/>
  <c r="T152" i="2"/>
  <c r="V152" i="2"/>
  <c r="R153" i="2"/>
  <c r="T153" i="2"/>
  <c r="V153" i="2"/>
  <c r="Q154" i="2"/>
  <c r="R154" i="2"/>
  <c r="S154" i="2"/>
  <c r="T154" i="2"/>
  <c r="U154" i="2"/>
  <c r="V154" i="2"/>
  <c r="Q158" i="2"/>
  <c r="R158" i="2"/>
  <c r="S158" i="2"/>
  <c r="T158" i="2"/>
  <c r="U158" i="2"/>
  <c r="V158" i="2"/>
  <c r="Q159" i="2"/>
  <c r="R159" i="2"/>
  <c r="S159" i="2"/>
  <c r="T159" i="2"/>
  <c r="U159" i="2"/>
  <c r="V159" i="2"/>
  <c r="Q160" i="2"/>
  <c r="R160" i="2"/>
  <c r="S160" i="2"/>
  <c r="T160" i="2"/>
  <c r="U160" i="2"/>
  <c r="V160" i="2"/>
  <c r="Q169" i="2"/>
  <c r="R169" i="2"/>
  <c r="S169" i="2"/>
  <c r="T169" i="2"/>
  <c r="U169" i="2"/>
  <c r="V169" i="2"/>
  <c r="R191" i="2"/>
  <c r="S191" i="2"/>
  <c r="T191" i="2"/>
  <c r="U191" i="2"/>
  <c r="V191" i="2"/>
  <c r="R192" i="2"/>
  <c r="S192" i="2"/>
  <c r="T192" i="2"/>
  <c r="U192" i="2"/>
  <c r="V192" i="2"/>
  <c r="R193" i="2"/>
  <c r="S193" i="2"/>
  <c r="T193" i="2"/>
  <c r="U193" i="2"/>
  <c r="V193" i="2"/>
  <c r="R194" i="2"/>
  <c r="S194" i="2"/>
  <c r="T194" i="2"/>
  <c r="U194" i="2"/>
  <c r="V194" i="2"/>
  <c r="R195" i="2"/>
  <c r="S195" i="2"/>
  <c r="T195" i="2"/>
  <c r="U195" i="2"/>
  <c r="V195" i="2"/>
  <c r="R196" i="2"/>
  <c r="S196" i="2"/>
  <c r="T196" i="2"/>
  <c r="U196" i="2"/>
  <c r="V196" i="2"/>
  <c r="R197" i="2"/>
  <c r="S197" i="2"/>
  <c r="T197" i="2"/>
  <c r="U197" i="2"/>
  <c r="V197" i="2"/>
  <c r="R198" i="2"/>
  <c r="S198" i="2"/>
  <c r="T198" i="2"/>
  <c r="U198" i="2"/>
  <c r="V198" i="2"/>
  <c r="R199" i="2"/>
  <c r="S199" i="2"/>
  <c r="T199" i="2"/>
  <c r="U199" i="2"/>
  <c r="V199" i="2"/>
  <c r="R200" i="2"/>
  <c r="S200" i="2"/>
  <c r="T200" i="2"/>
  <c r="U200" i="2"/>
  <c r="V200" i="2"/>
  <c r="R201" i="2"/>
  <c r="S201" i="2"/>
  <c r="T201" i="2"/>
  <c r="U201" i="2"/>
  <c r="V201" i="2"/>
  <c r="R202" i="2"/>
  <c r="S202" i="2"/>
  <c r="T202" i="2"/>
  <c r="U202" i="2"/>
  <c r="V202" i="2"/>
  <c r="R203" i="2"/>
  <c r="S203" i="2"/>
  <c r="T203" i="2"/>
  <c r="U203" i="2"/>
  <c r="V203" i="2"/>
  <c r="R204" i="2"/>
  <c r="S204" i="2"/>
  <c r="T204" i="2"/>
  <c r="U204" i="2"/>
  <c r="V204" i="2"/>
  <c r="R205" i="2"/>
  <c r="S205" i="2"/>
  <c r="T205" i="2"/>
  <c r="U205" i="2"/>
  <c r="V205" i="2"/>
  <c r="R206" i="2"/>
  <c r="S206" i="2"/>
  <c r="T206" i="2"/>
  <c r="U206" i="2"/>
  <c r="V206" i="2"/>
  <c r="R207" i="2"/>
  <c r="S207" i="2"/>
  <c r="T207" i="2"/>
  <c r="U207" i="2"/>
  <c r="V207" i="2"/>
  <c r="R208" i="2"/>
  <c r="S208" i="2"/>
  <c r="T208" i="2"/>
  <c r="U208" i="2"/>
  <c r="V208" i="2"/>
  <c r="R209" i="2"/>
  <c r="S209" i="2"/>
  <c r="T209" i="2"/>
  <c r="U209" i="2"/>
  <c r="V209" i="2"/>
  <c r="R210" i="2"/>
  <c r="S210" i="2"/>
  <c r="T210" i="2"/>
  <c r="U210" i="2"/>
  <c r="V210" i="2"/>
  <c r="R211" i="2"/>
  <c r="S211" i="2"/>
  <c r="T211" i="2"/>
  <c r="U211" i="2"/>
  <c r="V211" i="2"/>
  <c r="R212" i="2"/>
  <c r="S212" i="2"/>
  <c r="T212" i="2"/>
  <c r="U212" i="2"/>
  <c r="V212" i="2"/>
  <c r="R213" i="2"/>
  <c r="S213" i="2"/>
  <c r="T213" i="2"/>
  <c r="U213" i="2"/>
  <c r="V213" i="2"/>
  <c r="R214" i="2"/>
  <c r="S214" i="2"/>
  <c r="T214" i="2"/>
  <c r="U214" i="2"/>
  <c r="V214" i="2"/>
  <c r="R215" i="2"/>
  <c r="S215" i="2"/>
  <c r="T215" i="2"/>
  <c r="U215" i="2"/>
  <c r="V215" i="2"/>
  <c r="R216" i="2"/>
  <c r="S216" i="2"/>
  <c r="T216" i="2"/>
  <c r="U216" i="2"/>
  <c r="V216" i="2"/>
  <c r="R217" i="2"/>
  <c r="S217" i="2"/>
  <c r="T217" i="2"/>
  <c r="U217" i="2"/>
  <c r="V217" i="2"/>
  <c r="R218" i="2"/>
  <c r="S218" i="2"/>
  <c r="T218" i="2"/>
  <c r="U218" i="2"/>
  <c r="V218" i="2"/>
  <c r="R219" i="2"/>
  <c r="S219" i="2"/>
  <c r="T219" i="2"/>
  <c r="U219" i="2"/>
  <c r="V219" i="2"/>
  <c r="R220" i="2"/>
  <c r="S220" i="2"/>
  <c r="T220" i="2"/>
  <c r="U220" i="2"/>
  <c r="V220" i="2"/>
  <c r="R221" i="2"/>
  <c r="S221" i="2"/>
  <c r="T221" i="2"/>
  <c r="U221" i="2"/>
  <c r="V221" i="2"/>
  <c r="R222" i="2"/>
  <c r="S222" i="2"/>
  <c r="T222" i="2"/>
  <c r="U222" i="2"/>
  <c r="V222" i="2"/>
  <c r="R223" i="2"/>
  <c r="S223" i="2"/>
  <c r="T223" i="2"/>
  <c r="U223" i="2"/>
  <c r="V223" i="2"/>
  <c r="R224" i="2"/>
  <c r="S224" i="2"/>
  <c r="T224" i="2"/>
  <c r="U224" i="2"/>
  <c r="V224" i="2"/>
  <c r="R225" i="2"/>
  <c r="S225" i="2"/>
  <c r="T225" i="2"/>
  <c r="U225" i="2"/>
  <c r="V225" i="2"/>
  <c r="R226" i="2"/>
  <c r="S226" i="2"/>
  <c r="T226" i="2"/>
  <c r="U226" i="2"/>
  <c r="V226" i="2"/>
  <c r="R250" i="2"/>
  <c r="S250" i="2"/>
  <c r="T250" i="2"/>
  <c r="U250" i="2"/>
  <c r="V250" i="2"/>
  <c r="R251" i="2"/>
  <c r="S251" i="2"/>
  <c r="T251" i="2"/>
  <c r="U251" i="2"/>
  <c r="V251" i="2"/>
  <c r="R252" i="2"/>
  <c r="S252" i="2"/>
  <c r="T252" i="2"/>
  <c r="U252" i="2"/>
  <c r="V252" i="2"/>
  <c r="R253" i="2"/>
  <c r="S253" i="2"/>
  <c r="T253" i="2"/>
  <c r="U253" i="2"/>
  <c r="V253" i="2"/>
  <c r="R254" i="2"/>
  <c r="S254" i="2"/>
  <c r="T254" i="2"/>
  <c r="U254" i="2"/>
  <c r="V254" i="2"/>
  <c r="R255" i="2"/>
  <c r="S255" i="2"/>
  <c r="T255" i="2"/>
  <c r="U255" i="2"/>
  <c r="V255" i="2"/>
  <c r="R256" i="2"/>
  <c r="S256" i="2"/>
  <c r="T256" i="2"/>
  <c r="U256" i="2"/>
  <c r="V256" i="2"/>
  <c r="R257" i="2"/>
  <c r="S257" i="2"/>
  <c r="T257" i="2"/>
  <c r="U257" i="2"/>
  <c r="V257" i="2"/>
  <c r="R258" i="2"/>
  <c r="S258" i="2"/>
  <c r="T258" i="2"/>
  <c r="U258" i="2"/>
  <c r="V258" i="2"/>
  <c r="R259" i="2"/>
  <c r="S259" i="2"/>
  <c r="T259" i="2"/>
  <c r="U259" i="2"/>
  <c r="V259" i="2"/>
  <c r="R260" i="2"/>
  <c r="S260" i="2"/>
  <c r="T260" i="2"/>
  <c r="U260" i="2"/>
  <c r="V260" i="2"/>
  <c r="R261" i="2"/>
  <c r="S261" i="2"/>
  <c r="T261" i="2"/>
  <c r="U261" i="2"/>
  <c r="V261" i="2"/>
  <c r="R262" i="2"/>
  <c r="S262" i="2"/>
  <c r="T262" i="2"/>
  <c r="U262" i="2"/>
  <c r="V262" i="2"/>
  <c r="R263" i="2"/>
  <c r="S263" i="2"/>
  <c r="T263" i="2"/>
  <c r="U263" i="2"/>
  <c r="V263" i="2"/>
  <c r="R264" i="2"/>
  <c r="S264" i="2"/>
  <c r="T264" i="2"/>
  <c r="U264" i="2"/>
  <c r="V264" i="2"/>
  <c r="R265" i="2"/>
  <c r="S265" i="2"/>
  <c r="T265" i="2"/>
  <c r="U265" i="2"/>
  <c r="V265" i="2"/>
  <c r="R266" i="2"/>
  <c r="S266" i="2"/>
  <c r="T266" i="2"/>
  <c r="U266" i="2"/>
  <c r="V266" i="2"/>
  <c r="R267" i="2"/>
  <c r="S267" i="2"/>
  <c r="T267" i="2"/>
  <c r="U267" i="2"/>
  <c r="V267" i="2"/>
  <c r="R268" i="2"/>
  <c r="S268" i="2"/>
  <c r="T268" i="2"/>
  <c r="U268" i="2"/>
  <c r="V268" i="2"/>
  <c r="R269" i="2"/>
  <c r="S269" i="2"/>
  <c r="T269" i="2"/>
  <c r="U269" i="2"/>
  <c r="V269" i="2"/>
  <c r="N40" i="18" l="1"/>
  <c r="N39" i="18"/>
  <c r="L39" i="18"/>
  <c r="L38" i="18"/>
  <c r="J38" i="18"/>
  <c r="J37" i="18"/>
  <c r="N36" i="18"/>
  <c r="N35" i="18"/>
  <c r="L35" i="18"/>
  <c r="L34" i="18"/>
  <c r="K34" i="18"/>
  <c r="J34" i="18"/>
  <c r="I34" i="18"/>
  <c r="M34" i="18"/>
  <c r="N34" i="18"/>
  <c r="I35" i="18"/>
  <c r="J35" i="18"/>
  <c r="K35" i="18"/>
  <c r="M35" i="18"/>
  <c r="I36" i="18"/>
  <c r="J36" i="18"/>
  <c r="K36" i="18"/>
  <c r="L36" i="18"/>
  <c r="M36" i="18"/>
  <c r="I37" i="18"/>
  <c r="K37" i="18"/>
  <c r="L37" i="18"/>
  <c r="M37" i="18"/>
  <c r="N37" i="18"/>
  <c r="I38" i="18"/>
  <c r="K38" i="18"/>
  <c r="M38" i="18"/>
  <c r="N38" i="18"/>
  <c r="I39" i="18"/>
  <c r="J39" i="18"/>
  <c r="K39" i="18"/>
  <c r="M39" i="18"/>
  <c r="I40" i="18"/>
  <c r="J40" i="18"/>
  <c r="K40" i="18"/>
  <c r="L40" i="18"/>
  <c r="M40" i="18"/>
  <c r="AE31" i="2" l="1"/>
  <c r="AE32" i="2"/>
  <c r="AE33" i="2"/>
  <c r="AE34" i="2"/>
  <c r="AE35" i="2"/>
  <c r="AE36" i="2"/>
  <c r="AE37" i="2"/>
  <c r="AE38" i="2"/>
  <c r="AE39" i="2"/>
  <c r="AE40" i="2"/>
  <c r="AE41" i="2"/>
  <c r="J42" i="2"/>
  <c r="AE42" i="2" s="1"/>
  <c r="J43" i="2"/>
  <c r="AE43" i="2" s="1"/>
  <c r="J44" i="2"/>
  <c r="AE44" i="2" s="1"/>
  <c r="J45" i="2"/>
  <c r="AE45" i="2" s="1"/>
  <c r="J46" i="2"/>
  <c r="AE46" i="2" s="1"/>
  <c r="J47" i="2"/>
  <c r="AE47" i="2" s="1"/>
  <c r="J48" i="2"/>
  <c r="AE48" i="2" s="1"/>
  <c r="J49" i="2"/>
  <c r="AE49" i="2" s="1"/>
  <c r="J50" i="2"/>
  <c r="AE50" i="2" s="1"/>
  <c r="J51" i="2"/>
  <c r="AE51" i="2" s="1"/>
  <c r="J52" i="2"/>
  <c r="AE52" i="2" s="1"/>
  <c r="J53" i="2"/>
  <c r="AE53" i="2" s="1"/>
  <c r="J54" i="2"/>
  <c r="AE54" i="2" s="1"/>
  <c r="J55" i="2"/>
  <c r="AE55" i="2" s="1"/>
  <c r="J56" i="2"/>
  <c r="AE56" i="2" s="1"/>
  <c r="J57" i="2"/>
  <c r="AE57" i="2" s="1"/>
  <c r="J58" i="2"/>
  <c r="AE58" i="2" s="1"/>
  <c r="J59" i="2"/>
  <c r="AE59" i="2" s="1"/>
  <c r="J60" i="2"/>
  <c r="AE60" i="2" s="1"/>
  <c r="J61" i="2"/>
  <c r="AE61" i="2" s="1"/>
  <c r="J62" i="2"/>
  <c r="AE62" i="2" s="1"/>
  <c r="J63" i="2"/>
  <c r="AE63" i="2" s="1"/>
  <c r="J64" i="2"/>
  <c r="AE64" i="2" s="1"/>
  <c r="J65" i="2"/>
  <c r="AE65" i="2" s="1"/>
  <c r="J66" i="2"/>
  <c r="AE66" i="2" s="1"/>
  <c r="J67" i="2"/>
  <c r="AE67" i="2" s="1"/>
  <c r="J68" i="2"/>
  <c r="AE68" i="2" s="1"/>
  <c r="J69" i="2"/>
  <c r="AE69" i="2" s="1"/>
  <c r="J70" i="2"/>
  <c r="AE70" i="2" s="1"/>
  <c r="J71" i="2"/>
  <c r="AE71" i="2" s="1"/>
  <c r="J72" i="2"/>
  <c r="AE72" i="2" s="1"/>
  <c r="J73" i="2"/>
  <c r="AE73" i="2" s="1"/>
  <c r="J74" i="2"/>
  <c r="AE74" i="2" s="1"/>
  <c r="J75" i="2"/>
  <c r="AE75" i="2" s="1"/>
  <c r="J76" i="2"/>
  <c r="AE76" i="2" s="1"/>
  <c r="J77" i="2"/>
  <c r="AE77" i="2" s="1"/>
  <c r="J78" i="2"/>
  <c r="AE78" i="2" s="1"/>
  <c r="J79" i="2"/>
  <c r="AE79" i="2" s="1"/>
  <c r="J80" i="2"/>
  <c r="AE80" i="2" s="1"/>
  <c r="J81" i="2"/>
  <c r="AE81" i="2" s="1"/>
  <c r="J82" i="2"/>
  <c r="AE82" i="2" s="1"/>
  <c r="J83" i="2"/>
  <c r="AE83" i="2" s="1"/>
  <c r="J84" i="2"/>
  <c r="AE84" i="2" s="1"/>
  <c r="J85" i="2"/>
  <c r="AE85" i="2" s="1"/>
  <c r="J86" i="2"/>
  <c r="AE86" i="2" s="1"/>
  <c r="J87" i="2"/>
  <c r="AE87" i="2" s="1"/>
  <c r="J88" i="2"/>
  <c r="AE88" i="2" s="1"/>
  <c r="J89" i="2"/>
  <c r="AE89" i="2" s="1"/>
  <c r="J90" i="2"/>
  <c r="AE90" i="2" s="1"/>
  <c r="J91" i="2"/>
  <c r="AE91" i="2" s="1"/>
  <c r="J92" i="2"/>
  <c r="AE92" i="2" s="1"/>
  <c r="J93" i="2"/>
  <c r="AE93" i="2" s="1"/>
  <c r="J94" i="2"/>
  <c r="AE94" i="2" s="1"/>
  <c r="J95" i="2"/>
  <c r="AE95" i="2" s="1"/>
  <c r="J96" i="2"/>
  <c r="AE96" i="2" s="1"/>
  <c r="J97" i="2"/>
  <c r="AE97" i="2" s="1"/>
  <c r="J98" i="2"/>
  <c r="AE98" i="2" s="1"/>
  <c r="J99" i="2"/>
  <c r="AE99" i="2" s="1"/>
  <c r="J100" i="2"/>
  <c r="AE100" i="2" s="1"/>
  <c r="J101" i="2"/>
  <c r="AE101" i="2" s="1"/>
  <c r="J102" i="2"/>
  <c r="AE102" i="2" s="1"/>
  <c r="J103" i="2"/>
  <c r="AE103" i="2" s="1"/>
  <c r="J104" i="2"/>
  <c r="AE104" i="2" s="1"/>
  <c r="J105" i="2"/>
  <c r="AE105" i="2" s="1"/>
  <c r="J106" i="2"/>
  <c r="AE106" i="2" s="1"/>
  <c r="J107" i="2"/>
  <c r="AE107" i="2" s="1"/>
  <c r="J108" i="2"/>
  <c r="AE108" i="2" s="1"/>
  <c r="J109" i="2"/>
  <c r="AE109" i="2" s="1"/>
  <c r="J110" i="2"/>
  <c r="AE110" i="2" s="1"/>
  <c r="J111" i="2"/>
  <c r="AE111" i="2" s="1"/>
  <c r="J112" i="2"/>
  <c r="AE112" i="2" s="1"/>
  <c r="J113" i="2"/>
  <c r="AE113" i="2" s="1"/>
  <c r="J114" i="2"/>
  <c r="AE114" i="2" s="1"/>
  <c r="J115" i="2"/>
  <c r="AE115" i="2" s="1"/>
  <c r="J116" i="2"/>
  <c r="AE116" i="2" s="1"/>
  <c r="J117" i="2"/>
  <c r="AE117" i="2" s="1"/>
  <c r="J118" i="2"/>
  <c r="AE118" i="2" s="1"/>
  <c r="J119" i="2"/>
  <c r="AE119" i="2" s="1"/>
  <c r="J120" i="2"/>
  <c r="AE120" i="2" s="1"/>
  <c r="J121" i="2"/>
  <c r="AE121" i="2" s="1"/>
  <c r="J122" i="2"/>
  <c r="AE122" i="2" s="1"/>
  <c r="J123" i="2"/>
  <c r="AE123" i="2" s="1"/>
  <c r="J124" i="2"/>
  <c r="AE124" i="2" s="1"/>
  <c r="J125" i="2"/>
  <c r="AE125" i="2" s="1"/>
  <c r="J126" i="2"/>
  <c r="AE126" i="2" s="1"/>
  <c r="J127" i="2"/>
  <c r="AE127" i="2" s="1"/>
  <c r="J128" i="2"/>
  <c r="AE128" i="2" s="1"/>
  <c r="J129" i="2"/>
  <c r="AE129" i="2" s="1"/>
  <c r="J130" i="2"/>
  <c r="AE130" i="2" s="1"/>
  <c r="J131" i="2"/>
  <c r="AE131" i="2" s="1"/>
  <c r="J132" i="2"/>
  <c r="AE132" i="2" s="1"/>
  <c r="J133" i="2"/>
  <c r="AE133" i="2" s="1"/>
  <c r="J134" i="2"/>
  <c r="AE134" i="2" s="1"/>
  <c r="J135" i="2"/>
  <c r="AE135" i="2" s="1"/>
  <c r="J136" i="2"/>
  <c r="AE136" i="2" s="1"/>
  <c r="J137" i="2"/>
  <c r="AE137" i="2" s="1"/>
  <c r="J138" i="2"/>
  <c r="AE138" i="2" s="1"/>
  <c r="J139" i="2"/>
  <c r="AE139" i="2" s="1"/>
  <c r="J140" i="2"/>
  <c r="AE140" i="2" s="1"/>
  <c r="J141" i="2"/>
  <c r="AE141" i="2" s="1"/>
  <c r="J142" i="2"/>
  <c r="AE142" i="2" s="1"/>
  <c r="J143" i="2"/>
  <c r="AE143" i="2" s="1"/>
  <c r="J144" i="2"/>
  <c r="AE144" i="2" s="1"/>
  <c r="J146" i="2"/>
  <c r="AE146" i="2" s="1"/>
  <c r="J147" i="2"/>
  <c r="AE147" i="2" s="1"/>
  <c r="J148" i="2"/>
  <c r="AE148" i="2" s="1"/>
  <c r="J149" i="2"/>
  <c r="AE149" i="2" s="1"/>
  <c r="J150" i="2"/>
  <c r="AE150" i="2" s="1"/>
  <c r="J151" i="2"/>
  <c r="AE151" i="2" s="1"/>
  <c r="J152" i="2"/>
  <c r="AE152" i="2" s="1"/>
  <c r="J153" i="2"/>
  <c r="AE153" i="2" s="1"/>
  <c r="J154" i="2"/>
  <c r="AE154" i="2" s="1"/>
  <c r="J155" i="2"/>
  <c r="AE155" i="2" s="1"/>
  <c r="J156" i="2"/>
  <c r="AE156" i="2" s="1"/>
  <c r="J157" i="2"/>
  <c r="AE157" i="2" s="1"/>
  <c r="J158" i="2"/>
  <c r="AE158" i="2" s="1"/>
  <c r="J159" i="2"/>
  <c r="AE159" i="2" s="1"/>
  <c r="J160" i="2"/>
  <c r="AE160" i="2" s="1"/>
  <c r="J161" i="2"/>
  <c r="AE161" i="2" s="1"/>
  <c r="J162" i="2"/>
  <c r="AE162" i="2" s="1"/>
  <c r="J163" i="2"/>
  <c r="AE163" i="2" s="1"/>
  <c r="J164" i="2"/>
  <c r="AE164" i="2" s="1"/>
  <c r="J165" i="2"/>
  <c r="AE165" i="2" s="1"/>
  <c r="J166" i="2"/>
  <c r="AE166" i="2" s="1"/>
  <c r="J167" i="2"/>
  <c r="AE167" i="2" s="1"/>
  <c r="J168" i="2"/>
  <c r="AE168" i="2" s="1"/>
  <c r="J169" i="2"/>
  <c r="AE169" i="2" s="1"/>
  <c r="J170" i="2"/>
  <c r="AE170" i="2" s="1"/>
  <c r="J171" i="2"/>
  <c r="AE171" i="2" s="1"/>
  <c r="J172" i="2"/>
  <c r="AE172" i="2" s="1"/>
  <c r="J173" i="2"/>
  <c r="AE173" i="2" s="1"/>
  <c r="J174" i="2"/>
  <c r="AE174" i="2" s="1"/>
  <c r="J175" i="2"/>
  <c r="AE175" i="2" s="1"/>
  <c r="J176" i="2"/>
  <c r="AE176" i="2" s="1"/>
  <c r="J177" i="2"/>
  <c r="AE177" i="2" s="1"/>
  <c r="J178" i="2"/>
  <c r="AE178" i="2" s="1"/>
  <c r="J179" i="2"/>
  <c r="AE179" i="2" s="1"/>
  <c r="J180" i="2"/>
  <c r="AE180" i="2" s="1"/>
  <c r="J181" i="2"/>
  <c r="AE181" i="2" s="1"/>
  <c r="J182" i="2"/>
  <c r="AE182" i="2" s="1"/>
  <c r="J183" i="2"/>
  <c r="AE183" i="2" s="1"/>
  <c r="J184" i="2"/>
  <c r="AE184" i="2" s="1"/>
  <c r="J185" i="2"/>
  <c r="AE185" i="2" s="1"/>
  <c r="J186" i="2"/>
  <c r="AE186" i="2" s="1"/>
  <c r="J187" i="2"/>
  <c r="AE187" i="2" s="1"/>
  <c r="J188" i="2"/>
  <c r="AE188" i="2" s="1"/>
  <c r="J189" i="2"/>
  <c r="AE189" i="2" s="1"/>
  <c r="J190" i="2"/>
  <c r="AE190" i="2" s="1"/>
  <c r="J191" i="2"/>
  <c r="AE191" i="2" s="1"/>
  <c r="J192" i="2"/>
  <c r="AE192" i="2" s="1"/>
  <c r="J193" i="2"/>
  <c r="AE193" i="2" s="1"/>
  <c r="J194" i="2"/>
  <c r="AE194" i="2" s="1"/>
  <c r="J195" i="2"/>
  <c r="AE195" i="2" s="1"/>
  <c r="J196" i="2"/>
  <c r="AE196" i="2" s="1"/>
  <c r="J197" i="2"/>
  <c r="AE197" i="2" s="1"/>
  <c r="J198" i="2"/>
  <c r="AE198" i="2" s="1"/>
  <c r="AE199" i="2"/>
  <c r="AE200" i="2"/>
  <c r="AE201" i="2"/>
  <c r="J202" i="2"/>
  <c r="AE202" i="2" s="1"/>
  <c r="J203" i="2"/>
  <c r="AE203" i="2" s="1"/>
  <c r="J204" i="2"/>
  <c r="AE204" i="2" s="1"/>
  <c r="J205" i="2"/>
  <c r="AE205" i="2" s="1"/>
  <c r="J206" i="2"/>
  <c r="AE206" i="2" s="1"/>
  <c r="J207" i="2"/>
  <c r="AE207" i="2" s="1"/>
  <c r="J208" i="2"/>
  <c r="AE208" i="2" s="1"/>
  <c r="J209" i="2"/>
  <c r="AE209" i="2" s="1"/>
  <c r="J210" i="2"/>
  <c r="AE210" i="2" s="1"/>
  <c r="J211" i="2"/>
  <c r="AE211" i="2" s="1"/>
  <c r="J212" i="2"/>
  <c r="AE212" i="2" s="1"/>
  <c r="J213" i="2"/>
  <c r="AE213" i="2" s="1"/>
  <c r="J214" i="2"/>
  <c r="AE214" i="2" s="1"/>
  <c r="AE215" i="2"/>
  <c r="J216" i="2"/>
  <c r="AE216" i="2" s="1"/>
  <c r="J217" i="2"/>
  <c r="AE217" i="2" s="1"/>
  <c r="J218" i="2"/>
  <c r="AE218" i="2" s="1"/>
  <c r="J219" i="2"/>
  <c r="AE219" i="2" s="1"/>
  <c r="J220" i="2"/>
  <c r="AE220" i="2" s="1"/>
  <c r="J221" i="2"/>
  <c r="AE221" i="2" s="1"/>
  <c r="J222" i="2"/>
  <c r="AE222" i="2" s="1"/>
  <c r="J223" i="2"/>
  <c r="AE223" i="2" s="1"/>
  <c r="J224" i="2"/>
  <c r="AE224" i="2" s="1"/>
  <c r="J225" i="2"/>
  <c r="AE225" i="2" s="1"/>
  <c r="J226" i="2"/>
  <c r="AE226" i="2" s="1"/>
  <c r="J250" i="2"/>
  <c r="AE250" i="2" s="1"/>
  <c r="J251" i="2"/>
  <c r="AE251" i="2" s="1"/>
  <c r="J252" i="2"/>
  <c r="AE252" i="2" s="1"/>
  <c r="J253" i="2"/>
  <c r="AE253" i="2" s="1"/>
  <c r="J254" i="2"/>
  <c r="AE254" i="2" s="1"/>
  <c r="J255" i="2"/>
  <c r="AE255" i="2" s="1"/>
  <c r="J256" i="2"/>
  <c r="AE256" i="2" s="1"/>
  <c r="J258" i="2"/>
  <c r="AE258" i="2" s="1"/>
  <c r="J259" i="2"/>
  <c r="AE259" i="2" s="1"/>
  <c r="J260" i="2"/>
  <c r="AE260" i="2" s="1"/>
  <c r="J261" i="2"/>
  <c r="AE261" i="2" s="1"/>
  <c r="J262" i="2"/>
  <c r="AE262" i="2" s="1"/>
  <c r="J263" i="2"/>
  <c r="AE263" i="2" s="1"/>
  <c r="J264" i="2"/>
  <c r="AE264" i="2" s="1"/>
  <c r="J265" i="2"/>
  <c r="AE265" i="2" s="1"/>
  <c r="J266" i="2"/>
  <c r="AE266" i="2" s="1"/>
  <c r="J267" i="2"/>
  <c r="AE267" i="2" s="1"/>
  <c r="J268" i="2"/>
  <c r="AE268" i="2" s="1"/>
  <c r="AE269" i="2"/>
  <c r="X31" i="2"/>
  <c r="Y31" i="2"/>
  <c r="Z31" i="2"/>
  <c r="X32" i="2"/>
  <c r="Y32" i="2"/>
  <c r="Z32" i="2"/>
  <c r="X33" i="2"/>
  <c r="Y33" i="2"/>
  <c r="Z33" i="2"/>
  <c r="X34" i="2"/>
  <c r="Y34" i="2"/>
  <c r="Z34" i="2"/>
  <c r="X35" i="2"/>
  <c r="Y35" i="2"/>
  <c r="Z35" i="2"/>
  <c r="X36" i="2"/>
  <c r="Y36" i="2"/>
  <c r="Z36" i="2"/>
  <c r="X37" i="2"/>
  <c r="Y37" i="2"/>
  <c r="Z37" i="2"/>
  <c r="X38" i="2"/>
  <c r="Y38" i="2"/>
  <c r="Z38" i="2"/>
  <c r="X39" i="2"/>
  <c r="Y39" i="2"/>
  <c r="Z39" i="2"/>
  <c r="X40" i="2"/>
  <c r="Y40" i="2"/>
  <c r="Z40" i="2"/>
  <c r="X41" i="2"/>
  <c r="Y41" i="2"/>
  <c r="Z41" i="2"/>
  <c r="X42" i="2"/>
  <c r="Y42" i="2"/>
  <c r="Z42" i="2"/>
  <c r="X43" i="2"/>
  <c r="Y43" i="2"/>
  <c r="Z43" i="2"/>
  <c r="W44" i="2"/>
  <c r="X44" i="2"/>
  <c r="Y44" i="2"/>
  <c r="Z44" i="2"/>
  <c r="X45" i="2"/>
  <c r="Y45" i="2"/>
  <c r="Z45" i="2"/>
  <c r="X46" i="2"/>
  <c r="Y46" i="2"/>
  <c r="Z46" i="2"/>
  <c r="X47" i="2"/>
  <c r="Y47" i="2"/>
  <c r="Z47" i="2"/>
  <c r="X48" i="2"/>
  <c r="Y48" i="2"/>
  <c r="Z48" i="2"/>
  <c r="X49" i="2"/>
  <c r="Y49" i="2"/>
  <c r="Z49" i="2"/>
  <c r="X50" i="2"/>
  <c r="Y50" i="2"/>
  <c r="Z50" i="2"/>
  <c r="X51" i="2"/>
  <c r="Y51" i="2"/>
  <c r="Z51" i="2"/>
  <c r="X52" i="2"/>
  <c r="Y52" i="2"/>
  <c r="Z52" i="2"/>
  <c r="X53" i="2"/>
  <c r="Y53" i="2"/>
  <c r="Z53" i="2"/>
  <c r="X54" i="2"/>
  <c r="Y54" i="2"/>
  <c r="Z54" i="2"/>
  <c r="X55" i="2"/>
  <c r="Y55" i="2"/>
  <c r="Z55" i="2"/>
  <c r="W56" i="2"/>
  <c r="X56" i="2"/>
  <c r="Y56" i="2"/>
  <c r="Z56" i="2"/>
  <c r="X57" i="2"/>
  <c r="Y57" i="2"/>
  <c r="Z57" i="2"/>
  <c r="X58" i="2"/>
  <c r="Y58" i="2"/>
  <c r="Z58" i="2"/>
  <c r="X59" i="2"/>
  <c r="Y59" i="2"/>
  <c r="Z59" i="2"/>
  <c r="X60" i="2"/>
  <c r="Y60" i="2"/>
  <c r="Z60" i="2"/>
  <c r="X61" i="2"/>
  <c r="Y61" i="2"/>
  <c r="Z61" i="2"/>
  <c r="X62" i="2"/>
  <c r="Y62" i="2"/>
  <c r="Z62" i="2"/>
  <c r="X63" i="2"/>
  <c r="Y63" i="2"/>
  <c r="Z63" i="2"/>
  <c r="X64" i="2"/>
  <c r="Y64" i="2"/>
  <c r="Z64" i="2"/>
  <c r="X65" i="2"/>
  <c r="Y65" i="2"/>
  <c r="Z65" i="2"/>
  <c r="X66" i="2"/>
  <c r="Y66" i="2"/>
  <c r="Z66" i="2"/>
  <c r="X67" i="2"/>
  <c r="Y67" i="2"/>
  <c r="Z67" i="2"/>
  <c r="X68" i="2"/>
  <c r="Y68" i="2"/>
  <c r="Z68" i="2"/>
  <c r="X69" i="2"/>
  <c r="Y69" i="2"/>
  <c r="Z69" i="2"/>
  <c r="X70" i="2"/>
  <c r="Y70" i="2"/>
  <c r="Z70" i="2"/>
  <c r="X71" i="2"/>
  <c r="Y71" i="2"/>
  <c r="Z71" i="2"/>
  <c r="X72" i="2"/>
  <c r="Y72" i="2"/>
  <c r="Z72" i="2"/>
  <c r="X73" i="2"/>
  <c r="Y73" i="2"/>
  <c r="Z73" i="2"/>
  <c r="X74" i="2"/>
  <c r="Y74" i="2"/>
  <c r="Z74" i="2"/>
  <c r="X75" i="2"/>
  <c r="Y75" i="2"/>
  <c r="Z75" i="2"/>
  <c r="W76" i="2"/>
  <c r="X76" i="2"/>
  <c r="Y76" i="2"/>
  <c r="Z76" i="2"/>
  <c r="X77" i="2"/>
  <c r="Y77" i="2"/>
  <c r="Z77" i="2"/>
  <c r="X78" i="2"/>
  <c r="Y78" i="2"/>
  <c r="Z78" i="2"/>
  <c r="X79" i="2"/>
  <c r="Y79" i="2"/>
  <c r="Z79" i="2"/>
  <c r="X80" i="2"/>
  <c r="Y80" i="2"/>
  <c r="Z80" i="2"/>
  <c r="X81" i="2"/>
  <c r="Y81" i="2"/>
  <c r="Z81" i="2"/>
  <c r="X82" i="2"/>
  <c r="Y82" i="2"/>
  <c r="Z82" i="2"/>
  <c r="X83" i="2"/>
  <c r="Y83" i="2"/>
  <c r="Z83" i="2"/>
  <c r="X84" i="2"/>
  <c r="Y84" i="2"/>
  <c r="Z84" i="2"/>
  <c r="X85" i="2"/>
  <c r="Y85" i="2"/>
  <c r="Z85" i="2"/>
  <c r="X86" i="2"/>
  <c r="Y86" i="2"/>
  <c r="Z86" i="2"/>
  <c r="X87" i="2"/>
  <c r="Y87" i="2"/>
  <c r="Z87" i="2"/>
  <c r="X88" i="2"/>
  <c r="Y88" i="2"/>
  <c r="Z88" i="2"/>
  <c r="X89" i="2"/>
  <c r="Y89" i="2"/>
  <c r="Z89" i="2"/>
  <c r="X90" i="2"/>
  <c r="Y90" i="2"/>
  <c r="Z90" i="2"/>
  <c r="X91" i="2"/>
  <c r="Y91" i="2"/>
  <c r="Z91" i="2"/>
  <c r="X92" i="2"/>
  <c r="Y92" i="2"/>
  <c r="Z92" i="2"/>
  <c r="X93" i="2"/>
  <c r="Y93" i="2"/>
  <c r="Z93" i="2"/>
  <c r="X94" i="2"/>
  <c r="Y94" i="2"/>
  <c r="Z94" i="2"/>
  <c r="X95" i="2"/>
  <c r="Y95" i="2"/>
  <c r="Z95" i="2"/>
  <c r="X96" i="2"/>
  <c r="Y96" i="2"/>
  <c r="Z96" i="2"/>
  <c r="X97" i="2"/>
  <c r="Y97" i="2"/>
  <c r="Z97" i="2"/>
  <c r="X98" i="2"/>
  <c r="Y98" i="2"/>
  <c r="Z98" i="2"/>
  <c r="X99" i="2"/>
  <c r="Y99" i="2"/>
  <c r="Z99" i="2"/>
  <c r="X100" i="2"/>
  <c r="Y100" i="2"/>
  <c r="Z100" i="2"/>
  <c r="X101" i="2"/>
  <c r="Y101" i="2"/>
  <c r="Z101" i="2"/>
  <c r="X102" i="2"/>
  <c r="Y102" i="2"/>
  <c r="Z102" i="2"/>
  <c r="X103" i="2"/>
  <c r="Y103" i="2"/>
  <c r="Z103" i="2"/>
  <c r="X104" i="2"/>
  <c r="Y104" i="2"/>
  <c r="Z104" i="2"/>
  <c r="X105" i="2"/>
  <c r="Y105" i="2"/>
  <c r="Z105" i="2"/>
  <c r="W106" i="2"/>
  <c r="X106" i="2"/>
  <c r="Y106" i="2"/>
  <c r="Z106" i="2"/>
  <c r="X107" i="2"/>
  <c r="Y107" i="2"/>
  <c r="Z107" i="2"/>
  <c r="X108" i="2"/>
  <c r="Y108" i="2"/>
  <c r="Z108" i="2"/>
  <c r="X109" i="2"/>
  <c r="Y109" i="2"/>
  <c r="Z109" i="2"/>
  <c r="W110" i="2"/>
  <c r="X110" i="2"/>
  <c r="Y110" i="2"/>
  <c r="Z110" i="2"/>
  <c r="W111" i="2"/>
  <c r="X111" i="2"/>
  <c r="Y111" i="2"/>
  <c r="Z111" i="2"/>
  <c r="W127" i="2"/>
  <c r="X127" i="2"/>
  <c r="Y127" i="2"/>
  <c r="Z127" i="2"/>
  <c r="X147" i="2"/>
  <c r="Z147" i="2"/>
  <c r="X148" i="2"/>
  <c r="Z148" i="2"/>
  <c r="X149" i="2"/>
  <c r="Z149" i="2"/>
  <c r="X150" i="2"/>
  <c r="Z150" i="2"/>
  <c r="X151" i="2"/>
  <c r="Z151" i="2"/>
  <c r="X152" i="2"/>
  <c r="Z152" i="2"/>
  <c r="X153" i="2"/>
  <c r="Z153" i="2"/>
  <c r="W154" i="2"/>
  <c r="X154" i="2"/>
  <c r="Y154" i="2"/>
  <c r="Z154" i="2"/>
  <c r="W158" i="2"/>
  <c r="X158" i="2"/>
  <c r="Y158" i="2"/>
  <c r="Z158" i="2"/>
  <c r="W159" i="2"/>
  <c r="X159" i="2"/>
  <c r="Y159" i="2"/>
  <c r="Z159" i="2"/>
  <c r="W160" i="2"/>
  <c r="X160" i="2"/>
  <c r="Y160" i="2"/>
  <c r="Z160" i="2"/>
  <c r="W169" i="2"/>
  <c r="X169" i="2"/>
  <c r="Y169" i="2"/>
  <c r="Z169" i="2"/>
  <c r="X191" i="2"/>
  <c r="Y191" i="2"/>
  <c r="Z191" i="2"/>
  <c r="X192" i="2"/>
  <c r="Y192" i="2"/>
  <c r="Z192" i="2"/>
  <c r="X193" i="2"/>
  <c r="Y193" i="2"/>
  <c r="Z193" i="2"/>
  <c r="X194" i="2"/>
  <c r="Y194" i="2"/>
  <c r="Z194" i="2"/>
  <c r="X195" i="2"/>
  <c r="Y195" i="2"/>
  <c r="Z195" i="2"/>
  <c r="X196" i="2"/>
  <c r="Y196" i="2"/>
  <c r="Z196" i="2"/>
  <c r="X197" i="2"/>
  <c r="Y197" i="2"/>
  <c r="Z197" i="2"/>
  <c r="X198" i="2"/>
  <c r="Y198" i="2"/>
  <c r="Z198" i="2"/>
  <c r="X199" i="2"/>
  <c r="Y199" i="2"/>
  <c r="Z199" i="2"/>
  <c r="X200" i="2"/>
  <c r="Y200" i="2"/>
  <c r="Z200" i="2"/>
  <c r="X201" i="2"/>
  <c r="Y201" i="2"/>
  <c r="Z201" i="2"/>
  <c r="X202" i="2"/>
  <c r="Y202" i="2"/>
  <c r="Z202" i="2"/>
  <c r="X203" i="2"/>
  <c r="Y203" i="2"/>
  <c r="Z203" i="2"/>
  <c r="X204" i="2"/>
  <c r="Y204" i="2"/>
  <c r="Z204" i="2"/>
  <c r="X205" i="2"/>
  <c r="Y205" i="2"/>
  <c r="Z205" i="2"/>
  <c r="X206" i="2"/>
  <c r="Y206" i="2"/>
  <c r="Z206" i="2"/>
  <c r="X207" i="2"/>
  <c r="Y207" i="2"/>
  <c r="Z207" i="2"/>
  <c r="X208" i="2"/>
  <c r="Y208" i="2"/>
  <c r="Z208" i="2"/>
  <c r="X209" i="2"/>
  <c r="Y209" i="2"/>
  <c r="Z209" i="2"/>
  <c r="X210" i="2"/>
  <c r="Y210" i="2"/>
  <c r="Z210" i="2"/>
  <c r="X211" i="2"/>
  <c r="Y211" i="2"/>
  <c r="Z211" i="2"/>
  <c r="X212" i="2"/>
  <c r="Y212" i="2"/>
  <c r="Z212" i="2"/>
  <c r="X213" i="2"/>
  <c r="Y213" i="2"/>
  <c r="Z213" i="2"/>
  <c r="X214" i="2"/>
  <c r="Y214" i="2"/>
  <c r="Z214" i="2"/>
  <c r="X215" i="2"/>
  <c r="Y215" i="2"/>
  <c r="Z215" i="2"/>
  <c r="X216" i="2"/>
  <c r="Y216" i="2"/>
  <c r="Z216" i="2"/>
  <c r="X217" i="2"/>
  <c r="Y217" i="2"/>
  <c r="Z217" i="2"/>
  <c r="X218" i="2"/>
  <c r="Y218" i="2"/>
  <c r="Z218" i="2"/>
  <c r="X219" i="2"/>
  <c r="Y219" i="2"/>
  <c r="Z219" i="2"/>
  <c r="X220" i="2"/>
  <c r="Y220" i="2"/>
  <c r="Z220" i="2"/>
  <c r="X221" i="2"/>
  <c r="Y221" i="2"/>
  <c r="Z221" i="2"/>
  <c r="X222" i="2"/>
  <c r="Y222" i="2"/>
  <c r="Z222" i="2"/>
  <c r="X223" i="2"/>
  <c r="Y223" i="2"/>
  <c r="Z223" i="2"/>
  <c r="X224" i="2"/>
  <c r="Y224" i="2"/>
  <c r="Z224" i="2"/>
  <c r="W225" i="2"/>
  <c r="X225" i="2"/>
  <c r="Y225" i="2"/>
  <c r="Z225" i="2"/>
  <c r="W226" i="2"/>
  <c r="X226" i="2"/>
  <c r="Y226" i="2"/>
  <c r="Z226" i="2"/>
  <c r="X250" i="2"/>
  <c r="Y250" i="2"/>
  <c r="Z250" i="2"/>
  <c r="X251" i="2"/>
  <c r="Y251" i="2"/>
  <c r="Z251" i="2"/>
  <c r="X252" i="2"/>
  <c r="Y252" i="2"/>
  <c r="Z252" i="2"/>
  <c r="X253" i="2"/>
  <c r="Y253" i="2"/>
  <c r="Z253" i="2"/>
  <c r="X254" i="2"/>
  <c r="Y254" i="2"/>
  <c r="Z254" i="2"/>
  <c r="X255" i="2"/>
  <c r="Y255" i="2"/>
  <c r="Z255" i="2"/>
  <c r="X256" i="2"/>
  <c r="Y256" i="2"/>
  <c r="Z256" i="2"/>
  <c r="X257" i="2"/>
  <c r="Y257" i="2"/>
  <c r="Z257" i="2"/>
  <c r="AE257" i="2"/>
  <c r="X258" i="2"/>
  <c r="Y258" i="2"/>
  <c r="Z258" i="2"/>
  <c r="X259" i="2"/>
  <c r="Y259" i="2"/>
  <c r="Z259" i="2"/>
  <c r="X260" i="2"/>
  <c r="Y260" i="2"/>
  <c r="Z260" i="2"/>
  <c r="X261" i="2"/>
  <c r="Y261" i="2"/>
  <c r="Z261" i="2"/>
  <c r="X262" i="2"/>
  <c r="Y262" i="2"/>
  <c r="Z262" i="2"/>
  <c r="X263" i="2"/>
  <c r="Y263" i="2"/>
  <c r="Z263" i="2"/>
  <c r="X264" i="2"/>
  <c r="Y264" i="2"/>
  <c r="Z264" i="2"/>
  <c r="X265" i="2"/>
  <c r="Y265" i="2"/>
  <c r="Z265" i="2"/>
  <c r="X266" i="2"/>
  <c r="Y266" i="2"/>
  <c r="Z266" i="2"/>
  <c r="X267" i="2"/>
  <c r="Y267" i="2"/>
  <c r="Z267" i="2"/>
  <c r="X268" i="2"/>
  <c r="Y268" i="2"/>
  <c r="Z268" i="2"/>
  <c r="W269" i="2"/>
  <c r="X269" i="2"/>
  <c r="Y269" i="2"/>
  <c r="Z269" i="2"/>
  <c r="B4" i="41" l="1"/>
  <c r="B3" i="41"/>
  <c r="B1" i="41" l="1"/>
  <c r="B2" i="41"/>
  <c r="K52" i="38" l="1"/>
  <c r="K60" i="38" l="1"/>
  <c r="K59" i="38"/>
  <c r="K58" i="38"/>
  <c r="K57" i="38"/>
  <c r="K56" i="38"/>
  <c r="K55" i="38"/>
  <c r="K54" i="38"/>
  <c r="K53" i="38"/>
  <c r="K51" i="38"/>
  <c r="K50" i="38"/>
  <c r="E14" i="40"/>
  <c r="E15" i="40"/>
  <c r="E16" i="40"/>
  <c r="E17" i="40"/>
  <c r="E18" i="40"/>
  <c r="E19" i="40"/>
  <c r="E20" i="40"/>
  <c r="E21" i="40"/>
  <c r="E22" i="40"/>
  <c r="E23" i="40"/>
  <c r="E24" i="40"/>
  <c r="E25" i="40"/>
  <c r="E26" i="40"/>
  <c r="E27" i="40"/>
  <c r="E28" i="40"/>
  <c r="E13" i="40"/>
  <c r="B5" i="40"/>
  <c r="B6" i="40"/>
  <c r="B7" i="40"/>
  <c r="B8" i="40"/>
  <c r="B3" i="40"/>
  <c r="A4" i="40"/>
  <c r="A5" i="40"/>
  <c r="A6" i="40"/>
  <c r="A7" i="40"/>
  <c r="A8" i="40"/>
  <c r="A3" i="40"/>
  <c r="P30" i="40" l="1"/>
  <c r="L28" i="40"/>
  <c r="K28" i="40"/>
  <c r="J28" i="40"/>
  <c r="I28" i="40"/>
  <c r="F28" i="40"/>
  <c r="L27" i="40"/>
  <c r="K27" i="40"/>
  <c r="J27" i="40"/>
  <c r="I27" i="40"/>
  <c r="F27" i="40"/>
  <c r="L26" i="40"/>
  <c r="K26" i="40"/>
  <c r="J26" i="40"/>
  <c r="I26" i="40"/>
  <c r="F26" i="40"/>
  <c r="L25" i="40"/>
  <c r="K25" i="40"/>
  <c r="J25" i="40"/>
  <c r="I25" i="40"/>
  <c r="F25" i="40"/>
  <c r="L24" i="40"/>
  <c r="K24" i="40"/>
  <c r="J24" i="40"/>
  <c r="I24" i="40"/>
  <c r="F24" i="40"/>
  <c r="L23" i="40"/>
  <c r="K23" i="40"/>
  <c r="J23" i="40"/>
  <c r="I23" i="40"/>
  <c r="F23" i="40"/>
  <c r="L22" i="40"/>
  <c r="K22" i="40"/>
  <c r="J22" i="40"/>
  <c r="I22" i="40"/>
  <c r="F22" i="40"/>
  <c r="L21" i="40"/>
  <c r="K21" i="40"/>
  <c r="J21" i="40"/>
  <c r="I21" i="40"/>
  <c r="F21" i="40"/>
  <c r="L20" i="40"/>
  <c r="K20" i="40"/>
  <c r="J20" i="40"/>
  <c r="I20" i="40"/>
  <c r="F20" i="40"/>
  <c r="L19" i="40"/>
  <c r="K19" i="40"/>
  <c r="J19" i="40"/>
  <c r="I19" i="40"/>
  <c r="F19" i="40"/>
  <c r="L18" i="40"/>
  <c r="K18" i="40"/>
  <c r="J18" i="40"/>
  <c r="I18" i="40"/>
  <c r="F18" i="40"/>
  <c r="L17" i="40"/>
  <c r="K17" i="40"/>
  <c r="J17" i="40"/>
  <c r="I17" i="40"/>
  <c r="F17" i="40"/>
  <c r="L16" i="40"/>
  <c r="K16" i="40"/>
  <c r="J16" i="40"/>
  <c r="F16" i="40"/>
  <c r="I16" i="40" s="1"/>
  <c r="L15" i="40"/>
  <c r="K15" i="40"/>
  <c r="J15" i="40"/>
  <c r="F15" i="40"/>
  <c r="I15" i="40" s="1"/>
  <c r="L14" i="40"/>
  <c r="K14" i="40"/>
  <c r="J14" i="40"/>
  <c r="F14" i="40"/>
  <c r="I14" i="40" s="1"/>
  <c r="L13" i="40"/>
  <c r="K13" i="40"/>
  <c r="J13" i="40"/>
  <c r="F13" i="40"/>
  <c r="I13" i="40" s="1"/>
  <c r="B4" i="40"/>
  <c r="N27" i="40" l="1"/>
  <c r="Q27" i="40" s="1"/>
  <c r="N14" i="40"/>
  <c r="Q14" i="40" s="1"/>
  <c r="N19" i="40"/>
  <c r="Q19" i="40" s="1"/>
  <c r="N28" i="40"/>
  <c r="Q28" i="40" s="1"/>
  <c r="N17" i="40"/>
  <c r="Q17" i="40" s="1"/>
  <c r="N25" i="40"/>
  <c r="Q25" i="40" s="1"/>
  <c r="N15" i="40"/>
  <c r="Q15" i="40" s="1"/>
  <c r="N16" i="40"/>
  <c r="Q16" i="40" s="1"/>
  <c r="N22" i="40"/>
  <c r="Q22" i="40" s="1"/>
  <c r="N18" i="40"/>
  <c r="Q18" i="40" s="1"/>
  <c r="N20" i="40"/>
  <c r="Q20" i="40" s="1"/>
  <c r="N26" i="40"/>
  <c r="Q26" i="40" s="1"/>
  <c r="N24" i="40"/>
  <c r="Q24" i="40" s="1"/>
  <c r="N23" i="40"/>
  <c r="Q23" i="40" s="1"/>
  <c r="N21" i="40"/>
  <c r="Q21" i="40" s="1"/>
  <c r="N13" i="40"/>
  <c r="Q13" i="40" s="1"/>
  <c r="Q30" i="40" l="1"/>
  <c r="H19" i="31" s="1"/>
  <c r="B3" i="35"/>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P32" i="37" s="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AE12" i="2"/>
  <c r="AE13" i="2"/>
  <c r="AE14" i="2"/>
  <c r="AE15" i="2"/>
  <c r="AE16" i="2"/>
  <c r="AE17" i="2"/>
  <c r="AE18" i="2"/>
  <c r="AE19" i="2"/>
  <c r="AE20" i="2"/>
  <c r="AE21" i="2"/>
  <c r="AE22" i="2"/>
  <c r="AE23" i="2"/>
  <c r="AE24" i="2"/>
  <c r="AE26" i="2"/>
  <c r="AE29" i="2"/>
  <c r="AE30" i="2"/>
  <c r="J10" i="2"/>
  <c r="AE10" i="2" s="1"/>
  <c r="B6" i="28"/>
  <c r="B5" i="28"/>
  <c r="B3" i="28"/>
  <c r="A4" i="28"/>
  <c r="A5" i="28"/>
  <c r="A6" i="28"/>
  <c r="A3" i="28"/>
  <c r="B7" i="2"/>
  <c r="B6" i="2"/>
  <c r="B5" i="2"/>
  <c r="B4" i="2"/>
  <c r="B3" i="2"/>
  <c r="C7" i="2"/>
  <c r="C6" i="2"/>
  <c r="C5" i="2"/>
  <c r="C3" i="2"/>
  <c r="K55" i="18"/>
  <c r="K56" i="18"/>
  <c r="K57" i="18"/>
  <c r="K58" i="18"/>
  <c r="K59" i="18"/>
  <c r="K60" i="18"/>
  <c r="K61" i="18"/>
  <c r="K54" i="18"/>
  <c r="K52" i="18"/>
  <c r="K51" i="18"/>
  <c r="W27" i="2" l="1"/>
  <c r="Q27" i="2" s="1"/>
  <c r="AA25" i="2"/>
  <c r="W11" i="2"/>
  <c r="Q11" i="2" s="1"/>
  <c r="AA270" i="2"/>
  <c r="W28" i="2"/>
  <c r="Q28" i="2" s="1"/>
  <c r="W25" i="2"/>
  <c r="Q25" i="2" s="1"/>
  <c r="AA11" i="2"/>
  <c r="AA28" i="2"/>
  <c r="AA27" i="2"/>
  <c r="W270" i="2"/>
  <c r="Q270" i="2" s="1"/>
  <c r="B18" i="37"/>
  <c r="D18" i="37"/>
  <c r="E18" i="37"/>
  <c r="F18" i="37"/>
  <c r="G18" i="37"/>
  <c r="H18" i="37"/>
  <c r="I18" i="37"/>
  <c r="N18" i="37"/>
  <c r="O18" i="37"/>
  <c r="M18" i="37"/>
  <c r="L18" i="37"/>
  <c r="K18" i="37"/>
  <c r="AB241" i="2"/>
  <c r="AA227" i="2"/>
  <c r="AA235" i="2"/>
  <c r="AA243" i="2"/>
  <c r="W228" i="2"/>
  <c r="Q228" i="2" s="1"/>
  <c r="W244" i="2"/>
  <c r="Q244" i="2" s="1"/>
  <c r="AA228" i="2"/>
  <c r="AA236" i="2"/>
  <c r="AA244" i="2"/>
  <c r="W229" i="2"/>
  <c r="Q229" i="2" s="1"/>
  <c r="W237" i="2"/>
  <c r="Q237" i="2" s="1"/>
  <c r="AA234" i="2"/>
  <c r="AB242" i="2"/>
  <c r="AA145" i="2"/>
  <c r="AB243" i="2"/>
  <c r="AA229" i="2"/>
  <c r="AA237" i="2"/>
  <c r="AA245" i="2"/>
  <c r="W230" i="2"/>
  <c r="Q230" i="2" s="1"/>
  <c r="W238" i="2"/>
  <c r="Q238" i="2" s="1"/>
  <c r="AB245" i="2"/>
  <c r="AA230" i="2"/>
  <c r="AA238" i="2"/>
  <c r="AA246" i="2"/>
  <c r="W231" i="2"/>
  <c r="Q231" i="2" s="1"/>
  <c r="W239" i="2"/>
  <c r="Q239" i="2" s="1"/>
  <c r="W145" i="2"/>
  <c r="Q145" i="2" s="1"/>
  <c r="AB246" i="2"/>
  <c r="AA231" i="2"/>
  <c r="AA239" i="2"/>
  <c r="AA247" i="2"/>
  <c r="W232" i="2"/>
  <c r="Q232" i="2" s="1"/>
  <c r="W240" i="2"/>
  <c r="Q240" i="2" s="1"/>
  <c r="AA232" i="2"/>
  <c r="AA240" i="2"/>
  <c r="AA248" i="2"/>
  <c r="W233" i="2"/>
  <c r="Q233" i="2" s="1"/>
  <c r="AB235" i="2"/>
  <c r="AB248" i="2"/>
  <c r="AA233" i="2"/>
  <c r="AA241" i="2"/>
  <c r="AA249" i="2"/>
  <c r="W234" i="2"/>
  <c r="Q234" i="2" s="1"/>
  <c r="AB249" i="2"/>
  <c r="AA242" i="2"/>
  <c r="W227" i="2"/>
  <c r="Q227" i="2" s="1"/>
  <c r="AB247" i="2"/>
  <c r="AB236" i="2"/>
  <c r="W19" i="2"/>
  <c r="Q19" i="2" s="1"/>
  <c r="W35" i="2"/>
  <c r="Q35" i="2" s="1"/>
  <c r="W113" i="2"/>
  <c r="Q113" i="2" s="1"/>
  <c r="W126" i="2"/>
  <c r="Q126" i="2" s="1"/>
  <c r="W129" i="2"/>
  <c r="Q129" i="2" s="1"/>
  <c r="W140" i="2"/>
  <c r="Q140" i="2" s="1"/>
  <c r="W152" i="2"/>
  <c r="Q152" i="2" s="1"/>
  <c r="W157" i="2"/>
  <c r="Q157" i="2" s="1"/>
  <c r="W162" i="2"/>
  <c r="Q162" i="2" s="1"/>
  <c r="W168" i="2"/>
  <c r="Q168" i="2" s="1"/>
  <c r="W182" i="2"/>
  <c r="Q182" i="2" s="1"/>
  <c r="W187" i="2"/>
  <c r="Q187" i="2" s="1"/>
  <c r="W67" i="2"/>
  <c r="Q67" i="2" s="1"/>
  <c r="W71" i="2"/>
  <c r="Q71" i="2" s="1"/>
  <c r="W130" i="2"/>
  <c r="Q130" i="2" s="1"/>
  <c r="W150" i="2"/>
  <c r="Q150" i="2" s="1"/>
  <c r="W163" i="2"/>
  <c r="Q163" i="2" s="1"/>
  <c r="W184" i="2"/>
  <c r="Q184" i="2" s="1"/>
  <c r="W50" i="2"/>
  <c r="Q50" i="2" s="1"/>
  <c r="W62" i="2"/>
  <c r="Q62" i="2" s="1"/>
  <c r="W121" i="2"/>
  <c r="Q121" i="2" s="1"/>
  <c r="W131" i="2"/>
  <c r="Q131" i="2" s="1"/>
  <c r="W164" i="2"/>
  <c r="Q164" i="2" s="1"/>
  <c r="W189" i="2"/>
  <c r="Q189" i="2" s="1"/>
  <c r="W181" i="2"/>
  <c r="Q181" i="2" s="1"/>
  <c r="W23" i="2"/>
  <c r="Q23" i="2" s="1"/>
  <c r="W42" i="2"/>
  <c r="Q42" i="2" s="1"/>
  <c r="W46" i="2"/>
  <c r="Q46" i="2" s="1"/>
  <c r="W65" i="2"/>
  <c r="Q65" i="2" s="1"/>
  <c r="W120" i="2"/>
  <c r="Q120" i="2" s="1"/>
  <c r="W136" i="2"/>
  <c r="Q136" i="2" s="1"/>
  <c r="W141" i="2"/>
  <c r="Q141" i="2" s="1"/>
  <c r="W147" i="2"/>
  <c r="Q147" i="2" s="1"/>
  <c r="W171" i="2"/>
  <c r="Q171" i="2" s="1"/>
  <c r="W177" i="2"/>
  <c r="Q177" i="2" s="1"/>
  <c r="W183" i="2"/>
  <c r="Q183" i="2" s="1"/>
  <c r="W188" i="2"/>
  <c r="Q188" i="2" s="1"/>
  <c r="W24" i="2"/>
  <c r="Q24" i="2" s="1"/>
  <c r="W48" i="2"/>
  <c r="Q48" i="2" s="1"/>
  <c r="W69" i="2"/>
  <c r="Q69" i="2" s="1"/>
  <c r="W114" i="2"/>
  <c r="Q114" i="2" s="1"/>
  <c r="W142" i="2"/>
  <c r="Q142" i="2" s="1"/>
  <c r="W172" i="2"/>
  <c r="Q172" i="2" s="1"/>
  <c r="W26" i="2"/>
  <c r="Q26" i="2" s="1"/>
  <c r="W52" i="2"/>
  <c r="Q52" i="2" s="1"/>
  <c r="W60" i="2"/>
  <c r="Q60" i="2" s="1"/>
  <c r="W115" i="2"/>
  <c r="Q115" i="2" s="1"/>
  <c r="W137" i="2"/>
  <c r="Q137" i="2" s="1"/>
  <c r="W143" i="2"/>
  <c r="Q143" i="2" s="1"/>
  <c r="W178" i="2"/>
  <c r="Q178" i="2" s="1"/>
  <c r="W170" i="2"/>
  <c r="Q170" i="2" s="1"/>
  <c r="W36" i="2"/>
  <c r="Q36" i="2" s="1"/>
  <c r="W64" i="2"/>
  <c r="Q64" i="2" s="1"/>
  <c r="W116" i="2"/>
  <c r="Q116" i="2" s="1"/>
  <c r="W122" i="2"/>
  <c r="Q122" i="2" s="1"/>
  <c r="W132" i="2"/>
  <c r="Q132" i="2" s="1"/>
  <c r="W148" i="2"/>
  <c r="Q148" i="2" s="1"/>
  <c r="W153" i="2"/>
  <c r="Q153" i="2" s="1"/>
  <c r="W173" i="2"/>
  <c r="Q173" i="2" s="1"/>
  <c r="W185" i="2"/>
  <c r="Q185" i="2" s="1"/>
  <c r="W190" i="2"/>
  <c r="Q190" i="2" s="1"/>
  <c r="W49" i="2"/>
  <c r="Q49" i="2" s="1"/>
  <c r="W66" i="2"/>
  <c r="Q66" i="2" s="1"/>
  <c r="W70" i="2"/>
  <c r="Q70" i="2" s="1"/>
  <c r="W112" i="2"/>
  <c r="Q112" i="2" s="1"/>
  <c r="W124" i="2"/>
  <c r="Q124" i="2" s="1"/>
  <c r="W134" i="2"/>
  <c r="Q134" i="2" s="1"/>
  <c r="W156" i="2"/>
  <c r="Q156" i="2" s="1"/>
  <c r="W166" i="2"/>
  <c r="Q166" i="2" s="1"/>
  <c r="W180" i="2"/>
  <c r="Q180" i="2" s="1"/>
  <c r="W53" i="2"/>
  <c r="Q53" i="2" s="1"/>
  <c r="W57" i="2"/>
  <c r="Q57" i="2" s="1"/>
  <c r="W61" i="2"/>
  <c r="Q61" i="2" s="1"/>
  <c r="W119" i="2"/>
  <c r="Q119" i="2" s="1"/>
  <c r="W135" i="2"/>
  <c r="Q135" i="2" s="1"/>
  <c r="W176" i="2"/>
  <c r="Q176" i="2" s="1"/>
  <c r="W41" i="2"/>
  <c r="Q41" i="2" s="1"/>
  <c r="W43" i="2"/>
  <c r="Q43" i="2" s="1"/>
  <c r="W45" i="2"/>
  <c r="Q45" i="2" s="1"/>
  <c r="W47" i="2"/>
  <c r="Q47" i="2" s="1"/>
  <c r="W117" i="2"/>
  <c r="Q117" i="2" s="1"/>
  <c r="W123" i="2"/>
  <c r="Q123" i="2" s="1"/>
  <c r="W133" i="2"/>
  <c r="Q133" i="2" s="1"/>
  <c r="W138" i="2"/>
  <c r="Q138" i="2" s="1"/>
  <c r="W144" i="2"/>
  <c r="Q144" i="2" s="1"/>
  <c r="W151" i="2"/>
  <c r="Q151" i="2" s="1"/>
  <c r="W155" i="2"/>
  <c r="Q155" i="2" s="1"/>
  <c r="W165" i="2"/>
  <c r="Q165" i="2" s="1"/>
  <c r="W174" i="2"/>
  <c r="Q174" i="2" s="1"/>
  <c r="W179" i="2"/>
  <c r="Q179" i="2" s="1"/>
  <c r="W55" i="2"/>
  <c r="Q55" i="2" s="1"/>
  <c r="W68" i="2"/>
  <c r="Q68" i="2" s="1"/>
  <c r="W118" i="2"/>
  <c r="Q118" i="2" s="1"/>
  <c r="W128" i="2"/>
  <c r="Q128" i="2" s="1"/>
  <c r="W139" i="2"/>
  <c r="Q139" i="2" s="1"/>
  <c r="W161" i="2"/>
  <c r="Q161" i="2" s="1"/>
  <c r="W175" i="2"/>
  <c r="Q175" i="2" s="1"/>
  <c r="W186" i="2"/>
  <c r="Q186" i="2" s="1"/>
  <c r="W18" i="2"/>
  <c r="Q18" i="2" s="1"/>
  <c r="W51" i="2"/>
  <c r="Q51" i="2" s="1"/>
  <c r="W59" i="2"/>
  <c r="Q59" i="2" s="1"/>
  <c r="W63" i="2"/>
  <c r="Q63" i="2" s="1"/>
  <c r="W125" i="2"/>
  <c r="Q125" i="2" s="1"/>
  <c r="W146" i="2"/>
  <c r="Q146" i="2" s="1"/>
  <c r="W167" i="2"/>
  <c r="Q167" i="2" s="1"/>
  <c r="W10" i="2"/>
  <c r="Q10" i="2" s="1"/>
  <c r="W15" i="2"/>
  <c r="Q15" i="2" s="1"/>
  <c r="W39" i="2"/>
  <c r="Q39" i="2" s="1"/>
  <c r="W58" i="2"/>
  <c r="Q58" i="2" s="1"/>
  <c r="W73" i="2"/>
  <c r="Q73" i="2" s="1"/>
  <c r="W79" i="2"/>
  <c r="Q79" i="2" s="1"/>
  <c r="W86" i="2"/>
  <c r="Q86" i="2" s="1"/>
  <c r="W99" i="2"/>
  <c r="Q99" i="2" s="1"/>
  <c r="W105" i="2"/>
  <c r="Q105" i="2" s="1"/>
  <c r="W193" i="2"/>
  <c r="Q193" i="2" s="1"/>
  <c r="W200" i="2"/>
  <c r="Q200" i="2" s="1"/>
  <c r="W214" i="2"/>
  <c r="Q214" i="2" s="1"/>
  <c r="W267" i="2"/>
  <c r="Q267" i="2" s="1"/>
  <c r="W260" i="2"/>
  <c r="Q260" i="2" s="1"/>
  <c r="W266" i="2"/>
  <c r="Q266" i="2" s="1"/>
  <c r="W34" i="2"/>
  <c r="Q34" i="2" s="1"/>
  <c r="W38" i="2"/>
  <c r="Q38" i="2" s="1"/>
  <c r="W29" i="2"/>
  <c r="Q29" i="2" s="1"/>
  <c r="W72" i="2"/>
  <c r="Q72" i="2" s="1"/>
  <c r="AA76" i="2"/>
  <c r="W85" i="2"/>
  <c r="Q85" i="2" s="1"/>
  <c r="W92" i="2"/>
  <c r="Q92" i="2" s="1"/>
  <c r="W98" i="2"/>
  <c r="Q98" i="2" s="1"/>
  <c r="W104" i="2"/>
  <c r="Q104" i="2" s="1"/>
  <c r="AA169" i="2"/>
  <c r="W192" i="2"/>
  <c r="Q192" i="2" s="1"/>
  <c r="W207" i="2"/>
  <c r="Q207" i="2" s="1"/>
  <c r="W220" i="2"/>
  <c r="Q220" i="2" s="1"/>
  <c r="W254" i="2"/>
  <c r="Q254" i="2" s="1"/>
  <c r="W21" i="2"/>
  <c r="Q21" i="2" s="1"/>
  <c r="W13" i="2"/>
  <c r="Q13" i="2" s="1"/>
  <c r="W16" i="2"/>
  <c r="Q16" i="2" s="1"/>
  <c r="AA44" i="2"/>
  <c r="W77" i="2"/>
  <c r="Q77" i="2" s="1"/>
  <c r="W84" i="2"/>
  <c r="Q84" i="2" s="1"/>
  <c r="W90" i="2"/>
  <c r="Q90" i="2" s="1"/>
  <c r="W96" i="2"/>
  <c r="Q96" i="2" s="1"/>
  <c r="W30" i="2"/>
  <c r="Q30" i="2" s="1"/>
  <c r="W33" i="2"/>
  <c r="Q33" i="2" s="1"/>
  <c r="W37" i="2"/>
  <c r="Q37" i="2" s="1"/>
  <c r="W83" i="2"/>
  <c r="Q83" i="2" s="1"/>
  <c r="W89" i="2"/>
  <c r="Q89" i="2" s="1"/>
  <c r="W95" i="2"/>
  <c r="Q95" i="2" s="1"/>
  <c r="W102" i="2"/>
  <c r="Q102" i="2" s="1"/>
  <c r="W108" i="2"/>
  <c r="Q108" i="2" s="1"/>
  <c r="AA160" i="2"/>
  <c r="W197" i="2"/>
  <c r="Q197" i="2" s="1"/>
  <c r="W204" i="2"/>
  <c r="Q204" i="2" s="1"/>
  <c r="W211" i="2"/>
  <c r="Q211" i="2" s="1"/>
  <c r="W217" i="2"/>
  <c r="Q217" i="2" s="1"/>
  <c r="W223" i="2"/>
  <c r="Q223" i="2" s="1"/>
  <c r="AA226" i="2"/>
  <c r="W252" i="2"/>
  <c r="Q252" i="2" s="1"/>
  <c r="W258" i="2"/>
  <c r="Q258" i="2" s="1"/>
  <c r="W263" i="2"/>
  <c r="Q263" i="2" s="1"/>
  <c r="W222" i="2"/>
  <c r="Q222" i="2" s="1"/>
  <c r="AA225" i="2"/>
  <c r="W17" i="2"/>
  <c r="Q17" i="2" s="1"/>
  <c r="W14" i="2"/>
  <c r="Q14" i="2" s="1"/>
  <c r="W22" i="2"/>
  <c r="Q22" i="2" s="1"/>
  <c r="W32" i="2"/>
  <c r="Q32" i="2" s="1"/>
  <c r="W82" i="2"/>
  <c r="Q82" i="2" s="1"/>
  <c r="W88" i="2"/>
  <c r="Q88" i="2" s="1"/>
  <c r="W101" i="2"/>
  <c r="Q101" i="2" s="1"/>
  <c r="AA110" i="2"/>
  <c r="AA154" i="2"/>
  <c r="W196" i="2"/>
  <c r="Q196" i="2" s="1"/>
  <c r="W203" i="2"/>
  <c r="Q203" i="2" s="1"/>
  <c r="W210" i="2"/>
  <c r="Q210" i="2" s="1"/>
  <c r="W216" i="2"/>
  <c r="Q216" i="2" s="1"/>
  <c r="W257" i="2"/>
  <c r="Q257" i="2" s="1"/>
  <c r="W54" i="2"/>
  <c r="Q54" i="2" s="1"/>
  <c r="W91" i="2"/>
  <c r="Q91" i="2" s="1"/>
  <c r="W94" i="2"/>
  <c r="Q94" i="2" s="1"/>
  <c r="AA158" i="2"/>
  <c r="W199" i="2"/>
  <c r="Q199" i="2" s="1"/>
  <c r="W202" i="2"/>
  <c r="Q202" i="2" s="1"/>
  <c r="W205" i="2"/>
  <c r="Q205" i="2" s="1"/>
  <c r="W81" i="2"/>
  <c r="Q81" i="2" s="1"/>
  <c r="W208" i="2"/>
  <c r="Q208" i="2" s="1"/>
  <c r="W219" i="2"/>
  <c r="Q219" i="2" s="1"/>
  <c r="W40" i="2"/>
  <c r="Q40" i="2" s="1"/>
  <c r="W80" i="2"/>
  <c r="Q80" i="2" s="1"/>
  <c r="W194" i="2"/>
  <c r="Q194" i="2" s="1"/>
  <c r="W253" i="2"/>
  <c r="Q253" i="2" s="1"/>
  <c r="W265" i="2"/>
  <c r="Q265" i="2" s="1"/>
  <c r="W74" i="2"/>
  <c r="Q74" i="2" s="1"/>
  <c r="W31" i="2"/>
  <c r="Q31" i="2" s="1"/>
  <c r="W75" i="2"/>
  <c r="Q75" i="2" s="1"/>
  <c r="W78" i="2"/>
  <c r="Q78" i="2" s="1"/>
  <c r="W103" i="2"/>
  <c r="Q103" i="2" s="1"/>
  <c r="W195" i="2"/>
  <c r="Q195" i="2" s="1"/>
  <c r="W198" i="2"/>
  <c r="Q198" i="2" s="1"/>
  <c r="W201" i="2"/>
  <c r="Q201" i="2" s="1"/>
  <c r="W93" i="2"/>
  <c r="Q93" i="2" s="1"/>
  <c r="W224" i="2"/>
  <c r="Q224" i="2" s="1"/>
  <c r="W251" i="2"/>
  <c r="Q251" i="2" s="1"/>
  <c r="W20" i="2"/>
  <c r="Q20" i="2" s="1"/>
  <c r="W87" i="2"/>
  <c r="Q87" i="2" s="1"/>
  <c r="W262" i="2"/>
  <c r="Q262" i="2" s="1"/>
  <c r="W268" i="2"/>
  <c r="Q268" i="2" s="1"/>
  <c r="W212" i="2"/>
  <c r="Q212" i="2" s="1"/>
  <c r="W221" i="2"/>
  <c r="Q221" i="2" s="1"/>
  <c r="W255" i="2"/>
  <c r="Q255" i="2" s="1"/>
  <c r="W107" i="2"/>
  <c r="Q107" i="2" s="1"/>
  <c r="W218" i="2"/>
  <c r="Q218" i="2" s="1"/>
  <c r="AA159" i="2"/>
  <c r="W209" i="2"/>
  <c r="Q209" i="2" s="1"/>
  <c r="W259" i="2"/>
  <c r="Q259" i="2" s="1"/>
  <c r="W261" i="2"/>
  <c r="Q261" i="2" s="1"/>
  <c r="AA56" i="2"/>
  <c r="W100" i="2"/>
  <c r="Q100" i="2" s="1"/>
  <c r="W191" i="2"/>
  <c r="Q191" i="2" s="1"/>
  <c r="W250" i="2"/>
  <c r="Q250" i="2" s="1"/>
  <c r="W213" i="2"/>
  <c r="Q213" i="2" s="1"/>
  <c r="W256" i="2"/>
  <c r="Q256" i="2" s="1"/>
  <c r="W109" i="2"/>
  <c r="Q109" i="2" s="1"/>
  <c r="W215" i="2"/>
  <c r="Q215" i="2" s="1"/>
  <c r="W206" i="2"/>
  <c r="Q206" i="2" s="1"/>
  <c r="W12" i="2"/>
  <c r="Q12" i="2" s="1"/>
  <c r="W97" i="2"/>
  <c r="Q97" i="2" s="1"/>
  <c r="W264" i="2"/>
  <c r="Q264" i="2" s="1"/>
  <c r="AA127" i="2"/>
  <c r="B24" i="37"/>
  <c r="B16" i="37"/>
  <c r="B23" i="37"/>
  <c r="B17" i="37"/>
  <c r="B19" i="37"/>
  <c r="B20" i="37"/>
  <c r="B21" i="37"/>
  <c r="B15" i="37"/>
  <c r="B22" i="37"/>
  <c r="J25" i="37"/>
  <c r="K25" i="37"/>
  <c r="M19" i="37"/>
  <c r="K22" i="37"/>
  <c r="N19" i="37"/>
  <c r="L25" i="37"/>
  <c r="M25" i="37"/>
  <c r="O19" i="37"/>
  <c r="K21" i="37"/>
  <c r="M22" i="37"/>
  <c r="N25" i="37"/>
  <c r="L21" i="37"/>
  <c r="N22" i="37"/>
  <c r="L22" i="37"/>
  <c r="O25" i="37"/>
  <c r="M21" i="37"/>
  <c r="O22" i="37"/>
  <c r="N21" i="37"/>
  <c r="K19" i="37"/>
  <c r="O21" i="37"/>
  <c r="L19" i="37"/>
  <c r="H23" i="37"/>
  <c r="I22" i="37"/>
  <c r="I19" i="37"/>
  <c r="E20" i="37"/>
  <c r="I23" i="37"/>
  <c r="I24" i="37"/>
  <c r="E19" i="37"/>
  <c r="H25" i="37"/>
  <c r="F20" i="37"/>
  <c r="E24" i="37"/>
  <c r="H24" i="37"/>
  <c r="I21" i="37"/>
  <c r="G22" i="37"/>
  <c r="G19" i="37"/>
  <c r="G20" i="37"/>
  <c r="G21" i="37"/>
  <c r="G25" i="37"/>
  <c r="H20" i="37"/>
  <c r="D24" i="37"/>
  <c r="G24" i="37"/>
  <c r="D25" i="37"/>
  <c r="I20" i="37"/>
  <c r="F25" i="37"/>
  <c r="E23" i="37"/>
  <c r="F24" i="37"/>
  <c r="H22" i="37"/>
  <c r="B25" i="37"/>
  <c r="E22" i="37"/>
  <c r="E25" i="37"/>
  <c r="D22" i="37"/>
  <c r="D19" i="37"/>
  <c r="H19" i="37"/>
  <c r="H21" i="37"/>
  <c r="F19" i="37"/>
  <c r="I25" i="37"/>
  <c r="F21" i="37"/>
  <c r="D21" i="37"/>
  <c r="F22" i="37"/>
  <c r="E21" i="37"/>
  <c r="D23" i="37"/>
  <c r="F23" i="37"/>
  <c r="G23" i="37"/>
  <c r="F17" i="37"/>
  <c r="E15" i="37"/>
  <c r="E17" i="37"/>
  <c r="F15" i="37"/>
  <c r="I16" i="37"/>
  <c r="G15" i="37"/>
  <c r="H16" i="37"/>
  <c r="H15" i="37"/>
  <c r="G16" i="37"/>
  <c r="I15" i="37"/>
  <c r="I17" i="37"/>
  <c r="F16" i="37"/>
  <c r="H17" i="37"/>
  <c r="E16" i="37"/>
  <c r="G17" i="37"/>
  <c r="D15" i="37"/>
  <c r="D16" i="37"/>
  <c r="D17" i="37"/>
  <c r="T18" i="37" l="1"/>
  <c r="Z18" i="37"/>
  <c r="Q18" i="37"/>
  <c r="W18" i="37"/>
  <c r="X18" i="37"/>
  <c r="R18" i="37"/>
  <c r="Y18" i="37"/>
  <c r="S18" i="37"/>
  <c r="U18" i="37"/>
  <c r="AA18" i="37"/>
  <c r="J18" i="37"/>
  <c r="P18" i="37" s="1"/>
  <c r="J15" i="37"/>
  <c r="P15" i="37" s="1"/>
  <c r="J24" i="37"/>
  <c r="V24" i="37" s="1"/>
  <c r="J22" i="37"/>
  <c r="V22" i="37" s="1"/>
  <c r="J20" i="37"/>
  <c r="V20" i="37" s="1"/>
  <c r="J23" i="37"/>
  <c r="P23" i="37" s="1"/>
  <c r="J21" i="37"/>
  <c r="V21" i="37" s="1"/>
  <c r="J19" i="37"/>
  <c r="P19" i="37" s="1"/>
  <c r="V25" i="37"/>
  <c r="P25" i="37"/>
  <c r="Y21" i="37"/>
  <c r="S21" i="37"/>
  <c r="W25" i="37"/>
  <c r="Q25" i="37"/>
  <c r="T21" i="37"/>
  <c r="Z21" i="37"/>
  <c r="S22" i="37"/>
  <c r="Y22" i="37"/>
  <c r="U21" i="37"/>
  <c r="AA21" i="37"/>
  <c r="Q21" i="37"/>
  <c r="W21" i="37"/>
  <c r="Q22" i="37"/>
  <c r="W22" i="37"/>
  <c r="T22" i="37"/>
  <c r="Z22" i="37"/>
  <c r="S19" i="37"/>
  <c r="Y19" i="37"/>
  <c r="AA25" i="37"/>
  <c r="U25" i="37"/>
  <c r="X25" i="37"/>
  <c r="R25" i="37"/>
  <c r="U19" i="37"/>
  <c r="AA19" i="37"/>
  <c r="Q19" i="37"/>
  <c r="W19" i="37"/>
  <c r="T19" i="37"/>
  <c r="Z19" i="37"/>
  <c r="R22" i="37"/>
  <c r="X22" i="37"/>
  <c r="T25" i="37"/>
  <c r="Z25" i="37"/>
  <c r="Y25" i="37"/>
  <c r="S25" i="37"/>
  <c r="X19" i="37"/>
  <c r="R19" i="37"/>
  <c r="R21" i="37"/>
  <c r="X21" i="37"/>
  <c r="U22" i="37"/>
  <c r="AA22" i="37"/>
  <c r="I30" i="38"/>
  <c r="I27" i="38"/>
  <c r="J27" i="38"/>
  <c r="K27" i="38"/>
  <c r="L27" i="38"/>
  <c r="M27" i="38"/>
  <c r="N27" i="38"/>
  <c r="I28" i="38"/>
  <c r="J28" i="38"/>
  <c r="K28" i="38"/>
  <c r="L28" i="38"/>
  <c r="M28" i="38"/>
  <c r="N28" i="38"/>
  <c r="I29" i="38"/>
  <c r="J29" i="38"/>
  <c r="K29" i="38"/>
  <c r="L29" i="38"/>
  <c r="M29" i="38"/>
  <c r="N29" i="38"/>
  <c r="V18" i="37" l="1"/>
  <c r="P24" i="37"/>
  <c r="P20" i="37"/>
  <c r="P22" i="37"/>
  <c r="V23" i="37"/>
  <c r="P21" i="37"/>
  <c r="V19" i="37"/>
  <c r="J17" i="37"/>
  <c r="J16" i="37"/>
  <c r="Z8" i="2"/>
  <c r="Z145" i="2" s="1"/>
  <c r="T145" i="2" l="1"/>
  <c r="V145" i="2"/>
  <c r="Z123" i="2"/>
  <c r="Z155" i="2"/>
  <c r="Z122" i="2"/>
  <c r="Z139" i="2"/>
  <c r="Z164" i="2"/>
  <c r="Z180" i="2"/>
  <c r="Z189" i="2"/>
  <c r="Z116" i="2"/>
  <c r="Z157" i="2"/>
  <c r="Z124" i="2"/>
  <c r="Z114" i="2"/>
  <c r="Z172" i="2"/>
  <c r="Z131" i="2"/>
  <c r="Z165" i="2"/>
  <c r="Z181" i="2"/>
  <c r="Z130" i="2"/>
  <c r="Z171" i="2"/>
  <c r="Z140" i="2"/>
  <c r="Z156" i="2"/>
  <c r="Z187" i="2"/>
  <c r="Z174" i="2"/>
  <c r="Z133" i="2"/>
  <c r="Z183" i="2"/>
  <c r="Z176" i="2"/>
  <c r="Z128" i="2"/>
  <c r="Z186" i="2"/>
  <c r="Z162" i="2"/>
  <c r="Z135" i="2"/>
  <c r="Z170" i="2"/>
  <c r="Z115" i="2"/>
  <c r="Z179" i="2"/>
  <c r="Z126" i="2"/>
  <c r="Z120" i="2"/>
  <c r="Z129" i="2"/>
  <c r="Z134" i="2"/>
  <c r="Z188" i="2"/>
  <c r="Z173" i="2"/>
  <c r="Z163" i="2"/>
  <c r="Z166" i="2"/>
  <c r="Z125" i="2"/>
  <c r="Z143" i="2"/>
  <c r="Z161" i="2"/>
  <c r="Z185" i="2"/>
  <c r="Z132" i="2"/>
  <c r="Z167" i="2"/>
  <c r="Z138" i="2"/>
  <c r="Z175" i="2"/>
  <c r="Z142" i="2"/>
  <c r="Z112" i="2"/>
  <c r="Z178" i="2"/>
  <c r="Z146" i="2"/>
  <c r="Z121" i="2"/>
  <c r="Z141" i="2"/>
  <c r="Z113" i="2"/>
  <c r="Z177" i="2"/>
  <c r="Z190" i="2"/>
  <c r="Z117" i="2"/>
  <c r="Z118" i="2"/>
  <c r="Z184" i="2"/>
  <c r="Z168" i="2"/>
  <c r="Z144" i="2"/>
  <c r="Z182" i="2"/>
  <c r="Z137" i="2"/>
  <c r="Z119" i="2"/>
  <c r="Z136" i="2"/>
  <c r="Z23" i="2"/>
  <c r="Z29" i="2"/>
  <c r="Z21" i="2"/>
  <c r="Z22" i="2"/>
  <c r="Z26" i="2"/>
  <c r="Z14" i="2"/>
  <c r="Z19" i="2"/>
  <c r="Z12" i="2"/>
  <c r="Z24" i="2"/>
  <c r="Z16" i="2"/>
  <c r="Z13" i="2"/>
  <c r="Z15" i="2"/>
  <c r="Z17" i="2"/>
  <c r="Z20" i="2"/>
  <c r="Z18" i="2"/>
  <c r="Z30" i="2"/>
  <c r="Z10" i="2"/>
  <c r="T10" i="2" s="1"/>
  <c r="A30" i="37"/>
  <c r="A31" i="37"/>
  <c r="A33" i="37"/>
  <c r="A34" i="37"/>
  <c r="A35" i="37"/>
  <c r="A36" i="37"/>
  <c r="A37" i="37"/>
  <c r="A38" i="37"/>
  <c r="A39" i="37"/>
  <c r="A29" i="37"/>
  <c r="V119" i="2" l="1"/>
  <c r="T119" i="2"/>
  <c r="V142" i="2"/>
  <c r="T142" i="2"/>
  <c r="V125" i="2"/>
  <c r="T125" i="2"/>
  <c r="V176" i="2"/>
  <c r="T176" i="2"/>
  <c r="T130" i="2"/>
  <c r="V130" i="2"/>
  <c r="V116" i="2"/>
  <c r="T116" i="2"/>
  <c r="V190" i="2"/>
  <c r="T190" i="2"/>
  <c r="T126" i="2"/>
  <c r="V126" i="2"/>
  <c r="V137" i="2"/>
  <c r="T137" i="2"/>
  <c r="V177" i="2"/>
  <c r="T177" i="2"/>
  <c r="V175" i="2"/>
  <c r="T175" i="2"/>
  <c r="T166" i="2"/>
  <c r="V166" i="2"/>
  <c r="T179" i="2"/>
  <c r="V179" i="2"/>
  <c r="V183" i="2"/>
  <c r="T183" i="2"/>
  <c r="V181" i="2"/>
  <c r="T181" i="2"/>
  <c r="V189" i="2"/>
  <c r="T189" i="2"/>
  <c r="V165" i="2"/>
  <c r="T165" i="2"/>
  <c r="V144" i="2"/>
  <c r="T144" i="2"/>
  <c r="T141" i="2"/>
  <c r="V141" i="2"/>
  <c r="V167" i="2"/>
  <c r="T167" i="2"/>
  <c r="V173" i="2"/>
  <c r="T173" i="2"/>
  <c r="V170" i="2"/>
  <c r="T170" i="2"/>
  <c r="T174" i="2"/>
  <c r="V174" i="2"/>
  <c r="T131" i="2"/>
  <c r="V131" i="2"/>
  <c r="T164" i="2"/>
  <c r="V164" i="2"/>
  <c r="V182" i="2"/>
  <c r="T182" i="2"/>
  <c r="V163" i="2"/>
  <c r="T163" i="2"/>
  <c r="T133" i="2"/>
  <c r="V133" i="2"/>
  <c r="T168" i="2"/>
  <c r="V168" i="2"/>
  <c r="V121" i="2"/>
  <c r="T121" i="2"/>
  <c r="V132" i="2"/>
  <c r="T132" i="2"/>
  <c r="V188" i="2"/>
  <c r="T188" i="2"/>
  <c r="T135" i="2"/>
  <c r="V135" i="2"/>
  <c r="V187" i="2"/>
  <c r="T187" i="2"/>
  <c r="T172" i="2"/>
  <c r="V172" i="2"/>
  <c r="T139" i="2"/>
  <c r="V139" i="2"/>
  <c r="T113" i="2"/>
  <c r="V113" i="2"/>
  <c r="V180" i="2"/>
  <c r="T180" i="2"/>
  <c r="T184" i="2"/>
  <c r="V184" i="2"/>
  <c r="T146" i="2"/>
  <c r="V146" i="2"/>
  <c r="T185" i="2"/>
  <c r="V185" i="2"/>
  <c r="T134" i="2"/>
  <c r="V134" i="2"/>
  <c r="T162" i="2"/>
  <c r="V162" i="2"/>
  <c r="T156" i="2"/>
  <c r="V156" i="2"/>
  <c r="T114" i="2"/>
  <c r="V114" i="2"/>
  <c r="V122" i="2"/>
  <c r="T122" i="2"/>
  <c r="V118" i="2"/>
  <c r="T118" i="2"/>
  <c r="T178" i="2"/>
  <c r="V178" i="2"/>
  <c r="V161" i="2"/>
  <c r="T161" i="2"/>
  <c r="T129" i="2"/>
  <c r="V129" i="2"/>
  <c r="V186" i="2"/>
  <c r="T186" i="2"/>
  <c r="V140" i="2"/>
  <c r="T140" i="2"/>
  <c r="V124" i="2"/>
  <c r="T124" i="2"/>
  <c r="T155" i="2"/>
  <c r="V155" i="2"/>
  <c r="T138" i="2"/>
  <c r="V138" i="2"/>
  <c r="T115" i="2"/>
  <c r="V115" i="2"/>
  <c r="T136" i="2"/>
  <c r="V136" i="2"/>
  <c r="T117" i="2"/>
  <c r="V117" i="2"/>
  <c r="V112" i="2"/>
  <c r="T112" i="2"/>
  <c r="T143" i="2"/>
  <c r="V143" i="2"/>
  <c r="V120" i="2"/>
  <c r="T120" i="2"/>
  <c r="V128" i="2"/>
  <c r="T128" i="2"/>
  <c r="T171" i="2"/>
  <c r="V171" i="2"/>
  <c r="V157" i="2"/>
  <c r="T157" i="2"/>
  <c r="V123" i="2"/>
  <c r="T123" i="2"/>
  <c r="T26" i="2"/>
  <c r="V26" i="2"/>
  <c r="V30" i="2"/>
  <c r="T30" i="2"/>
  <c r="V19" i="2"/>
  <c r="T19" i="2"/>
  <c r="V14" i="2"/>
  <c r="T14" i="2"/>
  <c r="V22" i="2"/>
  <c r="T22" i="2"/>
  <c r="T12" i="2"/>
  <c r="V12" i="2"/>
  <c r="V18" i="2"/>
  <c r="T18" i="2"/>
  <c r="T20" i="2"/>
  <c r="V20" i="2"/>
  <c r="T17" i="2"/>
  <c r="V17" i="2"/>
  <c r="V15" i="2"/>
  <c r="T15" i="2"/>
  <c r="T13" i="2"/>
  <c r="V13" i="2"/>
  <c r="T21" i="2"/>
  <c r="V21" i="2"/>
  <c r="T16" i="2"/>
  <c r="V16" i="2"/>
  <c r="T29" i="2"/>
  <c r="V29" i="2"/>
  <c r="T24" i="2"/>
  <c r="V24" i="2"/>
  <c r="V23" i="2"/>
  <c r="T23" i="2"/>
  <c r="V10" i="2"/>
  <c r="P39" i="37"/>
  <c r="P37" i="37"/>
  <c r="P36" i="37"/>
  <c r="P35" i="37"/>
  <c r="P33" i="37"/>
  <c r="Q39" i="37"/>
  <c r="C16" i="17"/>
  <c r="M20" i="37" l="1"/>
  <c r="Y20" i="37" s="1"/>
  <c r="O20" i="37"/>
  <c r="U20" i="37" s="1"/>
  <c r="M24" i="37"/>
  <c r="S24" i="37" s="1"/>
  <c r="O24" i="37"/>
  <c r="AA24" i="37" s="1"/>
  <c r="M23" i="37"/>
  <c r="Y23" i="37" s="1"/>
  <c r="O23" i="37"/>
  <c r="N30" i="38"/>
  <c r="M30" i="38"/>
  <c r="L30" i="38"/>
  <c r="K30" i="38"/>
  <c r="J30" i="38"/>
  <c r="S20" i="37" l="1"/>
  <c r="AA20" i="37"/>
  <c r="Y24" i="37"/>
  <c r="U24" i="37"/>
  <c r="S23" i="37"/>
  <c r="U23" i="37"/>
  <c r="AA23" i="37"/>
  <c r="J31" i="38"/>
  <c r="I31" i="38"/>
  <c r="M31" i="38"/>
  <c r="L31" i="38"/>
  <c r="I41" i="18"/>
  <c r="N41" i="18"/>
  <c r="M41" i="18"/>
  <c r="P11" i="28"/>
  <c r="P12" i="28"/>
  <c r="P13" i="28"/>
  <c r="P14" i="28"/>
  <c r="P15" i="28"/>
  <c r="AB233" i="2" s="1"/>
  <c r="P16" i="28"/>
  <c r="P17" i="28"/>
  <c r="P18" i="28"/>
  <c r="AB145" i="2" s="1"/>
  <c r="P19" i="28"/>
  <c r="P20" i="28"/>
  <c r="AB27" i="2" s="1"/>
  <c r="P21" i="28"/>
  <c r="P22" i="28"/>
  <c r="P23" i="28"/>
  <c r="AB270" i="2" s="1"/>
  <c r="P10" i="28"/>
  <c r="N23" i="38"/>
  <c r="M23" i="38"/>
  <c r="L23" i="38"/>
  <c r="K23" i="38"/>
  <c r="J23" i="38"/>
  <c r="I23" i="38"/>
  <c r="B4" i="38"/>
  <c r="E14" i="35"/>
  <c r="F14" i="35" s="1"/>
  <c r="E15" i="35"/>
  <c r="F15" i="35" s="1"/>
  <c r="E13" i="35"/>
  <c r="F13" i="35" s="1"/>
  <c r="Y8" i="2"/>
  <c r="Y145" i="2" s="1"/>
  <c r="X8" i="2"/>
  <c r="X145" i="2" s="1"/>
  <c r="R145" i="2" s="1"/>
  <c r="B4" i="37"/>
  <c r="B4" i="5"/>
  <c r="B4" i="31"/>
  <c r="N29" i="18"/>
  <c r="M29" i="18"/>
  <c r="L29" i="18"/>
  <c r="K29" i="18"/>
  <c r="J29" i="18"/>
  <c r="I29" i="18"/>
  <c r="F11" i="31"/>
  <c r="F12" i="31"/>
  <c r="H12" i="31" s="1"/>
  <c r="F15" i="31"/>
  <c r="H15" i="31" s="1"/>
  <c r="F16" i="31"/>
  <c r="H16" i="31" s="1"/>
  <c r="B4" i="28"/>
  <c r="C4" i="2"/>
  <c r="B4" i="18"/>
  <c r="B4" i="17"/>
  <c r="B41" i="17"/>
  <c r="B47" i="17" s="1"/>
  <c r="B51" i="17" s="1"/>
  <c r="B52" i="17"/>
  <c r="AB11" i="2" l="1"/>
  <c r="AB28" i="2"/>
  <c r="AB25" i="2"/>
  <c r="S145" i="2"/>
  <c r="U145" i="2"/>
  <c r="AB229" i="2"/>
  <c r="AB232" i="2"/>
  <c r="AB228" i="2"/>
  <c r="AB240" i="2"/>
  <c r="AB234" i="2"/>
  <c r="AB231" i="2"/>
  <c r="AB238" i="2"/>
  <c r="AB244" i="2"/>
  <c r="AB239" i="2"/>
  <c r="AB227" i="2"/>
  <c r="AB237" i="2"/>
  <c r="AB230" i="2"/>
  <c r="AB110" i="2"/>
  <c r="AB158" i="2"/>
  <c r="AB44" i="2"/>
  <c r="AB226" i="2"/>
  <c r="AB154" i="2"/>
  <c r="AB127" i="2"/>
  <c r="AB159" i="2"/>
  <c r="AB56" i="2"/>
  <c r="AB160" i="2"/>
  <c r="AB225" i="2"/>
  <c r="AB76" i="2"/>
  <c r="AB169" i="2"/>
  <c r="AB29" i="2"/>
  <c r="AB262" i="2"/>
  <c r="AB256" i="2"/>
  <c r="AB260" i="2"/>
  <c r="AB32" i="2"/>
  <c r="AB31" i="2"/>
  <c r="AB261" i="2"/>
  <c r="AB30" i="2"/>
  <c r="AB259" i="2"/>
  <c r="AB35" i="2"/>
  <c r="AB64" i="2"/>
  <c r="AB151" i="2"/>
  <c r="AB211" i="2"/>
  <c r="AB26" i="2"/>
  <c r="AB253" i="2"/>
  <c r="AB18" i="2"/>
  <c r="AB265" i="2"/>
  <c r="AB153" i="2"/>
  <c r="AB267" i="2"/>
  <c r="AB254" i="2"/>
  <c r="AB215" i="2"/>
  <c r="AB39" i="2"/>
  <c r="AB266" i="2"/>
  <c r="AB38" i="2"/>
  <c r="AB33" i="2"/>
  <c r="AB263" i="2"/>
  <c r="AB13" i="2"/>
  <c r="AB74" i="2"/>
  <c r="AB255" i="2"/>
  <c r="AB224" i="2"/>
  <c r="AB17" i="2"/>
  <c r="AB15" i="2"/>
  <c r="AB37" i="2"/>
  <c r="AB77" i="2"/>
  <c r="AB87" i="2"/>
  <c r="AB86" i="2"/>
  <c r="AB98" i="2"/>
  <c r="AB223" i="2"/>
  <c r="AB14" i="2"/>
  <c r="AB264" i="2"/>
  <c r="AB12" i="2"/>
  <c r="AB16" i="2"/>
  <c r="AB99" i="2"/>
  <c r="AB34" i="2"/>
  <c r="AB90" i="2"/>
  <c r="AB152" i="2"/>
  <c r="AB40" i="2"/>
  <c r="AB150" i="2"/>
  <c r="AB105" i="2"/>
  <c r="AB59" i="2"/>
  <c r="AB258" i="2"/>
  <c r="AB68" i="2"/>
  <c r="AB251" i="2"/>
  <c r="AB73" i="2"/>
  <c r="AB88" i="2"/>
  <c r="AB203" i="2"/>
  <c r="AB257" i="2"/>
  <c r="AB212" i="2"/>
  <c r="AB84" i="2"/>
  <c r="AB94" i="2"/>
  <c r="AB202" i="2"/>
  <c r="AB148" i="2"/>
  <c r="AB100" i="2"/>
  <c r="AB206" i="2"/>
  <c r="AB111" i="2"/>
  <c r="AB205" i="2"/>
  <c r="AB36" i="2"/>
  <c r="AB104" i="2"/>
  <c r="AB41" i="2"/>
  <c r="AB191" i="2"/>
  <c r="AB207" i="2"/>
  <c r="AB219" i="2"/>
  <c r="AB213" i="2"/>
  <c r="AB149" i="2"/>
  <c r="AB106" i="2"/>
  <c r="AB57" i="2"/>
  <c r="AB55" i="2"/>
  <c r="AB192" i="2"/>
  <c r="AB161" i="2"/>
  <c r="AB250" i="2"/>
  <c r="AB24" i="2"/>
  <c r="AB72" i="2"/>
  <c r="AB71" i="2"/>
  <c r="AB112" i="2"/>
  <c r="AB42" i="2"/>
  <c r="AB210" i="2"/>
  <c r="AB268" i="2"/>
  <c r="AB147" i="2"/>
  <c r="AB102" i="2"/>
  <c r="AB75" i="2"/>
  <c r="AB50" i="2"/>
  <c r="AB183" i="2"/>
  <c r="AB52" i="2"/>
  <c r="AB143" i="2"/>
  <c r="AB67" i="2"/>
  <c r="AB182" i="2"/>
  <c r="AB166" i="2"/>
  <c r="AB208" i="2"/>
  <c r="AB162" i="2"/>
  <c r="AB214" i="2"/>
  <c r="AB189" i="2"/>
  <c r="AB172" i="2"/>
  <c r="AB146" i="2"/>
  <c r="AB184" i="2"/>
  <c r="AB195" i="2"/>
  <c r="AB164" i="2"/>
  <c r="AB209" i="2"/>
  <c r="AB174" i="2"/>
  <c r="AB171" i="2"/>
  <c r="AB97" i="2"/>
  <c r="AB168" i="2"/>
  <c r="AB61" i="2"/>
  <c r="AB85" i="2"/>
  <c r="AB124" i="2"/>
  <c r="AB128" i="2"/>
  <c r="AB185" i="2"/>
  <c r="AB173" i="2"/>
  <c r="AB62" i="2"/>
  <c r="AB156" i="2"/>
  <c r="AB66" i="2"/>
  <c r="AB167" i="2"/>
  <c r="AB163" i="2"/>
  <c r="AB126" i="2"/>
  <c r="AB157" i="2"/>
  <c r="AB222" i="2"/>
  <c r="AB201" i="2"/>
  <c r="AB43" i="2"/>
  <c r="AB83" i="2"/>
  <c r="AB165" i="2"/>
  <c r="AB21" i="2"/>
  <c r="AB80" i="2"/>
  <c r="AB51" i="2"/>
  <c r="AB125" i="2"/>
  <c r="AB218" i="2"/>
  <c r="AB89" i="2"/>
  <c r="AB48" i="2"/>
  <c r="AB138" i="2"/>
  <c r="AB121" i="2"/>
  <c r="AB123" i="2"/>
  <c r="AB170" i="2"/>
  <c r="AB155" i="2"/>
  <c r="AB144" i="2"/>
  <c r="AB137" i="2"/>
  <c r="AB190" i="2"/>
  <c r="AB93" i="2"/>
  <c r="AB140" i="2"/>
  <c r="AB122" i="2"/>
  <c r="AB141" i="2"/>
  <c r="AB139" i="2"/>
  <c r="AB252" i="2"/>
  <c r="AB142" i="2"/>
  <c r="AB22" i="2"/>
  <c r="AB101" i="2"/>
  <c r="AB20" i="2"/>
  <c r="AB70" i="2"/>
  <c r="AB197" i="2"/>
  <c r="AB69" i="2"/>
  <c r="AB131" i="2"/>
  <c r="AB188" i="2"/>
  <c r="AB186" i="2"/>
  <c r="AB117" i="2"/>
  <c r="AB178" i="2"/>
  <c r="AB136" i="2"/>
  <c r="AB118" i="2"/>
  <c r="AB133" i="2"/>
  <c r="AB132" i="2"/>
  <c r="AB176" i="2"/>
  <c r="AB129" i="2"/>
  <c r="AB177" i="2"/>
  <c r="AB179" i="2"/>
  <c r="AB217" i="2"/>
  <c r="AB114" i="2"/>
  <c r="AB181" i="2"/>
  <c r="AB135" i="2"/>
  <c r="AB175" i="2"/>
  <c r="AB113" i="2"/>
  <c r="AB180" i="2"/>
  <c r="AB187" i="2"/>
  <c r="AB116" i="2"/>
  <c r="AB115" i="2"/>
  <c r="AB221" i="2"/>
  <c r="AB200" i="2"/>
  <c r="AB134" i="2"/>
  <c r="AB120" i="2"/>
  <c r="AB130" i="2"/>
  <c r="AB119" i="2"/>
  <c r="AB107" i="2"/>
  <c r="AB109" i="2"/>
  <c r="AB108" i="2"/>
  <c r="AB54" i="2"/>
  <c r="AB193" i="2"/>
  <c r="AB194" i="2"/>
  <c r="AB58" i="2"/>
  <c r="AA204" i="2"/>
  <c r="AB204" i="2"/>
  <c r="AA269" i="2"/>
  <c r="AB269" i="2"/>
  <c r="AB10" i="2"/>
  <c r="AB19" i="2"/>
  <c r="AB23" i="2"/>
  <c r="AB96" i="2"/>
  <c r="AB220" i="2"/>
  <c r="AB78" i="2"/>
  <c r="AB216" i="2"/>
  <c r="AB91" i="2"/>
  <c r="AB82" i="2"/>
  <c r="AB196" i="2"/>
  <c r="AB92" i="2"/>
  <c r="AB79" i="2"/>
  <c r="AB47" i="2"/>
  <c r="AB81" i="2"/>
  <c r="AB49" i="2"/>
  <c r="AB103" i="2"/>
  <c r="AB45" i="2"/>
  <c r="AB60" i="2"/>
  <c r="AB53" i="2"/>
  <c r="AB46" i="2"/>
  <c r="AB65" i="2"/>
  <c r="AB95" i="2"/>
  <c r="AB63" i="2"/>
  <c r="AB198" i="2"/>
  <c r="AB199" i="2"/>
  <c r="AA35" i="2"/>
  <c r="AA26" i="2"/>
  <c r="AA211" i="2"/>
  <c r="AA253" i="2"/>
  <c r="AA151" i="2"/>
  <c r="AA64" i="2"/>
  <c r="AA18" i="2"/>
  <c r="AA17" i="2"/>
  <c r="AA255" i="2"/>
  <c r="AA90" i="2"/>
  <c r="AA12" i="2"/>
  <c r="AA223" i="2"/>
  <c r="AA15" i="2"/>
  <c r="AA152" i="2"/>
  <c r="AA16" i="2"/>
  <c r="AA39" i="2"/>
  <c r="AA74" i="2"/>
  <c r="AA99" i="2"/>
  <c r="AA254" i="2"/>
  <c r="AA34" i="2"/>
  <c r="AA13" i="2"/>
  <c r="AA150" i="2"/>
  <c r="AA40" i="2"/>
  <c r="AA38" i="2"/>
  <c r="AA264" i="2"/>
  <c r="AA266" i="2"/>
  <c r="AA153" i="2"/>
  <c r="AA263" i="2"/>
  <c r="AA33" i="2"/>
  <c r="AA14" i="2"/>
  <c r="AA98" i="2"/>
  <c r="AA77" i="2"/>
  <c r="AA265" i="2"/>
  <c r="AA215" i="2"/>
  <c r="AA224" i="2"/>
  <c r="AA37" i="2"/>
  <c r="AA86" i="2"/>
  <c r="AA267" i="2"/>
  <c r="AA87" i="2"/>
  <c r="AA59" i="2"/>
  <c r="AA105" i="2"/>
  <c r="AA257" i="2"/>
  <c r="AA203" i="2"/>
  <c r="AA84" i="2"/>
  <c r="AA212" i="2"/>
  <c r="AA251" i="2"/>
  <c r="AA68" i="2"/>
  <c r="AA73" i="2"/>
  <c r="AA258" i="2"/>
  <c r="AA202" i="2"/>
  <c r="AA148" i="2"/>
  <c r="AA88" i="2"/>
  <c r="AA100" i="2"/>
  <c r="AA94" i="2"/>
  <c r="AA41" i="2"/>
  <c r="AA104" i="2"/>
  <c r="AA36" i="2"/>
  <c r="AA213" i="2"/>
  <c r="AA191" i="2"/>
  <c r="AA219" i="2"/>
  <c r="AA149" i="2"/>
  <c r="AA205" i="2"/>
  <c r="AA207" i="2"/>
  <c r="AA111" i="2"/>
  <c r="AA206" i="2"/>
  <c r="AA192" i="2"/>
  <c r="AA57" i="2"/>
  <c r="AA55" i="2"/>
  <c r="AA106" i="2"/>
  <c r="AA42" i="2"/>
  <c r="AA147" i="2"/>
  <c r="AA71" i="2"/>
  <c r="AA210" i="2"/>
  <c r="AA161" i="2"/>
  <c r="AA24" i="2"/>
  <c r="AA250" i="2"/>
  <c r="AA72" i="2"/>
  <c r="AA112" i="2"/>
  <c r="AA268" i="2"/>
  <c r="AA121" i="2"/>
  <c r="AA155" i="2"/>
  <c r="AA222" i="2"/>
  <c r="AA21" i="2"/>
  <c r="AA62" i="2"/>
  <c r="AA189" i="2"/>
  <c r="AA128" i="2"/>
  <c r="AA89" i="2"/>
  <c r="AA123" i="2"/>
  <c r="AA157" i="2"/>
  <c r="AA184" i="2"/>
  <c r="AA22" i="2"/>
  <c r="AA168" i="2"/>
  <c r="AA144" i="2"/>
  <c r="AA70" i="2"/>
  <c r="AA252" i="2"/>
  <c r="AA50" i="2"/>
  <c r="AA85" i="2"/>
  <c r="AA61" i="2"/>
  <c r="AA182" i="2"/>
  <c r="AA51" i="2"/>
  <c r="AA101" i="2"/>
  <c r="AA93" i="2"/>
  <c r="AA214" i="2"/>
  <c r="AA170" i="2"/>
  <c r="AA218" i="2"/>
  <c r="AA97" i="2"/>
  <c r="AA143" i="2"/>
  <c r="AA195" i="2"/>
  <c r="AA75" i="2"/>
  <c r="AA201" i="2"/>
  <c r="AA48" i="2"/>
  <c r="AA164" i="2"/>
  <c r="AA209" i="2"/>
  <c r="AA52" i="2"/>
  <c r="AA141" i="2"/>
  <c r="AA20" i="2"/>
  <c r="AA125" i="2"/>
  <c r="AA190" i="2"/>
  <c r="AA126" i="2"/>
  <c r="AA162" i="2"/>
  <c r="AA172" i="2"/>
  <c r="AA66" i="2"/>
  <c r="AA146" i="2"/>
  <c r="AA166" i="2"/>
  <c r="AA208" i="2"/>
  <c r="AA122" i="2"/>
  <c r="AA69" i="2"/>
  <c r="AA163" i="2"/>
  <c r="AA83" i="2"/>
  <c r="AA102" i="2"/>
  <c r="AA137" i="2"/>
  <c r="AA165" i="2"/>
  <c r="AA171" i="2"/>
  <c r="AA80" i="2"/>
  <c r="AA138" i="2"/>
  <c r="AA43" i="2"/>
  <c r="AA124" i="2"/>
  <c r="AA185" i="2"/>
  <c r="AA167" i="2"/>
  <c r="AA67" i="2"/>
  <c r="AA139" i="2"/>
  <c r="AA197" i="2"/>
  <c r="AA173" i="2"/>
  <c r="AA140" i="2"/>
  <c r="AA174" i="2"/>
  <c r="AA156" i="2"/>
  <c r="AA142" i="2"/>
  <c r="AA183" i="2"/>
  <c r="AA175" i="2"/>
  <c r="AA134" i="2"/>
  <c r="AA179" i="2"/>
  <c r="AA116" i="2"/>
  <c r="AA118" i="2"/>
  <c r="AA130" i="2"/>
  <c r="AA221" i="2"/>
  <c r="AA186" i="2"/>
  <c r="AA180" i="2"/>
  <c r="AA181" i="2"/>
  <c r="AA132" i="2"/>
  <c r="AA176" i="2"/>
  <c r="AA131" i="2"/>
  <c r="AA177" i="2"/>
  <c r="AA129" i="2"/>
  <c r="AA133" i="2"/>
  <c r="AA188" i="2"/>
  <c r="AA114" i="2"/>
  <c r="AA136" i="2"/>
  <c r="AA115" i="2"/>
  <c r="AA120" i="2"/>
  <c r="AA117" i="2"/>
  <c r="AA135" i="2"/>
  <c r="AA200" i="2"/>
  <c r="AA217" i="2"/>
  <c r="AA119" i="2"/>
  <c r="AA187" i="2"/>
  <c r="AA113" i="2"/>
  <c r="AA178" i="2"/>
  <c r="AA108" i="2"/>
  <c r="AA193" i="2"/>
  <c r="AA107" i="2"/>
  <c r="AA194" i="2"/>
  <c r="AA109" i="2"/>
  <c r="AA54" i="2"/>
  <c r="AA58" i="2"/>
  <c r="AA31" i="2"/>
  <c r="AA30" i="2"/>
  <c r="AA261" i="2"/>
  <c r="AA262" i="2"/>
  <c r="AA260" i="2"/>
  <c r="AA29" i="2"/>
  <c r="AA32" i="2"/>
  <c r="AA256" i="2"/>
  <c r="AA259" i="2"/>
  <c r="AA23" i="2"/>
  <c r="AA10" i="2"/>
  <c r="AA19" i="2"/>
  <c r="AA65" i="2"/>
  <c r="AA45" i="2"/>
  <c r="AA220" i="2"/>
  <c r="AA63" i="2"/>
  <c r="AA95" i="2"/>
  <c r="AA82" i="2"/>
  <c r="AA198" i="2"/>
  <c r="AA216" i="2"/>
  <c r="AA92" i="2"/>
  <c r="AA46" i="2"/>
  <c r="AA78" i="2"/>
  <c r="AA79" i="2"/>
  <c r="AA81" i="2"/>
  <c r="AA49" i="2"/>
  <c r="AA199" i="2"/>
  <c r="AA103" i="2"/>
  <c r="AA91" i="2"/>
  <c r="AA196" i="2"/>
  <c r="AA53" i="2"/>
  <c r="AA96" i="2"/>
  <c r="AA60" i="2"/>
  <c r="AA47" i="2"/>
  <c r="X128" i="2"/>
  <c r="R128" i="2" s="1"/>
  <c r="X162" i="2"/>
  <c r="R162" i="2" s="1"/>
  <c r="X178" i="2"/>
  <c r="R178" i="2" s="1"/>
  <c r="X114" i="2"/>
  <c r="R114" i="2" s="1"/>
  <c r="X120" i="2"/>
  <c r="R120" i="2" s="1"/>
  <c r="X131" i="2"/>
  <c r="R131" i="2" s="1"/>
  <c r="X134" i="2"/>
  <c r="R134" i="2" s="1"/>
  <c r="X172" i="2"/>
  <c r="R172" i="2" s="1"/>
  <c r="X175" i="2"/>
  <c r="R175" i="2" s="1"/>
  <c r="X130" i="2"/>
  <c r="R130" i="2" s="1"/>
  <c r="X136" i="2"/>
  <c r="R136" i="2" s="1"/>
  <c r="X146" i="2"/>
  <c r="R146" i="2" s="1"/>
  <c r="X156" i="2"/>
  <c r="R156" i="2" s="1"/>
  <c r="X161" i="2"/>
  <c r="R161" i="2" s="1"/>
  <c r="X171" i="2"/>
  <c r="R171" i="2" s="1"/>
  <c r="X177" i="2"/>
  <c r="R177" i="2" s="1"/>
  <c r="X186" i="2"/>
  <c r="R186" i="2" s="1"/>
  <c r="X155" i="2"/>
  <c r="R155" i="2" s="1"/>
  <c r="X139" i="2"/>
  <c r="R139" i="2" s="1"/>
  <c r="X142" i="2"/>
  <c r="R142" i="2" s="1"/>
  <c r="X180" i="2"/>
  <c r="R180" i="2" s="1"/>
  <c r="X170" i="2"/>
  <c r="R170" i="2" s="1"/>
  <c r="X113" i="2"/>
  <c r="R113" i="2" s="1"/>
  <c r="X126" i="2"/>
  <c r="R126" i="2" s="1"/>
  <c r="X129" i="2"/>
  <c r="R129" i="2" s="1"/>
  <c r="X164" i="2"/>
  <c r="R164" i="2" s="1"/>
  <c r="X167" i="2"/>
  <c r="R167" i="2" s="1"/>
  <c r="X183" i="2"/>
  <c r="R183" i="2" s="1"/>
  <c r="X188" i="2"/>
  <c r="R188" i="2" s="1"/>
  <c r="X123" i="2"/>
  <c r="R123" i="2" s="1"/>
  <c r="X122" i="2"/>
  <c r="R122" i="2" s="1"/>
  <c r="X187" i="2"/>
  <c r="R187" i="2" s="1"/>
  <c r="X115" i="2"/>
  <c r="R115" i="2" s="1"/>
  <c r="X165" i="2"/>
  <c r="R165" i="2" s="1"/>
  <c r="X132" i="2"/>
  <c r="R132" i="2" s="1"/>
  <c r="X117" i="2"/>
  <c r="R117" i="2" s="1"/>
  <c r="X135" i="2"/>
  <c r="R135" i="2" s="1"/>
  <c r="X143" i="2"/>
  <c r="R143" i="2" s="1"/>
  <c r="X116" i="2"/>
  <c r="R116" i="2" s="1"/>
  <c r="X138" i="2"/>
  <c r="R138" i="2" s="1"/>
  <c r="X166" i="2"/>
  <c r="R166" i="2" s="1"/>
  <c r="X121" i="2"/>
  <c r="R121" i="2" s="1"/>
  <c r="X157" i="2"/>
  <c r="R157" i="2" s="1"/>
  <c r="X133" i="2"/>
  <c r="R133" i="2" s="1"/>
  <c r="X144" i="2"/>
  <c r="R144" i="2" s="1"/>
  <c r="X118" i="2"/>
  <c r="R118" i="2" s="1"/>
  <c r="X112" i="2"/>
  <c r="R112" i="2" s="1"/>
  <c r="X181" i="2"/>
  <c r="R181" i="2" s="1"/>
  <c r="X184" i="2"/>
  <c r="R184" i="2" s="1"/>
  <c r="X176" i="2"/>
  <c r="R176" i="2" s="1"/>
  <c r="X185" i="2"/>
  <c r="R185" i="2" s="1"/>
  <c r="X124" i="2"/>
  <c r="R124" i="2" s="1"/>
  <c r="X190" i="2"/>
  <c r="R190" i="2" s="1"/>
  <c r="X174" i="2"/>
  <c r="R174" i="2" s="1"/>
  <c r="X182" i="2"/>
  <c r="R182" i="2" s="1"/>
  <c r="X137" i="2"/>
  <c r="R137" i="2" s="1"/>
  <c r="X179" i="2"/>
  <c r="R179" i="2" s="1"/>
  <c r="X125" i="2"/>
  <c r="R125" i="2" s="1"/>
  <c r="X189" i="2"/>
  <c r="R189" i="2" s="1"/>
  <c r="X168" i="2"/>
  <c r="R168" i="2" s="1"/>
  <c r="X163" i="2"/>
  <c r="R163" i="2" s="1"/>
  <c r="X173" i="2"/>
  <c r="R173" i="2" s="1"/>
  <c r="X140" i="2"/>
  <c r="R140" i="2" s="1"/>
  <c r="X141" i="2"/>
  <c r="R141" i="2" s="1"/>
  <c r="X119" i="2"/>
  <c r="R119" i="2" s="1"/>
  <c r="Y122" i="2"/>
  <c r="Y129" i="2"/>
  <c r="Y139" i="2"/>
  <c r="Y142" i="2"/>
  <c r="Y164" i="2"/>
  <c r="Y167" i="2"/>
  <c r="Y170" i="2"/>
  <c r="Y180" i="2"/>
  <c r="Y183" i="2"/>
  <c r="Y114" i="2"/>
  <c r="Y131" i="2"/>
  <c r="Y134" i="2"/>
  <c r="Y172" i="2"/>
  <c r="Y175" i="2"/>
  <c r="Y130" i="2"/>
  <c r="Y151" i="2"/>
  <c r="Y171" i="2"/>
  <c r="Y186" i="2"/>
  <c r="Y155" i="2"/>
  <c r="Y113" i="2"/>
  <c r="Y126" i="2"/>
  <c r="Y146" i="2"/>
  <c r="Y156" i="2"/>
  <c r="Y123" i="2"/>
  <c r="Y138" i="2"/>
  <c r="Y176" i="2"/>
  <c r="Y115" i="2"/>
  <c r="Y133" i="2"/>
  <c r="Y135" i="2"/>
  <c r="Y178" i="2"/>
  <c r="Y173" i="2"/>
  <c r="Y132" i="2"/>
  <c r="Y182" i="2"/>
  <c r="Y168" i="2"/>
  <c r="Y185" i="2"/>
  <c r="Y161" i="2"/>
  <c r="Y150" i="2"/>
  <c r="Y125" i="2"/>
  <c r="Y119" i="2"/>
  <c r="Y153" i="2"/>
  <c r="Y128" i="2"/>
  <c r="Y120" i="2"/>
  <c r="Y188" i="2"/>
  <c r="Y181" i="2"/>
  <c r="Y136" i="2"/>
  <c r="Y187" i="2"/>
  <c r="Y162" i="2"/>
  <c r="Y165" i="2"/>
  <c r="Y124" i="2"/>
  <c r="Y152" i="2"/>
  <c r="Y184" i="2"/>
  <c r="Y140" i="2"/>
  <c r="Y112" i="2"/>
  <c r="Y147" i="2"/>
  <c r="Y148" i="2"/>
  <c r="Y157" i="2"/>
  <c r="Y174" i="2"/>
  <c r="Y141" i="2"/>
  <c r="Y177" i="2"/>
  <c r="Y144" i="2"/>
  <c r="Y163" i="2"/>
  <c r="Y118" i="2"/>
  <c r="Y137" i="2"/>
  <c r="Y121" i="2"/>
  <c r="Y189" i="2"/>
  <c r="Y149" i="2"/>
  <c r="Y116" i="2"/>
  <c r="Y117" i="2"/>
  <c r="Y143" i="2"/>
  <c r="Y179" i="2"/>
  <c r="Y190" i="2"/>
  <c r="Y166" i="2"/>
  <c r="X16" i="2"/>
  <c r="R16" i="2" s="1"/>
  <c r="X30" i="2"/>
  <c r="R30" i="2" s="1"/>
  <c r="X26" i="2"/>
  <c r="R26" i="2" s="1"/>
  <c r="X15" i="2"/>
  <c r="R15" i="2" s="1"/>
  <c r="X21" i="2"/>
  <c r="R21" i="2" s="1"/>
  <c r="X24" i="2"/>
  <c r="R24" i="2" s="1"/>
  <c r="X14" i="2"/>
  <c r="R14" i="2" s="1"/>
  <c r="X17" i="2"/>
  <c r="R17" i="2" s="1"/>
  <c r="X23" i="2"/>
  <c r="R23" i="2" s="1"/>
  <c r="X22" i="2"/>
  <c r="R22" i="2" s="1"/>
  <c r="X29" i="2"/>
  <c r="R29" i="2" s="1"/>
  <c r="X19" i="2"/>
  <c r="R19" i="2" s="1"/>
  <c r="X18" i="2"/>
  <c r="R18" i="2" s="1"/>
  <c r="X20" i="2"/>
  <c r="R20" i="2" s="1"/>
  <c r="X13" i="2"/>
  <c r="R13" i="2" s="1"/>
  <c r="X12" i="2"/>
  <c r="R12" i="2" s="1"/>
  <c r="Y20" i="2"/>
  <c r="Y24" i="2"/>
  <c r="Y12" i="2"/>
  <c r="Y14" i="2"/>
  <c r="Y30" i="2"/>
  <c r="Y18" i="2"/>
  <c r="Y29" i="2"/>
  <c r="Y17" i="2"/>
  <c r="Y13" i="2"/>
  <c r="Y22" i="2"/>
  <c r="Y16" i="2"/>
  <c r="Y21" i="2"/>
  <c r="Y23" i="2"/>
  <c r="Y26" i="2"/>
  <c r="Y15" i="2"/>
  <c r="Y19" i="2"/>
  <c r="Y10" i="2"/>
  <c r="S10" i="2" s="1"/>
  <c r="Q38" i="37"/>
  <c r="Q37" i="37"/>
  <c r="Q34" i="37"/>
  <c r="H13" i="35"/>
  <c r="H15" i="35"/>
  <c r="H14" i="35"/>
  <c r="O29" i="18"/>
  <c r="F21" i="31"/>
  <c r="B49" i="17"/>
  <c r="B50" i="17"/>
  <c r="P24" i="28"/>
  <c r="O23" i="38"/>
  <c r="K31" i="38"/>
  <c r="E12" i="38" s="1"/>
  <c r="J41" i="18"/>
  <c r="N31" i="38"/>
  <c r="L41" i="18"/>
  <c r="K41" i="18"/>
  <c r="X10" i="2"/>
  <c r="R10" i="2" s="1"/>
  <c r="H45" i="35" l="1"/>
  <c r="Q30" i="37"/>
  <c r="Q29" i="37"/>
  <c r="Q33" i="37"/>
  <c r="Q35" i="37"/>
  <c r="Q36" i="37"/>
  <c r="Q31" i="37"/>
  <c r="K20" i="37"/>
  <c r="W20" i="37" s="1"/>
  <c r="K24" i="37"/>
  <c r="Q24" i="37" s="1"/>
  <c r="K23" i="37"/>
  <c r="S119" i="2"/>
  <c r="U119" i="2"/>
  <c r="S179" i="2"/>
  <c r="U179" i="2"/>
  <c r="S118" i="2"/>
  <c r="U118" i="2"/>
  <c r="S147" i="2"/>
  <c r="U147" i="2"/>
  <c r="S187" i="2"/>
  <c r="U187" i="2"/>
  <c r="S125" i="2"/>
  <c r="U125" i="2"/>
  <c r="U178" i="2"/>
  <c r="S178" i="2"/>
  <c r="S146" i="2"/>
  <c r="U146" i="2"/>
  <c r="S175" i="2"/>
  <c r="U175" i="2"/>
  <c r="U167" i="2"/>
  <c r="S167" i="2"/>
  <c r="S137" i="2"/>
  <c r="U137" i="2"/>
  <c r="S130" i="2"/>
  <c r="U130" i="2"/>
  <c r="U143" i="2"/>
  <c r="S143" i="2"/>
  <c r="U150" i="2"/>
  <c r="S150" i="2"/>
  <c r="S164" i="2"/>
  <c r="U164" i="2"/>
  <c r="S190" i="2"/>
  <c r="U190" i="2"/>
  <c r="S173" i="2"/>
  <c r="U173" i="2"/>
  <c r="S112" i="2"/>
  <c r="U112" i="2"/>
  <c r="U135" i="2"/>
  <c r="S135" i="2"/>
  <c r="S117" i="2"/>
  <c r="U117" i="2"/>
  <c r="U144" i="2"/>
  <c r="S144" i="2"/>
  <c r="U140" i="2"/>
  <c r="S140" i="2"/>
  <c r="S181" i="2"/>
  <c r="U181" i="2"/>
  <c r="U161" i="2"/>
  <c r="S161" i="2"/>
  <c r="S133" i="2"/>
  <c r="U133" i="2"/>
  <c r="S113" i="2"/>
  <c r="U113" i="2"/>
  <c r="U134" i="2"/>
  <c r="S134" i="2"/>
  <c r="S142" i="2"/>
  <c r="U142" i="2"/>
  <c r="S141" i="2"/>
  <c r="U141" i="2"/>
  <c r="S152" i="2"/>
  <c r="U152" i="2"/>
  <c r="U120" i="2"/>
  <c r="S120" i="2"/>
  <c r="S168" i="2"/>
  <c r="U168" i="2"/>
  <c r="U176" i="2"/>
  <c r="S176" i="2"/>
  <c r="S186" i="2"/>
  <c r="U186" i="2"/>
  <c r="S114" i="2"/>
  <c r="U114" i="2"/>
  <c r="U129" i="2"/>
  <c r="S129" i="2"/>
  <c r="U148" i="2"/>
  <c r="S148" i="2"/>
  <c r="U156" i="2"/>
  <c r="S156" i="2"/>
  <c r="S136" i="2"/>
  <c r="U136" i="2"/>
  <c r="U172" i="2"/>
  <c r="S172" i="2"/>
  <c r="S177" i="2"/>
  <c r="U177" i="2"/>
  <c r="U188" i="2"/>
  <c r="S188" i="2"/>
  <c r="U115" i="2"/>
  <c r="S115" i="2"/>
  <c r="U131" i="2"/>
  <c r="S131" i="2"/>
  <c r="U139" i="2"/>
  <c r="S139" i="2"/>
  <c r="U189" i="2"/>
  <c r="S189" i="2"/>
  <c r="S174" i="2"/>
  <c r="U174" i="2"/>
  <c r="U124" i="2"/>
  <c r="S124" i="2"/>
  <c r="U128" i="2"/>
  <c r="S128" i="2"/>
  <c r="S182" i="2"/>
  <c r="U182" i="2"/>
  <c r="S138" i="2"/>
  <c r="U138" i="2"/>
  <c r="U171" i="2"/>
  <c r="S171" i="2"/>
  <c r="S183" i="2"/>
  <c r="U183" i="2"/>
  <c r="S122" i="2"/>
  <c r="U122" i="2"/>
  <c r="S162" i="2"/>
  <c r="U162" i="2"/>
  <c r="S170" i="2"/>
  <c r="U170" i="2"/>
  <c r="U163" i="2"/>
  <c r="S163" i="2"/>
  <c r="S126" i="2"/>
  <c r="U126" i="2"/>
  <c r="S116" i="2"/>
  <c r="U116" i="2"/>
  <c r="S184" i="2"/>
  <c r="U184" i="2"/>
  <c r="S185" i="2"/>
  <c r="U185" i="2"/>
  <c r="U155" i="2"/>
  <c r="S155" i="2"/>
  <c r="U166" i="2"/>
  <c r="S166" i="2"/>
  <c r="S121" i="2"/>
  <c r="U121" i="2"/>
  <c r="S157" i="2"/>
  <c r="U157" i="2"/>
  <c r="S165" i="2"/>
  <c r="U165" i="2"/>
  <c r="U153" i="2"/>
  <c r="S153" i="2"/>
  <c r="U132" i="2"/>
  <c r="S132" i="2"/>
  <c r="U123" i="2"/>
  <c r="S123" i="2"/>
  <c r="S151" i="2"/>
  <c r="U151" i="2"/>
  <c r="S180" i="2"/>
  <c r="U180" i="2"/>
  <c r="K16" i="37"/>
  <c r="S19" i="2"/>
  <c r="U19" i="2"/>
  <c r="U23" i="2"/>
  <c r="S23" i="2"/>
  <c r="U30" i="2"/>
  <c r="S30" i="2"/>
  <c r="S21" i="2"/>
  <c r="U21" i="2"/>
  <c r="U14" i="2"/>
  <c r="S14" i="2"/>
  <c r="S16" i="2"/>
  <c r="U16" i="2"/>
  <c r="S12" i="2"/>
  <c r="U12" i="2"/>
  <c r="S17" i="2"/>
  <c r="U17" i="2"/>
  <c r="U15" i="2"/>
  <c r="S15" i="2"/>
  <c r="S26" i="2"/>
  <c r="U26" i="2"/>
  <c r="U18" i="2"/>
  <c r="S18" i="2"/>
  <c r="U22" i="2"/>
  <c r="S22" i="2"/>
  <c r="U29" i="2"/>
  <c r="S29" i="2"/>
  <c r="S24" i="2"/>
  <c r="U24" i="2"/>
  <c r="S13" i="2"/>
  <c r="U13" i="2"/>
  <c r="S20" i="2"/>
  <c r="U20" i="2"/>
  <c r="U10" i="2"/>
  <c r="K17" i="37"/>
  <c r="B26" i="37"/>
  <c r="E14" i="18"/>
  <c r="B53" i="17"/>
  <c r="E14" i="38"/>
  <c r="Q40" i="37" l="1"/>
  <c r="Q20" i="37"/>
  <c r="N20" i="37"/>
  <c r="T20" i="37" s="1"/>
  <c r="L20" i="37"/>
  <c r="X20" i="37" s="1"/>
  <c r="W24" i="37"/>
  <c r="N24" i="37"/>
  <c r="T24" i="37" s="1"/>
  <c r="L24" i="37"/>
  <c r="R24" i="37" s="1"/>
  <c r="L23" i="37"/>
  <c r="R23" i="37" s="1"/>
  <c r="N23" i="37"/>
  <c r="Z23" i="37" s="1"/>
  <c r="Q23" i="37"/>
  <c r="W23" i="37"/>
  <c r="L16" i="37"/>
  <c r="R16" i="37" s="1"/>
  <c r="K15" i="37"/>
  <c r="Q15" i="37" s="1"/>
  <c r="N16" i="37"/>
  <c r="T16" i="37" s="1"/>
  <c r="N17" i="37"/>
  <c r="T17" i="37" s="1"/>
  <c r="O17" i="37"/>
  <c r="O16" i="37"/>
  <c r="L17" i="37"/>
  <c r="M16" i="37"/>
  <c r="Y16" i="37" s="1"/>
  <c r="M17" i="37"/>
  <c r="N15" i="37"/>
  <c r="M15" i="37"/>
  <c r="E16" i="38"/>
  <c r="K46" i="38" s="1"/>
  <c r="K45" i="38"/>
  <c r="P16" i="37"/>
  <c r="V15" i="37"/>
  <c r="V16" i="37"/>
  <c r="E17" i="18"/>
  <c r="K48" i="18" s="1"/>
  <c r="K46" i="18"/>
  <c r="J26" i="37"/>
  <c r="P17" i="37"/>
  <c r="V17" i="37"/>
  <c r="E17" i="38"/>
  <c r="E16" i="18"/>
  <c r="Z24" i="37" l="1"/>
  <c r="Z20" i="37"/>
  <c r="X24" i="37"/>
  <c r="R20" i="37"/>
  <c r="T23" i="37"/>
  <c r="X23" i="37"/>
  <c r="E18" i="18"/>
  <c r="R17" i="37"/>
  <c r="O15" i="37"/>
  <c r="AA15" i="37" s="1"/>
  <c r="L15" i="37"/>
  <c r="X16" i="37"/>
  <c r="M6" i="28"/>
  <c r="Z17" i="37"/>
  <c r="Z16" i="37"/>
  <c r="N26" i="37"/>
  <c r="K53" i="18" s="1"/>
  <c r="Y15" i="37"/>
  <c r="X17" i="37"/>
  <c r="S16" i="37"/>
  <c r="V26" i="37"/>
  <c r="E18" i="38"/>
  <c r="E20" i="38" s="1"/>
  <c r="K47" i="38"/>
  <c r="Q16" i="37"/>
  <c r="Q17" i="37"/>
  <c r="W15" i="37"/>
  <c r="S17" i="37"/>
  <c r="Y17" i="37"/>
  <c r="U17" i="37"/>
  <c r="AA17" i="37"/>
  <c r="W16" i="37"/>
  <c r="U16" i="37"/>
  <c r="AA16" i="37"/>
  <c r="P26" i="37"/>
  <c r="W17" i="37"/>
  <c r="K47" i="18"/>
  <c r="K26" i="37"/>
  <c r="Z15" i="37"/>
  <c r="X15" i="37" l="1"/>
  <c r="X26" i="37" s="1"/>
  <c r="R15" i="37"/>
  <c r="R26" i="37" s="1"/>
  <c r="O26" i="37"/>
  <c r="L26" i="37"/>
  <c r="U15" i="37"/>
  <c r="U26" i="37" s="1"/>
  <c r="Z26" i="37"/>
  <c r="M26" i="37"/>
  <c r="S15" i="37"/>
  <c r="S26" i="37" s="1"/>
  <c r="Y26" i="37"/>
  <c r="Q26" i="37"/>
  <c r="AA26" i="37"/>
  <c r="W26" i="37"/>
  <c r="T15" i="37"/>
  <c r="T26" i="37" s="1"/>
  <c r="E20" i="18"/>
  <c r="C29" i="17" s="1"/>
  <c r="C31" i="17" s="1"/>
  <c r="C34" i="17" s="1"/>
  <c r="C21" i="17" s="1"/>
  <c r="C24" i="17" s="1"/>
  <c r="E21" i="38" s="1"/>
  <c r="K48" i="38" l="1"/>
  <c r="E22" i="38"/>
  <c r="E21" i="18"/>
  <c r="K49" i="18" l="1"/>
  <c r="E22" i="18"/>
  <c r="E24" i="38"/>
  <c r="K49" i="38" s="1"/>
  <c r="E25" i="38" l="1"/>
  <c r="E24" i="18"/>
  <c r="K50" i="18" s="1"/>
  <c r="E25" i="18" l="1"/>
  <c r="E32" i="18" s="1"/>
  <c r="E31" i="38"/>
  <c r="E42" i="38" l="1"/>
  <c r="E43" i="18"/>
  <c r="E47" i="18" l="1"/>
  <c r="E46" i="38"/>
  <c r="F42" i="38" l="1"/>
  <c r="J32" i="37"/>
  <c r="I32" i="37"/>
  <c r="O32" i="37" s="1"/>
  <c r="B32" i="37"/>
  <c r="H32" i="37" s="1"/>
  <c r="C32" i="37"/>
  <c r="F44" i="38"/>
  <c r="K61" i="38"/>
  <c r="K63" i="38" s="1"/>
  <c r="I30" i="37"/>
  <c r="I36" i="37"/>
  <c r="I34" i="37"/>
  <c r="F39" i="38"/>
  <c r="F36" i="38"/>
  <c r="J36" i="37"/>
  <c r="I29" i="37"/>
  <c r="F33" i="38"/>
  <c r="J37" i="37"/>
  <c r="F40" i="38"/>
  <c r="J35" i="37"/>
  <c r="F35" i="38"/>
  <c r="F18" i="38"/>
  <c r="F34" i="38"/>
  <c r="J39" i="37"/>
  <c r="I33" i="37"/>
  <c r="I38" i="37"/>
  <c r="I35" i="37"/>
  <c r="F38" i="38"/>
  <c r="J38" i="37"/>
  <c r="J34" i="37"/>
  <c r="J31" i="37"/>
  <c r="J33" i="37"/>
  <c r="I39" i="37"/>
  <c r="J29" i="37"/>
  <c r="J30" i="37"/>
  <c r="F37" i="38"/>
  <c r="I37" i="37"/>
  <c r="I31" i="37"/>
  <c r="F22" i="38"/>
  <c r="F25" i="38"/>
  <c r="E48" i="38"/>
  <c r="K65" i="38" s="1"/>
  <c r="E52" i="38"/>
  <c r="E50" i="38"/>
  <c r="F31" i="38"/>
  <c r="C29" i="37"/>
  <c r="F18" i="18"/>
  <c r="F38" i="18"/>
  <c r="C30" i="37"/>
  <c r="B29" i="37"/>
  <c r="F35" i="18"/>
  <c r="B33" i="37"/>
  <c r="F40" i="18"/>
  <c r="B38" i="37"/>
  <c r="B39" i="37"/>
  <c r="B34" i="37"/>
  <c r="F37" i="18"/>
  <c r="B35" i="37"/>
  <c r="F36" i="18"/>
  <c r="C38" i="37"/>
  <c r="B30" i="37"/>
  <c r="F34" i="18"/>
  <c r="C39" i="37"/>
  <c r="C35" i="37"/>
  <c r="C33" i="37"/>
  <c r="C36" i="37"/>
  <c r="C34" i="37"/>
  <c r="C31" i="37"/>
  <c r="B36" i="37"/>
  <c r="F41" i="18"/>
  <c r="B37" i="37"/>
  <c r="F39" i="18"/>
  <c r="C37" i="37"/>
  <c r="B31" i="37"/>
  <c r="F22" i="18"/>
  <c r="E53" i="18"/>
  <c r="E51" i="18"/>
  <c r="E49" i="18"/>
  <c r="K66" i="18" s="1"/>
  <c r="F25" i="18"/>
  <c r="F32" i="18"/>
  <c r="F45" i="18"/>
  <c r="K62" i="18"/>
  <c r="K64" i="18" s="1"/>
  <c r="F43" i="18"/>
  <c r="R32" i="37" l="1"/>
  <c r="S32" i="37" s="1"/>
  <c r="F46" i="38"/>
  <c r="D32" i="37"/>
  <c r="E32" i="37"/>
  <c r="N32" i="37"/>
  <c r="M32" i="37"/>
  <c r="F32" i="37"/>
  <c r="G32" i="37"/>
  <c r="L32" i="37"/>
  <c r="K32" i="37"/>
  <c r="E31" i="37"/>
  <c r="D40" i="37"/>
  <c r="D33" i="37"/>
  <c r="D38" i="37"/>
  <c r="D39" i="37"/>
  <c r="D31" i="37"/>
  <c r="E30" i="37"/>
  <c r="D36" i="37"/>
  <c r="E29" i="37"/>
  <c r="E35" i="37"/>
  <c r="E36" i="37"/>
  <c r="E38" i="37"/>
  <c r="D37" i="37"/>
  <c r="D29" i="37"/>
  <c r="E39" i="37"/>
  <c r="E37" i="37"/>
  <c r="D34" i="37"/>
  <c r="E33" i="37"/>
  <c r="K68" i="18"/>
  <c r="D30" i="37"/>
  <c r="E34" i="37"/>
  <c r="D35" i="37"/>
  <c r="C40" i="37"/>
  <c r="G39" i="37"/>
  <c r="G34" i="37"/>
  <c r="F39" i="37"/>
  <c r="F35" i="37"/>
  <c r="G30" i="37"/>
  <c r="G29" i="37"/>
  <c r="F31" i="37"/>
  <c r="P31" i="37"/>
  <c r="G36" i="37"/>
  <c r="G31" i="37"/>
  <c r="F38" i="37"/>
  <c r="F29" i="37"/>
  <c r="G33" i="37"/>
  <c r="G38" i="37"/>
  <c r="G35" i="37"/>
  <c r="G37" i="37"/>
  <c r="F33" i="37"/>
  <c r="K70" i="18"/>
  <c r="F36" i="37"/>
  <c r="F37" i="37"/>
  <c r="F30" i="37"/>
  <c r="F34" i="37"/>
  <c r="H11" i="31"/>
  <c r="H21" i="31" s="1"/>
  <c r="P34" i="37"/>
  <c r="F47" i="18"/>
  <c r="B40" i="37"/>
  <c r="N31" i="37"/>
  <c r="M31" i="37"/>
  <c r="M29" i="37"/>
  <c r="N34" i="37"/>
  <c r="M39" i="37"/>
  <c r="N36" i="37"/>
  <c r="M30" i="37"/>
  <c r="K69" i="38"/>
  <c r="N38" i="37"/>
  <c r="N35" i="37"/>
  <c r="N30" i="37"/>
  <c r="M35" i="37"/>
  <c r="N29" i="37"/>
  <c r="N37" i="37"/>
  <c r="N33" i="37"/>
  <c r="M36" i="37"/>
  <c r="N39" i="37"/>
  <c r="M38" i="37"/>
  <c r="M34" i="37"/>
  <c r="M37" i="37"/>
  <c r="M33" i="37"/>
  <c r="J40" i="37"/>
  <c r="L30" i="37"/>
  <c r="K36" i="37"/>
  <c r="L31" i="37"/>
  <c r="K34" i="37"/>
  <c r="K31" i="37"/>
  <c r="K67" i="38"/>
  <c r="L38" i="37"/>
  <c r="L35" i="37"/>
  <c r="K30" i="37"/>
  <c r="L29" i="37"/>
  <c r="L33" i="37"/>
  <c r="K35" i="37"/>
  <c r="K38" i="37"/>
  <c r="L37" i="37"/>
  <c r="K39" i="37"/>
  <c r="L36" i="37"/>
  <c r="L34" i="37"/>
  <c r="K33" i="37"/>
  <c r="K37" i="37"/>
  <c r="L39" i="37"/>
  <c r="K29" i="37"/>
  <c r="I40" i="37"/>
  <c r="P30" i="37" l="1"/>
  <c r="P38" i="37"/>
  <c r="O39" i="37"/>
  <c r="O36" i="37"/>
  <c r="O35" i="37"/>
  <c r="O31" i="37"/>
  <c r="O37" i="37"/>
  <c r="O34" i="37"/>
  <c r="O38" i="37"/>
  <c r="O33" i="37"/>
  <c r="O30" i="37"/>
  <c r="H38" i="37"/>
  <c r="H37" i="37"/>
  <c r="H29" i="37"/>
  <c r="H33" i="37"/>
  <c r="H31" i="37"/>
  <c r="H35" i="37"/>
  <c r="H36" i="37"/>
  <c r="H39" i="37"/>
  <c r="H34" i="37"/>
  <c r="H30" i="37"/>
  <c r="E40" i="37"/>
  <c r="N40" i="37"/>
  <c r="K40" i="37"/>
  <c r="M40" i="37"/>
  <c r="L40" i="37"/>
  <c r="G40" i="37"/>
  <c r="O29" i="37"/>
  <c r="P29" i="37"/>
  <c r="F40" i="37"/>
  <c r="R36" i="37" l="1"/>
  <c r="S36" i="37" s="1"/>
  <c r="P40" i="37"/>
  <c r="R29" i="37"/>
  <c r="R39" i="37"/>
  <c r="S39" i="37" s="1"/>
  <c r="R35" i="37"/>
  <c r="S35" i="37" s="1"/>
  <c r="R34" i="37"/>
  <c r="S34" i="37" s="1"/>
  <c r="R33" i="37"/>
  <c r="S33" i="37" s="1"/>
  <c r="R37" i="37"/>
  <c r="S37" i="37" s="1"/>
  <c r="R38" i="37"/>
  <c r="S38" i="37" s="1"/>
  <c r="R31" i="37"/>
  <c r="S31" i="37" s="1"/>
  <c r="R30" i="37"/>
  <c r="S30" i="37" s="1"/>
  <c r="O40" i="37"/>
  <c r="H40" i="37"/>
  <c r="S29" i="37" l="1"/>
  <c r="R40" i="37"/>
  <c r="P1" i="37" s="1"/>
  <c r="P2" i="37" s="1"/>
  <c r="P3" i="37" s="1"/>
  <c r="S40" i="37" l="1"/>
</calcChain>
</file>

<file path=xl/sharedStrings.xml><?xml version="1.0" encoding="utf-8"?>
<sst xmlns="http://schemas.openxmlformats.org/spreadsheetml/2006/main" count="2406" uniqueCount="674">
  <si>
    <t>Naam opdrachtgever</t>
  </si>
  <si>
    <t>Calculatie onderdeel</t>
  </si>
  <si>
    <t>Gebouw/plaats</t>
  </si>
  <si>
    <t>Referentie nummer</t>
  </si>
  <si>
    <t>Invoervelden</t>
  </si>
  <si>
    <t>Minimale taakgrootte</t>
  </si>
  <si>
    <t>EINDTOTAAL KOSTEN PER JAAR  EXCLUSIEF BTW         INSCHRIJVINGSBEDRAG</t>
  </si>
  <si>
    <t>uur per dag</t>
  </si>
  <si>
    <t>btw</t>
  </si>
  <si>
    <t>SED organisatie</t>
  </si>
  <si>
    <t>Totale kosten per jaar inclusief btw</t>
  </si>
  <si>
    <t>Toezicht percentage</t>
  </si>
  <si>
    <t>Perceel 1</t>
  </si>
  <si>
    <t>per prod. Uur</t>
  </si>
  <si>
    <t>MAXIMALE BOVENGRENS PLAFONDBEDRAG INSCHRIJVINGSBEDRAG</t>
  </si>
  <si>
    <t>Naam dienstverlener</t>
  </si>
  <si>
    <t>Prijspeil</t>
  </si>
  <si>
    <t>SUPPLETIEKOSTEN OVERNAME PERSONEEL</t>
  </si>
  <si>
    <t>Versie</t>
  </si>
  <si>
    <t>Aanbesteding calculatiemodel versie 1</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</si>
  <si>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</si>
  <si>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</si>
  <si>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</si>
  <si>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</si>
  <si>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</si>
  <si>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</si>
  <si>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 in scope</t>
  </si>
  <si>
    <t>Locatie factor</t>
  </si>
  <si>
    <t>Hoogste frequentie ma t/m vr</t>
  </si>
  <si>
    <t>Hoogste frequentie ma t/m vr naloop</t>
  </si>
  <si>
    <t>Hoogste frequentie za - zo</t>
  </si>
  <si>
    <t>Hoogste frequentie za - zo naloop</t>
  </si>
  <si>
    <t>Hoogste frequentie feestdag</t>
  </si>
  <si>
    <t>Hoogste frequentie feestdag naloop</t>
  </si>
  <si>
    <t>Productie uren ma t/m vr</t>
  </si>
  <si>
    <t>Productie uren ma t/m vr naloop</t>
  </si>
  <si>
    <t>Productie uren za - zo</t>
  </si>
  <si>
    <t>Productie uren za - zo naloop</t>
  </si>
  <si>
    <t>Productie uren feestdag</t>
  </si>
  <si>
    <t>Productie uren feestdag naloop</t>
  </si>
  <si>
    <t>Uren minimale taakgrootte ma t/m vrij</t>
  </si>
  <si>
    <t>Uren minimale taakgrootte ma t/m vrij naloop</t>
  </si>
  <si>
    <t>Uren minimale taakgrootte za - zo</t>
  </si>
  <si>
    <t>Uren minimale taakgrootte za - zo naloop</t>
  </si>
  <si>
    <t>Uren minimale taakgrootte feestdag</t>
  </si>
  <si>
    <t>Uren minimale taakgrootte feestdag naloop</t>
  </si>
  <si>
    <t>Toezicht uren per jaar ma t/m vr</t>
  </si>
  <si>
    <t>Toezicht uren per jaar ma t/m vr naloop</t>
  </si>
  <si>
    <t>Toezicht uren per jaar za - zo</t>
  </si>
  <si>
    <t>Toezicht uren per jaar za - zo naloop</t>
  </si>
  <si>
    <t>Toezicht uren per jaar feestdag</t>
  </si>
  <si>
    <t>Toezicht uren per jaar feestdag naloop</t>
  </si>
  <si>
    <t>De Bonte veer, gymzaal</t>
  </si>
  <si>
    <t>De Drecht, Sporthal</t>
  </si>
  <si>
    <t>De Wiekslag Enkhuizen</t>
  </si>
  <si>
    <t xml:space="preserve">Begraafplaats Emmaplein </t>
  </si>
  <si>
    <t>Goudenregenstraat SITM</t>
  </si>
  <si>
    <t>Havenkantoor</t>
  </si>
  <si>
    <t>Kruitmolen Handhaving Toezicht</t>
  </si>
  <si>
    <t>Sportzaal de Sprong</t>
  </si>
  <si>
    <t>Stadhuis Enkhuizen</t>
  </si>
  <si>
    <t>Toiletgebouw Haven</t>
  </si>
  <si>
    <t>Algemeen</t>
  </si>
  <si>
    <t>Totaal</t>
  </si>
  <si>
    <t>Kosten productie per jaar ma t/m vr incl minimale taakgrootte</t>
  </si>
  <si>
    <t>Kosten productie per jaar ma t/m vr naloop incl minimale taakgrootte</t>
  </si>
  <si>
    <t>Kosten productie per jaar za - zo incl minimale taakgrootte</t>
  </si>
  <si>
    <t>Kosten productie per jaar za / zo / fe naloop incl minimale taakgrootte</t>
  </si>
  <si>
    <t>Kosten productie per jaar feestdag incl minimale taakgrootte</t>
  </si>
  <si>
    <t>Kosten productie per jaar feestdag naloop incl minimale taakgrootte</t>
  </si>
  <si>
    <t>Totale kosten productie per jaar</t>
  </si>
  <si>
    <t xml:space="preserve">Kosten toezicht per jaar ma t/m vr </t>
  </si>
  <si>
    <t>Kosten toezicht per jaar ma t/m vr naloop</t>
  </si>
  <si>
    <t>Kosten toezicht per jaar za - zo</t>
  </si>
  <si>
    <t>Kosten toezicht per jaar za / zo / fe naloop</t>
  </si>
  <si>
    <t>Kosten toezicht per jaar feestdag</t>
  </si>
  <si>
    <t>Kosten toezicht per jaar feestdag naloop</t>
  </si>
  <si>
    <t>Totale kosten toezicht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</si>
  <si>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</si>
  <si>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</si>
  <si>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</si>
  <si>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</si>
  <si>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</si>
  <si>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</si>
  <si>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</si>
  <si>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</si>
  <si>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</si>
  <si>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</si>
  <si>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</si>
  <si>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</si>
  <si>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Naloop weekend / feestdag opslag</t>
  </si>
  <si>
    <t>VSR Code</t>
  </si>
  <si>
    <t>Administratieve ruimten</t>
  </si>
  <si>
    <t>B</t>
  </si>
  <si>
    <t>Doucheruimten</t>
  </si>
  <si>
    <t>S</t>
  </si>
  <si>
    <t>Entree</t>
  </si>
  <si>
    <t>V</t>
  </si>
  <si>
    <t>Gang, hal</t>
  </si>
  <si>
    <t>Keuken/pantry/koffiecorner</t>
  </si>
  <si>
    <t>Kleedruimten</t>
  </si>
  <si>
    <t>Lift</t>
  </si>
  <si>
    <t>Opslagruimte</t>
  </si>
  <si>
    <t>Sanitaire ruimten</t>
  </si>
  <si>
    <t>Sportzaal</t>
  </si>
  <si>
    <t>Trappenhuis</t>
  </si>
  <si>
    <t>Tribune</t>
  </si>
  <si>
    <t>Vergaderruimten</t>
  </si>
  <si>
    <t>Verkeersruimte</t>
  </si>
  <si>
    <t>Kolom voor matrix</t>
  </si>
  <si>
    <t>Frequentie verklaring</t>
  </si>
  <si>
    <t>Freq</t>
  </si>
  <si>
    <t>Kolom</t>
  </si>
  <si>
    <t>1 x per maand</t>
  </si>
  <si>
    <t>1 x per week (40 weken)</t>
  </si>
  <si>
    <t>1 x per week (52 weken)</t>
  </si>
  <si>
    <t>2 x per week (40 weken)</t>
  </si>
  <si>
    <t>2 x per week (52 weken)</t>
  </si>
  <si>
    <t>3 x per week (40 weken)</t>
  </si>
  <si>
    <t>3 x per week (52 weken)</t>
  </si>
  <si>
    <t>5x per week (30 weken) en 2x per week (20 weken)</t>
  </si>
  <si>
    <t>5 x per week (40 weken)</t>
  </si>
  <si>
    <t>4x per week (52 weken)</t>
  </si>
  <si>
    <t>ma t/m vrij seizoen sanitair haven</t>
  </si>
  <si>
    <t>5 x per week (52 weken)</t>
  </si>
  <si>
    <t>% van reguliere norm</t>
  </si>
  <si>
    <t>Gebouw</t>
  </si>
  <si>
    <t>Adres</t>
  </si>
  <si>
    <t>Verdieping</t>
  </si>
  <si>
    <t>Ruimte nummer</t>
  </si>
  <si>
    <t>Ruimteomschrijving opdrachtgever</t>
  </si>
  <si>
    <t>Ruimte categorie</t>
  </si>
  <si>
    <t>Vloer soort</t>
  </si>
  <si>
    <t xml:space="preserve">M2 vloer </t>
  </si>
  <si>
    <t>Totaal frequentie</t>
  </si>
  <si>
    <t>Freq. ma-vr</t>
  </si>
  <si>
    <t>Freq. ma-vr naloop</t>
  </si>
  <si>
    <t xml:space="preserve">Freq zat - zon </t>
  </si>
  <si>
    <t>Freq. zat-zon naloop</t>
  </si>
  <si>
    <t xml:space="preserve">Freq  feestdag </t>
  </si>
  <si>
    <t>Freq feestdag naloop</t>
  </si>
  <si>
    <t>Uren p/j ma t/m vrij</t>
  </si>
  <si>
    <t>Uren p/j ma t/m vrij naloop</t>
  </si>
  <si>
    <t>Uren p/j zat - zon</t>
  </si>
  <si>
    <t>Uren p/j zat-zonj naloop</t>
  </si>
  <si>
    <t>Uren p/j feestdag</t>
  </si>
  <si>
    <t>Uren p/j feestdag naloop</t>
  </si>
  <si>
    <t>Norm ma t/m vr</t>
  </si>
  <si>
    <t>VSR code</t>
  </si>
  <si>
    <t>ER KMS code</t>
  </si>
  <si>
    <t>Bijzonderheden / opmerkingen</t>
  </si>
  <si>
    <t>M2 per jaar</t>
  </si>
  <si>
    <t>Breedstraat 53 1601 KA</t>
  </si>
  <si>
    <t>Bg</t>
  </si>
  <si>
    <t>N.v.t</t>
  </si>
  <si>
    <t>Hoofd ingang</t>
  </si>
  <si>
    <t>tapijt</t>
  </si>
  <si>
    <t>Centrale hal</t>
  </si>
  <si>
    <t>natuursteen</t>
  </si>
  <si>
    <t>Bode kamer</t>
  </si>
  <si>
    <t>Achter kamer</t>
  </si>
  <si>
    <t>Griffie kamer</t>
  </si>
  <si>
    <t>Balie/spreekkamer</t>
  </si>
  <si>
    <t>kantoor</t>
  </si>
  <si>
    <t>toilet</t>
  </si>
  <si>
    <t>steen</t>
  </si>
  <si>
    <t>Gang/opslag</t>
  </si>
  <si>
    <t>Miva</t>
  </si>
  <si>
    <t>Dames toilet</t>
  </si>
  <si>
    <t>Heren toilet</t>
  </si>
  <si>
    <t>Hal/overloop</t>
  </si>
  <si>
    <t>Achter uitgang</t>
  </si>
  <si>
    <t>inloopmat</t>
  </si>
  <si>
    <t>lino</t>
  </si>
  <si>
    <t>archief</t>
  </si>
  <si>
    <t>trap/overloop naar keuken</t>
  </si>
  <si>
    <t>1e</t>
  </si>
  <si>
    <t>overloop</t>
  </si>
  <si>
    <t>raadzaal hout/tapijt</t>
  </si>
  <si>
    <t>Trouwzaal hout/tapijt</t>
  </si>
  <si>
    <t>De witte zaal</t>
  </si>
  <si>
    <t>Wees meesterkamer</t>
  </si>
  <si>
    <t>Comimissaren deur gerecht zaal</t>
  </si>
  <si>
    <t>Burgermeester kantoor</t>
  </si>
  <si>
    <t>Keuken</t>
  </si>
  <si>
    <t>linoleum</t>
  </si>
  <si>
    <t>2e</t>
  </si>
  <si>
    <t>kantoor incl pantry</t>
  </si>
  <si>
    <t xml:space="preserve">Kievitstraat 54, 1602 PP  </t>
  </si>
  <si>
    <t>Onbekend</t>
  </si>
  <si>
    <t>WS001</t>
  </si>
  <si>
    <t>entree</t>
  </si>
  <si>
    <t>tegels</t>
  </si>
  <si>
    <t>WS002</t>
  </si>
  <si>
    <t>WS003</t>
  </si>
  <si>
    <t>werkkast</t>
  </si>
  <si>
    <t>Niet in onderhoud</t>
  </si>
  <si>
    <t>nio</t>
  </si>
  <si>
    <t>WS004</t>
  </si>
  <si>
    <t>kleedkamer 1</t>
  </si>
  <si>
    <t>WS005</t>
  </si>
  <si>
    <t>kleedkamer 2</t>
  </si>
  <si>
    <t>WS006</t>
  </si>
  <si>
    <t>was- douchelokaal 2</t>
  </si>
  <si>
    <t>WS007</t>
  </si>
  <si>
    <t>toilet kleedkamer 2</t>
  </si>
  <si>
    <t>WS008</t>
  </si>
  <si>
    <t>was- en douchelokaal 1</t>
  </si>
  <si>
    <t>WS009</t>
  </si>
  <si>
    <t>toilet kleedkamer 1</t>
  </si>
  <si>
    <t>WS010</t>
  </si>
  <si>
    <t>douche leraar</t>
  </si>
  <si>
    <t>WS011</t>
  </si>
  <si>
    <t>toilet leraar</t>
  </si>
  <si>
    <t>WS012</t>
  </si>
  <si>
    <t>kleedruimte leraar</t>
  </si>
  <si>
    <t>WS013</t>
  </si>
  <si>
    <t>toestellenberging</t>
  </si>
  <si>
    <t>kurklinoleum op kurkcement</t>
  </si>
  <si>
    <t>WS014</t>
  </si>
  <si>
    <t>sportzaal</t>
  </si>
  <si>
    <t>WS015</t>
  </si>
  <si>
    <t>cv ruimte</t>
  </si>
  <si>
    <t>beton</t>
  </si>
  <si>
    <t>Noorder Boerenvaart 11</t>
  </si>
  <si>
    <t>begane grond</t>
  </si>
  <si>
    <t>sportvloer</t>
  </si>
  <si>
    <t>materiaal opslag</t>
  </si>
  <si>
    <t>tribune</t>
  </si>
  <si>
    <t>kleedkamer heren</t>
  </si>
  <si>
    <t>douche</t>
  </si>
  <si>
    <t>hout</t>
  </si>
  <si>
    <t>pantry</t>
  </si>
  <si>
    <t>kleedkamer dames</t>
  </si>
  <si>
    <t>gang</t>
  </si>
  <si>
    <t>Boendersveld 1</t>
  </si>
  <si>
    <t>bg</t>
  </si>
  <si>
    <t>mat/tegel</t>
  </si>
  <si>
    <t xml:space="preserve">hal </t>
  </si>
  <si>
    <t>tegel</t>
  </si>
  <si>
    <t>miva toilet</t>
  </si>
  <si>
    <t>EHBO</t>
  </si>
  <si>
    <t>kleedruimte 1</t>
  </si>
  <si>
    <t>kleedruimte 2</t>
  </si>
  <si>
    <t>scholengang</t>
  </si>
  <si>
    <t>douche/toilet leraar</t>
  </si>
  <si>
    <t>ruimte leraar</t>
  </si>
  <si>
    <t>regiehok</t>
  </si>
  <si>
    <t>kleedruimte 3</t>
  </si>
  <si>
    <t xml:space="preserve">tegel </t>
  </si>
  <si>
    <t>kleedruimte 4</t>
  </si>
  <si>
    <t>lerarenruimte</t>
  </si>
  <si>
    <t>linoleum/mat</t>
  </si>
  <si>
    <t>toilet heren</t>
  </si>
  <si>
    <t>toilet dames</t>
  </si>
  <si>
    <t>garderobe</t>
  </si>
  <si>
    <t>trap</t>
  </si>
  <si>
    <t>toestelberging</t>
  </si>
  <si>
    <t xml:space="preserve">tussen Twee Havens 5, 1601 EM  </t>
  </si>
  <si>
    <t>TTH01</t>
  </si>
  <si>
    <t>entree dames</t>
  </si>
  <si>
    <t>TTH02</t>
  </si>
  <si>
    <t>portaal toiletten dames</t>
  </si>
  <si>
    <t>TTH03</t>
  </si>
  <si>
    <t>douchecabine 1</t>
  </si>
  <si>
    <t>doucheruimten</t>
  </si>
  <si>
    <t>TTH04</t>
  </si>
  <si>
    <t>douchecabine 2</t>
  </si>
  <si>
    <t>TTH05</t>
  </si>
  <si>
    <t>douchecabine 3</t>
  </si>
  <si>
    <t>TTH06</t>
  </si>
  <si>
    <t>douchecabine 4</t>
  </si>
  <si>
    <t>TTH07</t>
  </si>
  <si>
    <t>douchecabine 5</t>
  </si>
  <si>
    <t>TTH08</t>
  </si>
  <si>
    <t>couchecabine 6</t>
  </si>
  <si>
    <t>TTH09</t>
  </si>
  <si>
    <t>douchecabine 7</t>
  </si>
  <si>
    <t>TTH10</t>
  </si>
  <si>
    <t>toilet 1</t>
  </si>
  <si>
    <t>TTH11</t>
  </si>
  <si>
    <t>toilet 2</t>
  </si>
  <si>
    <t>TTH12</t>
  </si>
  <si>
    <t>toilet 3</t>
  </si>
  <si>
    <t>TTH13</t>
  </si>
  <si>
    <t>toilet 4</t>
  </si>
  <si>
    <t>TTH14</t>
  </si>
  <si>
    <t>toilet 5</t>
  </si>
  <si>
    <t>TTH15</t>
  </si>
  <si>
    <t>toilet 6</t>
  </si>
  <si>
    <t>TTH16</t>
  </si>
  <si>
    <t>TTH19</t>
  </si>
  <si>
    <t>entree heren</t>
  </si>
  <si>
    <t>TTH20</t>
  </si>
  <si>
    <t>portaal douches heren</t>
  </si>
  <si>
    <t>TTH21</t>
  </si>
  <si>
    <t>TTH22</t>
  </si>
  <si>
    <t>TTH25</t>
  </si>
  <si>
    <t>TTH26</t>
  </si>
  <si>
    <t>TTH27</t>
  </si>
  <si>
    <t>TTH28</t>
  </si>
  <si>
    <t>TTH29</t>
  </si>
  <si>
    <t>TTH30</t>
  </si>
  <si>
    <t>TTH31</t>
  </si>
  <si>
    <t>TTH32</t>
  </si>
  <si>
    <t>TTH33</t>
  </si>
  <si>
    <t>TTH34</t>
  </si>
  <si>
    <t>TTH35</t>
  </si>
  <si>
    <t>TTH36</t>
  </si>
  <si>
    <t>toilet 7</t>
  </si>
  <si>
    <t>TTH37</t>
  </si>
  <si>
    <t>toilet urinoir</t>
  </si>
  <si>
    <t>TTH38</t>
  </si>
  <si>
    <t>toilet miva</t>
  </si>
  <si>
    <t>TTH</t>
  </si>
  <si>
    <t>was/droger ruimte</t>
  </si>
  <si>
    <t xml:space="preserve">Havenweg 3, 1601 GA </t>
  </si>
  <si>
    <t>HK101</t>
  </si>
  <si>
    <t>entree bezoekers</t>
  </si>
  <si>
    <t>HK102</t>
  </si>
  <si>
    <t>hal / wachtruimte</t>
  </si>
  <si>
    <t>pvc</t>
  </si>
  <si>
    <t>HK103</t>
  </si>
  <si>
    <t>trapopgang publiek</t>
  </si>
  <si>
    <t>staal</t>
  </si>
  <si>
    <t>HK104</t>
  </si>
  <si>
    <t>receptie / ontvangstbalie</t>
  </si>
  <si>
    <t>HK105</t>
  </si>
  <si>
    <t>kitchenette</t>
  </si>
  <si>
    <t>HK106</t>
  </si>
  <si>
    <t>kantoor havendienst</t>
  </si>
  <si>
    <t>HK107</t>
  </si>
  <si>
    <t>directiekamer</t>
  </si>
  <si>
    <t>HK108</t>
  </si>
  <si>
    <t>balkon</t>
  </si>
  <si>
    <t>HK109</t>
  </si>
  <si>
    <t>HK110</t>
  </si>
  <si>
    <t>HK111</t>
  </si>
  <si>
    <t xml:space="preserve">toilet portaal </t>
  </si>
  <si>
    <t>HK112</t>
  </si>
  <si>
    <t>cv / computerruimte</t>
  </si>
  <si>
    <t>HK113</t>
  </si>
  <si>
    <t>opslagruimte</t>
  </si>
  <si>
    <t>HK114</t>
  </si>
  <si>
    <t>opslag / boilerruimte</t>
  </si>
  <si>
    <t>HD001</t>
  </si>
  <si>
    <t>entree santair gebouw</t>
  </si>
  <si>
    <t>HD002</t>
  </si>
  <si>
    <t>portaal douches dames</t>
  </si>
  <si>
    <t>HD003</t>
  </si>
  <si>
    <t>wasruimte</t>
  </si>
  <si>
    <t>HD004</t>
  </si>
  <si>
    <t>HD005</t>
  </si>
  <si>
    <t>HD006</t>
  </si>
  <si>
    <t>HD007</t>
  </si>
  <si>
    <t>HD008</t>
  </si>
  <si>
    <t>douchecabine 6</t>
  </si>
  <si>
    <t>HD009</t>
  </si>
  <si>
    <t>Werkkast</t>
  </si>
  <si>
    <t>HD010</t>
  </si>
  <si>
    <t>portaal toiletten gemengd</t>
  </si>
  <si>
    <t>HD011</t>
  </si>
  <si>
    <t>HD012</t>
  </si>
  <si>
    <t>HD013</t>
  </si>
  <si>
    <t>HD014</t>
  </si>
  <si>
    <t>HD015</t>
  </si>
  <si>
    <t>HD016</t>
  </si>
  <si>
    <t>HD017</t>
  </si>
  <si>
    <t>HD018</t>
  </si>
  <si>
    <t>douchecabine 10</t>
  </si>
  <si>
    <t>HD019</t>
  </si>
  <si>
    <t>douchecabine 11</t>
  </si>
  <si>
    <t>HD020</t>
  </si>
  <si>
    <t>douchecabine 12</t>
  </si>
  <si>
    <t>HD021</t>
  </si>
  <si>
    <t>douchecabine 13</t>
  </si>
  <si>
    <t>HD023</t>
  </si>
  <si>
    <t>HD024</t>
  </si>
  <si>
    <t>HD025</t>
  </si>
  <si>
    <t>toilet 8</t>
  </si>
  <si>
    <t>HD026</t>
  </si>
  <si>
    <t>toilet 9</t>
  </si>
  <si>
    <t>HD027</t>
  </si>
  <si>
    <t>Familiedoucheruimte</t>
  </si>
  <si>
    <t>HD028</t>
  </si>
  <si>
    <t>HD029</t>
  </si>
  <si>
    <t>HD030</t>
  </si>
  <si>
    <t xml:space="preserve">Wielewaal 1, 1602 PV  </t>
  </si>
  <si>
    <t>3de</t>
  </si>
  <si>
    <t>M.201</t>
  </si>
  <si>
    <t>Trapportaal</t>
  </si>
  <si>
    <t>M.204</t>
  </si>
  <si>
    <t>Gymzaal</t>
  </si>
  <si>
    <t>M.206</t>
  </si>
  <si>
    <t>M.207</t>
  </si>
  <si>
    <t>Doucheruimte 1</t>
  </si>
  <si>
    <t>M.208</t>
  </si>
  <si>
    <t>Kleedkamer 1</t>
  </si>
  <si>
    <t>M.209</t>
  </si>
  <si>
    <t>Doucheruimte 2</t>
  </si>
  <si>
    <t>M.210</t>
  </si>
  <si>
    <t>Kleedkamer 2</t>
  </si>
  <si>
    <t>M.211</t>
  </si>
  <si>
    <t>kleedkamer leraren</t>
  </si>
  <si>
    <t>M.212</t>
  </si>
  <si>
    <t>douche leraren</t>
  </si>
  <si>
    <t>M.213</t>
  </si>
  <si>
    <t>toilet leraren</t>
  </si>
  <si>
    <t>M.301</t>
  </si>
  <si>
    <t>M.401</t>
  </si>
  <si>
    <t>M.L1</t>
  </si>
  <si>
    <t>2e-3e</t>
  </si>
  <si>
    <t>M.T1</t>
  </si>
  <si>
    <t>1e-2e</t>
  </si>
  <si>
    <t>bg-1e</t>
  </si>
  <si>
    <t>S.1</t>
  </si>
  <si>
    <t>Sanitair 1</t>
  </si>
  <si>
    <t>S.2</t>
  </si>
  <si>
    <t>Sanitair 2</t>
  </si>
  <si>
    <t>Kruitmolen 12</t>
  </si>
  <si>
    <t>BG</t>
  </si>
  <si>
    <t>0.1</t>
  </si>
  <si>
    <t>0.2</t>
  </si>
  <si>
    <t>0.3</t>
  </si>
  <si>
    <t>hal voor toilet</t>
  </si>
  <si>
    <t>0.4</t>
  </si>
  <si>
    <t>0.5</t>
  </si>
  <si>
    <t>0.6</t>
  </si>
  <si>
    <t>bedrijfsruimte</t>
  </si>
  <si>
    <t>0.7</t>
  </si>
  <si>
    <t>kleedkamer</t>
  </si>
  <si>
    <t>0.8</t>
  </si>
  <si>
    <t>0.9</t>
  </si>
  <si>
    <t>toilet in kleedkamer</t>
  </si>
  <si>
    <t>0.10</t>
  </si>
  <si>
    <t xml:space="preserve">trap </t>
  </si>
  <si>
    <t>1.1</t>
  </si>
  <si>
    <t>1.2</t>
  </si>
  <si>
    <t>1.3</t>
  </si>
  <si>
    <t>1.4</t>
  </si>
  <si>
    <t>1.5</t>
  </si>
  <si>
    <t>1.6</t>
  </si>
  <si>
    <t>kast</t>
  </si>
  <si>
    <t>1.7</t>
  </si>
  <si>
    <t>berging/cv</t>
  </si>
  <si>
    <t>Emmaplein 1, 1601 PD  Enkhuizen</t>
  </si>
  <si>
    <t>onbekend</t>
  </si>
  <si>
    <t>BG401</t>
  </si>
  <si>
    <t>portaal</t>
  </si>
  <si>
    <t>BG402</t>
  </si>
  <si>
    <t>BG403</t>
  </si>
  <si>
    <t>overblijfruimte</t>
  </si>
  <si>
    <t>GB101</t>
  </si>
  <si>
    <t>tapijt / schoonloopmat</t>
  </si>
  <si>
    <t>GB102</t>
  </si>
  <si>
    <t>beheerderskantoor</t>
  </si>
  <si>
    <t>GB103</t>
  </si>
  <si>
    <t>kantine</t>
  </si>
  <si>
    <t>GB104</t>
  </si>
  <si>
    <t>kleedruimte</t>
  </si>
  <si>
    <t>GB105</t>
  </si>
  <si>
    <t>douche- toilet</t>
  </si>
  <si>
    <t>GB106</t>
  </si>
  <si>
    <t>GB107</t>
  </si>
  <si>
    <t>toegang gebouw</t>
  </si>
  <si>
    <t>steen / grind</t>
  </si>
  <si>
    <t>GB201</t>
  </si>
  <si>
    <t>GB202</t>
  </si>
  <si>
    <t>Stilte centrum</t>
  </si>
  <si>
    <t>GB203</t>
  </si>
  <si>
    <t>portaal westkant</t>
  </si>
  <si>
    <t>GB204</t>
  </si>
  <si>
    <t xml:space="preserve">toilet invaliden </t>
  </si>
  <si>
    <t>GB205</t>
  </si>
  <si>
    <t>opslag / technische ruimte</t>
  </si>
  <si>
    <t>GB206</t>
  </si>
  <si>
    <t>audioinstallatie</t>
  </si>
  <si>
    <t>GB207</t>
  </si>
  <si>
    <t>Stoelenberging</t>
  </si>
  <si>
    <t>GB208</t>
  </si>
  <si>
    <t>Opbaar ruimte</t>
  </si>
  <si>
    <t>GB209</t>
  </si>
  <si>
    <t>GB210</t>
  </si>
  <si>
    <t>GB211</t>
  </si>
  <si>
    <t>ingang oostkant</t>
  </si>
  <si>
    <t>GB212</t>
  </si>
  <si>
    <t>ingang westkant</t>
  </si>
  <si>
    <t>GB213</t>
  </si>
  <si>
    <t>watertappunt</t>
  </si>
  <si>
    <t>Goudregenstraat 29</t>
  </si>
  <si>
    <t>mat</t>
  </si>
  <si>
    <t>gang, hal</t>
  </si>
  <si>
    <t>toiletten</t>
  </si>
  <si>
    <t>plavuizen</t>
  </si>
  <si>
    <t>keuken/pantry</t>
  </si>
  <si>
    <t>kantoren</t>
  </si>
  <si>
    <t>vloerbedekking</t>
  </si>
  <si>
    <t>vergaderruimte?</t>
  </si>
  <si>
    <t xml:space="preserve">vergaderruimte </t>
  </si>
  <si>
    <t>0.11</t>
  </si>
  <si>
    <t>vergaderruimte</t>
  </si>
  <si>
    <t>0.12</t>
  </si>
  <si>
    <t>0.13</t>
  </si>
  <si>
    <t>0.14</t>
  </si>
  <si>
    <t>0.15</t>
  </si>
  <si>
    <t>belcel</t>
  </si>
  <si>
    <t>0.16</t>
  </si>
  <si>
    <t>0.17</t>
  </si>
  <si>
    <t>0.18</t>
  </si>
  <si>
    <t>0.19</t>
  </si>
  <si>
    <t>0.20</t>
  </si>
  <si>
    <t>fietsenstalling?</t>
  </si>
  <si>
    <t>Overloop</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</si>
  <si>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</si>
  <si>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</si>
  <si>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</si>
  <si>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</si>
  <si>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</si>
  <si>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</si>
  <si>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</si>
  <si>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</si>
  <si>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</si>
  <si>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</si>
  <si>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</si>
  <si>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</si>
  <si>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</si>
  <si>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</si>
  <si>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</si>
  <si>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</si>
  <si>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</si>
  <si>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</si>
  <si>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</si>
  <si>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</si>
  <si>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</si>
  <si>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</si>
  <si>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</si>
  <si>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</si>
  <si>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</si>
  <si>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</si>
  <si>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</si>
  <si>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</si>
  <si>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</si>
  <si>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</si>
  <si>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</si>
  <si>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</si>
  <si>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</si>
  <si>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</si>
  <si>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</si>
  <si>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</si>
  <si>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</si>
  <si>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</si>
  <si>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</si>
  <si>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</si>
  <si>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</si>
  <si>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</si>
  <si>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</si>
  <si>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</si>
  <si>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</si>
  <si>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</si>
  <si>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</si>
  <si>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</si>
  <si>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</si>
  <si>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</si>
  <si>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</si>
  <si>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</si>
  <si>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</si>
  <si>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</si>
  <si>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</si>
  <si>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</si>
  <si>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</si>
  <si>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</si>
  <si>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</si>
  <si>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</si>
  <si>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</si>
  <si>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</si>
  <si>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</si>
  <si>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</si>
  <si>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Overige cao-gerelateerde verplichtingen (zoals reiskosten)</t>
  </si>
  <si>
    <t>Totaal directe kosten</t>
  </si>
  <si>
    <t>Opbouw gemiddeld tarief</t>
  </si>
  <si>
    <t>Indirect toezicht</t>
  </si>
  <si>
    <t>Managementkosten</t>
  </si>
  <si>
    <t>P.Z. kosten</t>
  </si>
  <si>
    <t>Opleiding</t>
  </si>
  <si>
    <t>Administratiekosten</t>
  </si>
  <si>
    <t>Huisvestingskosten</t>
  </si>
  <si>
    <t>Reiskosten/autokosten</t>
  </si>
  <si>
    <t>Kosten verzuimbegeleiding en re-integratie</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</si>
  <si>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</si>
  <si>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</si>
  <si>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</si>
  <si>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</si>
  <si>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</si>
  <si>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</si>
  <si>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</si>
  <si>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Kosten verzuimbegeleiding</t>
  </si>
  <si>
    <t>Tariefopbouw toezicht</t>
  </si>
  <si>
    <t>Gemiddeld tarief  ma t/m vr</t>
  </si>
  <si>
    <t>Overige cao-gerelateerde verplichtingen</t>
  </si>
  <si>
    <t>Omschrijving werkzaamheden</t>
  </si>
  <si>
    <t>Aantal of m2</t>
  </si>
  <si>
    <t>frequentie per jaar</t>
  </si>
  <si>
    <t>uren per m2/ beurt</t>
  </si>
  <si>
    <t>uren per jaar</t>
  </si>
  <si>
    <t>uurtarief</t>
  </si>
  <si>
    <t>kosten per jaar incl toezicht</t>
  </si>
  <si>
    <t>Dieptereiniging sanitair, installaties en toebehoren en vloeren en afvoeren</t>
  </si>
  <si>
    <t>Begin seizoen schoonmaak van sanitaire ruimten</t>
  </si>
  <si>
    <t>Eind seizoen schoonmaak van sanitaire ruimten</t>
  </si>
  <si>
    <t>Begin seizoen schoonmaak</t>
  </si>
  <si>
    <t>Eind seizoen schoonmaak</t>
  </si>
  <si>
    <t>Omschrijving kostenaspect</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</si>
  <si>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</si>
  <si>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</si>
  <si>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</si>
  <si>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</si>
  <si>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</si>
  <si>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</si>
  <si>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</si>
  <si>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</si>
  <si>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</si>
  <si>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</si>
  <si>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</si>
  <si>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</si>
  <si>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</si>
  <si>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</si>
  <si>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</si>
  <si>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</si>
  <si>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Beurtprijs sanitair</t>
  </si>
  <si>
    <t>Prijs per beurt excl btw</t>
  </si>
  <si>
    <t xml:space="preserve">Sanitair gebouw Havenkantoor </t>
  </si>
  <si>
    <t>Extra sanitairronde, prijs incl toezicht en afronding minimale taak (indien van toepassing)</t>
  </si>
  <si>
    <t>Familie doucheruimte Havenkantoor</t>
  </si>
  <si>
    <t>Sanitair gebouw Tussen Twee Havens</t>
  </si>
  <si>
    <t>Regietarieven</t>
  </si>
  <si>
    <t>Prijs p/uur excl. btw</t>
  </si>
  <si>
    <t>Schoonmaakonderhoud</t>
  </si>
  <si>
    <t>Maandag - Vrijdag</t>
  </si>
  <si>
    <t>Zaterdag - zondag (incl. 50% toeslag conform cao)</t>
  </si>
  <si>
    <t>Feestdagen (incl. 150% toeslag conform cao)</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</si>
  <si>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</si>
  <si>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</si>
  <si>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</si>
  <si>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</si>
  <si>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</si>
  <si>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</si>
  <si>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</si>
  <si>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</si>
  <si>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</si>
  <si>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t>
  </si>
  <si>
    <t>Aanvullende omschrijving</t>
  </si>
  <si>
    <t>Aantal m2</t>
  </si>
  <si>
    <r>
      <t>Kosten per m</t>
    </r>
    <r>
      <rPr>
        <b/>
        <vertAlign val="superscript"/>
        <sz val="10"/>
        <color theme="0"/>
        <rFont val="Arial Black"/>
        <family val="2"/>
      </rPr>
      <t>2</t>
    </r>
  </si>
  <si>
    <t>Kosten per beurt</t>
  </si>
  <si>
    <t>Frequentie per jaar</t>
  </si>
  <si>
    <t>Totaalkosten per jaar</t>
  </si>
  <si>
    <t>2</t>
  </si>
  <si>
    <t xml:space="preserve">Hoge vensterbanken/glas reinigen </t>
  </si>
  <si>
    <t>Dubbelzijdig gemeten en te bewassen</t>
  </si>
  <si>
    <t>Begraafplaats Emmaplein</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</si>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</sst>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47">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
      <sz val="12"/>
      <color rgb="FFFF0000"/>
      <name val="Georgia"/>
      <family val="1"/>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53">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9"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0" fontId="65" fillId="0" borderId="0" xfId="84" applyFont="1" applyAlignment="1">
      <alignment wrapText="1"/>
    </xf>
    <xf numFmtId="0" fontId="73" fillId="0" borderId="0" xfId="0" applyFont="1"/>
    <xf numFmtId="2" fontId="74" fillId="0" borderId="0" xfId="12" applyNumberFormat="1" applyFont="1"/>
    <xf numFmtId="2" fontId="75" fillId="2" borderId="0" xfId="12" applyNumberFormat="1" applyFont="1" applyFill="1"/>
    <xf numFmtId="0" fontId="77" fillId="0" borderId="0" xfId="89" applyFont="1"/>
    <xf numFmtId="167" fontId="77" fillId="0" borderId="0" xfId="8" applyFont="1"/>
    <xf numFmtId="173" fontId="79" fillId="0" borderId="0" xfId="8" applyNumberFormat="1" applyFont="1" applyAlignment="1">
      <alignment horizontal="center"/>
    </xf>
    <xf numFmtId="49" fontId="81" fillId="0" borderId="0" xfId="63" applyNumberFormat="1" applyFont="1"/>
    <xf numFmtId="0" fontId="81" fillId="0" borderId="0" xfId="63" applyFont="1"/>
    <xf numFmtId="10" fontId="81" fillId="0" borderId="0" xfId="63" applyNumberFormat="1" applyFont="1" applyAlignment="1">
      <alignment horizontal="left"/>
    </xf>
    <xf numFmtId="2" fontId="75" fillId="0" borderId="0" xfId="12" applyNumberFormat="1" applyFont="1"/>
    <xf numFmtId="188" fontId="82" fillId="0" borderId="0" xfId="63" applyNumberFormat="1" applyFont="1" applyAlignment="1">
      <alignment horizontal="left"/>
    </xf>
    <xf numFmtId="0" fontId="77" fillId="0" borderId="0" xfId="63" applyFont="1"/>
    <xf numFmtId="2" fontId="82" fillId="0" borderId="0" xfId="12" applyNumberFormat="1" applyFont="1"/>
    <xf numFmtId="0" fontId="81" fillId="0" borderId="0" xfId="89" applyFont="1"/>
    <xf numFmtId="167" fontId="81" fillId="0" borderId="0" xfId="8" applyFont="1"/>
    <xf numFmtId="2" fontId="79" fillId="0" borderId="0" xfId="89" applyNumberFormat="1" applyFont="1"/>
    <xf numFmtId="0" fontId="84" fillId="0" borderId="0" xfId="89" applyFont="1"/>
    <xf numFmtId="166" fontId="77" fillId="2" borderId="36" xfId="18" applyFont="1" applyFill="1" applyBorder="1" applyAlignment="1">
      <alignment horizontal="right"/>
    </xf>
    <xf numFmtId="167" fontId="77" fillId="2" borderId="36" xfId="8" applyFont="1" applyFill="1" applyBorder="1" applyAlignment="1">
      <alignment horizontal="center"/>
    </xf>
    <xf numFmtId="166" fontId="77" fillId="2" borderId="36" xfId="18" applyFont="1" applyFill="1" applyBorder="1" applyAlignment="1">
      <alignment horizontal="center"/>
    </xf>
    <xf numFmtId="0" fontId="79" fillId="0" borderId="0" xfId="89" applyFont="1"/>
    <xf numFmtId="0" fontId="77" fillId="0" borderId="0" xfId="0" applyFont="1"/>
    <xf numFmtId="0" fontId="77" fillId="0" borderId="0" xfId="0" applyFont="1" applyAlignment="1">
      <alignment horizontal="center" vertical="center"/>
    </xf>
    <xf numFmtId="2" fontId="85" fillId="0" borderId="0" xfId="12" applyNumberFormat="1" applyFont="1"/>
    <xf numFmtId="0" fontId="77" fillId="0" borderId="0" xfId="17" applyFont="1" applyAlignment="1">
      <alignment horizontal="center"/>
    </xf>
    <xf numFmtId="2" fontId="77" fillId="0" borderId="0" xfId="8" applyNumberFormat="1" applyFont="1" applyAlignment="1">
      <alignment horizontal="left"/>
    </xf>
    <xf numFmtId="172" fontId="77" fillId="0" borderId="0" xfId="17" applyNumberFormat="1" applyFont="1" applyAlignment="1">
      <alignment horizontal="center"/>
    </xf>
    <xf numFmtId="172" fontId="86" fillId="0" borderId="0" xfId="12" applyNumberFormat="1" applyFont="1"/>
    <xf numFmtId="3" fontId="86" fillId="0" borderId="0" xfId="12" applyNumberFormat="1" applyFont="1" applyAlignment="1">
      <alignment horizontal="right"/>
    </xf>
    <xf numFmtId="3" fontId="77" fillId="0" borderId="0" xfId="8" applyNumberFormat="1" applyFont="1" applyAlignment="1">
      <alignment horizontal="right"/>
    </xf>
    <xf numFmtId="0" fontId="77" fillId="0" borderId="0" xfId="17" applyFont="1"/>
    <xf numFmtId="167" fontId="77" fillId="0" borderId="0" xfId="8" applyFont="1" applyAlignment="1">
      <alignment horizontal="right"/>
    </xf>
    <xf numFmtId="0" fontId="77" fillId="0" borderId="0" xfId="17" applyFont="1" applyAlignment="1">
      <alignment horizontal="center" vertical="center"/>
    </xf>
    <xf numFmtId="173" fontId="77" fillId="0" borderId="0" xfId="0" applyNumberFormat="1" applyFont="1"/>
    <xf numFmtId="0" fontId="77" fillId="2" borderId="0" xfId="17" applyFont="1" applyFill="1"/>
    <xf numFmtId="0" fontId="77" fillId="0" borderId="36" xfId="0" applyFont="1" applyBorder="1"/>
    <xf numFmtId="1" fontId="77" fillId="0" borderId="36" xfId="61" applyNumberFormat="1" applyFont="1" applyBorder="1" applyAlignment="1">
      <alignment horizontal="center"/>
    </xf>
    <xf numFmtId="1" fontId="87" fillId="0" borderId="36" xfId="61" applyNumberFormat="1" applyFont="1" applyBorder="1" applyAlignment="1">
      <alignment horizontal="center"/>
    </xf>
    <xf numFmtId="0" fontId="81" fillId="0" borderId="0" xfId="0" applyFont="1"/>
    <xf numFmtId="0" fontId="84" fillId="0" borderId="0" xfId="0" applyFont="1" applyAlignment="1">
      <alignment horizontal="center"/>
    </xf>
    <xf numFmtId="2" fontId="88" fillId="0" borderId="0" xfId="0" applyNumberFormat="1" applyFont="1"/>
    <xf numFmtId="2" fontId="79" fillId="0" borderId="0" xfId="0" applyNumberFormat="1" applyFont="1" applyAlignment="1">
      <alignment horizontal="center"/>
    </xf>
    <xf numFmtId="2" fontId="79" fillId="0" borderId="0" xfId="0" applyNumberFormat="1" applyFont="1"/>
    <xf numFmtId="0" fontId="79" fillId="0" borderId="0" xfId="0" applyFont="1"/>
    <xf numFmtId="1" fontId="79" fillId="0" borderId="0" xfId="0" applyNumberFormat="1" applyFont="1" applyAlignment="1">
      <alignment horizontal="center"/>
    </xf>
    <xf numFmtId="0" fontId="80" fillId="0" borderId="0" xfId="0" applyFont="1"/>
    <xf numFmtId="0" fontId="76" fillId="0" borderId="0" xfId="0" applyFont="1"/>
    <xf numFmtId="167" fontId="79" fillId="0" borderId="0" xfId="8" applyFont="1"/>
    <xf numFmtId="0" fontId="77" fillId="0" borderId="0" xfId="0" applyFont="1" applyAlignment="1">
      <alignment horizontal="center"/>
    </xf>
    <xf numFmtId="0" fontId="77" fillId="0" borderId="4" xfId="0" applyFont="1" applyBorder="1"/>
    <xf numFmtId="1" fontId="77" fillId="0" borderId="4" xfId="0" applyNumberFormat="1" applyFont="1" applyBorder="1" applyAlignment="1">
      <alignment horizontal="center"/>
    </xf>
    <xf numFmtId="0" fontId="77" fillId="0" borderId="16" xfId="0" applyFont="1" applyBorder="1" applyAlignment="1">
      <alignment wrapText="1"/>
    </xf>
    <xf numFmtId="0" fontId="77" fillId="0" borderId="16" xfId="0" applyFont="1" applyBorder="1"/>
    <xf numFmtId="167" fontId="84" fillId="0" borderId="0" xfId="8" applyFont="1" applyFill="1" applyBorder="1" applyAlignment="1">
      <alignment horizontal="center"/>
    </xf>
    <xf numFmtId="2" fontId="84" fillId="0" borderId="0" xfId="8" applyNumberFormat="1" applyFont="1" applyFill="1" applyBorder="1" applyAlignment="1">
      <alignment horizontal="center"/>
    </xf>
    <xf numFmtId="2" fontId="77" fillId="0" borderId="0" xfId="0" applyNumberFormat="1" applyFont="1"/>
    <xf numFmtId="1" fontId="77" fillId="0" borderId="0" xfId="0" applyNumberFormat="1" applyFont="1" applyAlignment="1">
      <alignment horizontal="center"/>
    </xf>
    <xf numFmtId="0" fontId="77" fillId="0" borderId="0" xfId="8" applyNumberFormat="1" applyFont="1" applyFill="1" applyBorder="1" applyAlignment="1"/>
    <xf numFmtId="2" fontId="77" fillId="0" borderId="0" xfId="0" applyNumberFormat="1" applyFont="1" applyAlignment="1">
      <alignment horizontal="right"/>
    </xf>
    <xf numFmtId="1" fontId="81" fillId="0" borderId="0" xfId="0" applyNumberFormat="1" applyFont="1" applyAlignment="1">
      <alignment horizontal="center"/>
    </xf>
    <xf numFmtId="1" fontId="83" fillId="0" borderId="0" xfId="0" applyNumberFormat="1" applyFont="1" applyAlignment="1">
      <alignment horizontal="center"/>
    </xf>
    <xf numFmtId="43" fontId="84" fillId="0" borderId="0" xfId="8" applyNumberFormat="1" applyFont="1" applyFill="1" applyBorder="1" applyAlignment="1">
      <alignment horizontal="center"/>
    </xf>
    <xf numFmtId="0" fontId="83" fillId="0" borderId="0" xfId="0" applyFont="1"/>
    <xf numFmtId="0" fontId="84" fillId="0" borderId="0" xfId="13" applyFont="1" applyProtection="1">
      <protection hidden="1"/>
    </xf>
    <xf numFmtId="0" fontId="77" fillId="0" borderId="0" xfId="13" applyFont="1" applyProtection="1">
      <protection hidden="1"/>
    </xf>
    <xf numFmtId="0" fontId="79" fillId="0" borderId="0" xfId="0" applyFont="1" applyAlignment="1">
      <alignment horizontal="center"/>
    </xf>
    <xf numFmtId="2" fontId="77" fillId="0" borderId="0" xfId="13" applyNumberFormat="1" applyFont="1" applyAlignment="1" applyProtection="1">
      <alignment vertical="center"/>
      <protection hidden="1"/>
    </xf>
    <xf numFmtId="2" fontId="77" fillId="0" borderId="3" xfId="11" applyNumberFormat="1" applyFont="1" applyBorder="1" applyProtection="1">
      <protection hidden="1"/>
    </xf>
    <xf numFmtId="2" fontId="77" fillId="0" borderId="0" xfId="11" applyNumberFormat="1" applyFont="1" applyProtection="1">
      <protection hidden="1"/>
    </xf>
    <xf numFmtId="0" fontId="91" fillId="0" borderId="3" xfId="13" applyFont="1" applyBorder="1" applyAlignment="1" applyProtection="1">
      <alignment horizontal="left" vertical="center"/>
      <protection hidden="1"/>
    </xf>
    <xf numFmtId="0" fontId="77" fillId="0" borderId="0" xfId="0" applyFont="1" applyAlignment="1">
      <alignment vertical="center"/>
    </xf>
    <xf numFmtId="0" fontId="91" fillId="0" borderId="0" xfId="13" applyFont="1" applyAlignment="1" applyProtection="1">
      <alignment horizontal="left" vertical="center"/>
      <protection hidden="1"/>
    </xf>
    <xf numFmtId="0" fontId="77" fillId="0" borderId="2" xfId="0" applyFont="1" applyBorder="1"/>
    <xf numFmtId="0" fontId="88" fillId="0" borderId="0" xfId="13" applyFont="1" applyProtection="1">
      <protection hidden="1"/>
    </xf>
    <xf numFmtId="0" fontId="93" fillId="0" borderId="0" xfId="0" applyFont="1" applyAlignment="1">
      <alignment horizontal="left" indent="3"/>
    </xf>
    <xf numFmtId="0" fontId="93" fillId="0" borderId="0" xfId="0" applyFont="1"/>
    <xf numFmtId="0" fontId="93" fillId="0" borderId="0" xfId="0" applyFont="1" applyAlignment="1">
      <alignment horizontal="left" indent="1"/>
    </xf>
    <xf numFmtId="180" fontId="93" fillId="0" borderId="0" xfId="0" applyNumberFormat="1" applyFont="1"/>
    <xf numFmtId="179" fontId="93" fillId="0" borderId="0" xfId="0" applyNumberFormat="1" applyFont="1"/>
    <xf numFmtId="0" fontId="94" fillId="0" borderId="0" xfId="13" applyFont="1" applyAlignment="1" applyProtection="1">
      <alignment horizontal="center"/>
      <protection hidden="1"/>
    </xf>
    <xf numFmtId="0" fontId="94" fillId="0" borderId="0" xfId="13" applyFont="1" applyAlignment="1" applyProtection="1">
      <alignment horizontal="right"/>
      <protection hidden="1"/>
    </xf>
    <xf numFmtId="169" fontId="94" fillId="0" borderId="0" xfId="3" applyFont="1" applyFill="1" applyBorder="1" applyAlignment="1" applyProtection="1">
      <alignment horizontal="center"/>
      <protection hidden="1"/>
    </xf>
    <xf numFmtId="175" fontId="94" fillId="0" borderId="0" xfId="3" applyNumberFormat="1" applyFont="1" applyFill="1" applyBorder="1" applyAlignment="1" applyProtection="1">
      <alignment horizontal="center"/>
      <protection hidden="1"/>
    </xf>
    <xf numFmtId="2" fontId="75" fillId="0" borderId="0" xfId="0" applyNumberFormat="1" applyFont="1"/>
    <xf numFmtId="0" fontId="95" fillId="0" borderId="0" xfId="13" applyFont="1" applyAlignment="1" applyProtection="1">
      <alignment horizontal="right"/>
      <protection hidden="1"/>
    </xf>
    <xf numFmtId="0" fontId="96" fillId="0" borderId="0" xfId="0" applyFont="1" applyAlignment="1">
      <alignment horizontal="center" vertical="center"/>
    </xf>
    <xf numFmtId="175" fontId="96" fillId="0" borderId="0" xfId="0" applyNumberFormat="1" applyFont="1" applyAlignment="1">
      <alignment horizontal="center" vertical="center"/>
    </xf>
    <xf numFmtId="1" fontId="75" fillId="0" borderId="0" xfId="0" applyNumberFormat="1" applyFont="1" applyAlignment="1">
      <alignment horizontal="left"/>
    </xf>
    <xf numFmtId="2" fontId="95" fillId="0" borderId="0" xfId="13" applyNumberFormat="1" applyFont="1" applyAlignment="1" applyProtection="1">
      <alignment horizontal="right"/>
      <protection hidden="1"/>
    </xf>
    <xf numFmtId="2" fontId="97" fillId="0" borderId="0" xfId="13" applyNumberFormat="1" applyFont="1" applyAlignment="1" applyProtection="1">
      <alignment horizontal="center"/>
      <protection hidden="1"/>
    </xf>
    <xf numFmtId="0" fontId="77" fillId="0" borderId="0" xfId="0" applyFont="1" applyAlignment="1">
      <alignment vertical="top" wrapText="1"/>
    </xf>
    <xf numFmtId="0" fontId="77" fillId="0" borderId="0" xfId="0" applyFont="1" applyAlignment="1">
      <alignment horizontal="center" wrapText="1"/>
    </xf>
    <xf numFmtId="2" fontId="89" fillId="0" borderId="0" xfId="0" applyNumberFormat="1" applyFont="1"/>
    <xf numFmtId="1" fontId="98" fillId="0" borderId="0" xfId="0" applyNumberFormat="1" applyFont="1" applyAlignment="1">
      <alignment horizontal="left"/>
    </xf>
    <xf numFmtId="2" fontId="97" fillId="0" borderId="0" xfId="13" applyNumberFormat="1" applyFont="1" applyAlignment="1" applyProtection="1">
      <alignment horizontal="right"/>
      <protection hidden="1"/>
    </xf>
    <xf numFmtId="2" fontId="86" fillId="0" borderId="0" xfId="0" applyNumberFormat="1" applyFont="1" applyAlignment="1">
      <alignment horizontal="center" vertical="center"/>
    </xf>
    <xf numFmtId="175" fontId="86" fillId="0" borderId="0" xfId="0" applyNumberFormat="1" applyFont="1" applyAlignment="1">
      <alignment horizontal="center" vertical="center"/>
    </xf>
    <xf numFmtId="2" fontId="87" fillId="0" borderId="36" xfId="3" applyNumberFormat="1" applyFont="1" applyFill="1" applyBorder="1" applyAlignment="1" applyProtection="1">
      <protection hidden="1"/>
    </xf>
    <xf numFmtId="1" fontId="79" fillId="0" borderId="36" xfId="13" applyNumberFormat="1" applyFont="1" applyBorder="1" applyAlignment="1" applyProtection="1">
      <alignment horizontal="center"/>
      <protection hidden="1"/>
    </xf>
    <xf numFmtId="2" fontId="95" fillId="0" borderId="0" xfId="13" applyNumberFormat="1" applyFont="1" applyAlignment="1" applyProtection="1">
      <alignment horizontal="center"/>
      <protection hidden="1"/>
    </xf>
    <xf numFmtId="2" fontId="104" fillId="0" borderId="0" xfId="13" applyNumberFormat="1" applyFont="1" applyAlignment="1" applyProtection="1">
      <alignment horizontal="center"/>
      <protection hidden="1"/>
    </xf>
    <xf numFmtId="0" fontId="84" fillId="0" borderId="0" xfId="0" applyFont="1"/>
    <xf numFmtId="0" fontId="79" fillId="0" borderId="36" xfId="0" applyFont="1" applyBorder="1"/>
    <xf numFmtId="0" fontId="103" fillId="0" borderId="0" xfId="0" applyFont="1"/>
    <xf numFmtId="0" fontId="87" fillId="0" borderId="35" xfId="13" applyFont="1" applyBorder="1" applyProtection="1">
      <protection hidden="1"/>
    </xf>
    <xf numFmtId="10" fontId="101" fillId="0" borderId="2" xfId="13" applyNumberFormat="1" applyFont="1" applyBorder="1" applyAlignment="1" applyProtection="1">
      <alignment horizontal="right"/>
      <protection hidden="1"/>
    </xf>
    <xf numFmtId="175" fontId="102" fillId="0" borderId="6" xfId="16" applyNumberFormat="1" applyFont="1" applyFill="1" applyBorder="1" applyAlignment="1" applyProtection="1">
      <alignment horizontal="right"/>
      <protection hidden="1"/>
    </xf>
    <xf numFmtId="0" fontId="101" fillId="0" borderId="0" xfId="0" applyFont="1"/>
    <xf numFmtId="0" fontId="101" fillId="0" borderId="5" xfId="0" applyFont="1" applyBorder="1" applyAlignment="1">
      <alignment horizontal="right"/>
    </xf>
    <xf numFmtId="0" fontId="101" fillId="0" borderId="0" xfId="0" applyFont="1" applyAlignment="1">
      <alignment horizontal="right"/>
    </xf>
    <xf numFmtId="175" fontId="84" fillId="0" borderId="0" xfId="0" applyNumberFormat="1" applyFont="1"/>
    <xf numFmtId="0" fontId="84" fillId="0" borderId="0" xfId="0" applyFont="1" applyAlignment="1">
      <alignment horizontal="right"/>
    </xf>
    <xf numFmtId="2" fontId="74" fillId="0" borderId="0" xfId="63" applyNumberFormat="1" applyFont="1"/>
    <xf numFmtId="2" fontId="75" fillId="0" borderId="0" xfId="63" applyNumberFormat="1" applyFont="1"/>
    <xf numFmtId="0" fontId="77" fillId="0" borderId="35" xfId="0" applyFont="1" applyBorder="1" applyAlignment="1">
      <alignment horizontal="center"/>
    </xf>
    <xf numFmtId="0" fontId="77" fillId="0" borderId="2" xfId="0" applyFont="1" applyBorder="1" applyAlignment="1">
      <alignment horizontal="center"/>
    </xf>
    <xf numFmtId="0" fontId="77" fillId="0" borderId="6" xfId="0" applyFont="1" applyBorder="1" applyAlignment="1">
      <alignment horizontal="center"/>
    </xf>
    <xf numFmtId="0" fontId="103" fillId="0" borderId="0" xfId="10" applyFont="1"/>
    <xf numFmtId="179" fontId="103" fillId="0" borderId="0" xfId="10" applyNumberFormat="1" applyFont="1"/>
    <xf numFmtId="2" fontId="103" fillId="0" borderId="0" xfId="10" applyNumberFormat="1" applyFont="1"/>
    <xf numFmtId="2" fontId="89" fillId="0" borderId="0" xfId="10" applyNumberFormat="1" applyFont="1" applyAlignment="1">
      <alignment vertical="center"/>
    </xf>
    <xf numFmtId="2" fontId="89" fillId="0" borderId="0" xfId="10" applyNumberFormat="1" applyFont="1" applyAlignment="1">
      <alignment horizontal="right" vertical="center"/>
    </xf>
    <xf numFmtId="2" fontId="89" fillId="0" borderId="0" xfId="12" applyNumberFormat="1" applyFont="1"/>
    <xf numFmtId="2" fontId="98" fillId="0" borderId="0" xfId="10" applyNumberFormat="1" applyFont="1" applyAlignment="1">
      <alignment vertical="center"/>
    </xf>
    <xf numFmtId="0" fontId="86" fillId="0" borderId="0" xfId="14" applyFont="1"/>
    <xf numFmtId="2" fontId="86" fillId="0" borderId="0" xfId="14" applyNumberFormat="1" applyFont="1"/>
    <xf numFmtId="0" fontId="77" fillId="0" borderId="0" xfId="10" applyFont="1"/>
    <xf numFmtId="0" fontId="79" fillId="0" borderId="0" xfId="9" applyFont="1" applyAlignment="1" applyProtection="1">
      <alignment horizontal="left" vertical="center"/>
      <protection hidden="1"/>
    </xf>
    <xf numFmtId="0" fontId="77" fillId="0" borderId="0" xfId="9" applyFont="1" applyAlignment="1" applyProtection="1">
      <alignment horizontal="center"/>
      <protection hidden="1"/>
    </xf>
    <xf numFmtId="0" fontId="77" fillId="0" borderId="0" xfId="9" applyFont="1" applyAlignment="1" applyProtection="1">
      <alignment horizontal="left"/>
      <protection hidden="1"/>
    </xf>
    <xf numFmtId="0" fontId="77" fillId="0" borderId="2" xfId="10" applyFont="1" applyBorder="1"/>
    <xf numFmtId="0" fontId="77" fillId="0" borderId="0" xfId="0" applyFont="1" applyAlignment="1">
      <alignment horizontal="left" vertical="center" indent="6"/>
    </xf>
    <xf numFmtId="0" fontId="84" fillId="0" borderId="0" xfId="13" applyFont="1" applyAlignment="1" applyProtection="1">
      <alignment horizontal="center"/>
      <protection hidden="1"/>
    </xf>
    <xf numFmtId="173" fontId="77" fillId="0" borderId="0" xfId="8" applyNumberFormat="1" applyFont="1" applyFill="1" applyAlignment="1" applyProtection="1">
      <protection hidden="1"/>
    </xf>
    <xf numFmtId="0" fontId="77" fillId="0" borderId="0" xfId="84" applyFont="1"/>
    <xf numFmtId="175" fontId="108" fillId="0" borderId="0" xfId="3" applyNumberFormat="1" applyFont="1" applyFill="1" applyBorder="1" applyAlignment="1" applyProtection="1">
      <alignment horizontal="center"/>
      <protection hidden="1"/>
    </xf>
    <xf numFmtId="2" fontId="89" fillId="0" borderId="0" xfId="84" applyNumberFormat="1" applyFont="1"/>
    <xf numFmtId="169" fontId="108" fillId="0" borderId="0" xfId="3" applyFont="1" applyFill="1" applyBorder="1" applyAlignment="1" applyProtection="1">
      <alignment horizontal="center"/>
      <protection hidden="1"/>
    </xf>
    <xf numFmtId="173" fontId="108" fillId="0" borderId="0" xfId="8" applyNumberFormat="1" applyFont="1" applyFill="1" applyBorder="1" applyAlignment="1" applyProtection="1">
      <alignment horizontal="center"/>
      <protection hidden="1"/>
    </xf>
    <xf numFmtId="0" fontId="77" fillId="0" borderId="0" xfId="103" applyFont="1"/>
    <xf numFmtId="0" fontId="77" fillId="0" borderId="0" xfId="103" applyFont="1" applyAlignment="1">
      <alignment horizontal="center"/>
    </xf>
    <xf numFmtId="167" fontId="77" fillId="0" borderId="0" xfId="105" applyFont="1"/>
    <xf numFmtId="173" fontId="77" fillId="0" borderId="0" xfId="8" applyNumberFormat="1" applyFont="1"/>
    <xf numFmtId="0" fontId="77" fillId="0" borderId="36" xfId="84" applyFont="1" applyBorder="1"/>
    <xf numFmtId="0" fontId="77" fillId="0" borderId="0" xfId="97" applyFont="1"/>
    <xf numFmtId="2" fontId="89" fillId="0" borderId="0" xfId="63" applyNumberFormat="1" applyFont="1"/>
    <xf numFmtId="196" fontId="109" fillId="0" borderId="0" xfId="63" applyNumberFormat="1" applyFont="1" applyAlignment="1">
      <alignment horizontal="left"/>
    </xf>
    <xf numFmtId="0" fontId="78" fillId="63" borderId="36" xfId="0" applyFont="1" applyFill="1" applyBorder="1" applyAlignment="1">
      <alignment wrapText="1"/>
    </xf>
    <xf numFmtId="0" fontId="78" fillId="63" borderId="36" xfId="0" applyFont="1" applyFill="1" applyBorder="1"/>
    <xf numFmtId="2" fontId="75" fillId="64" borderId="0" xfId="12" applyNumberFormat="1" applyFont="1" applyFill="1"/>
    <xf numFmtId="2" fontId="74" fillId="64" borderId="0" xfId="12" applyNumberFormat="1" applyFont="1" applyFill="1"/>
    <xf numFmtId="3" fontId="87" fillId="64" borderId="36" xfId="62" applyNumberFormat="1" applyFont="1" applyFill="1" applyBorder="1" applyAlignment="1" applyProtection="1">
      <alignment horizontal="left" wrapText="1"/>
      <protection hidden="1"/>
    </xf>
    <xf numFmtId="3" fontId="87" fillId="64" borderId="36" xfId="62" applyNumberFormat="1" applyFont="1" applyFill="1" applyBorder="1" applyAlignment="1" applyProtection="1">
      <alignment horizontal="left" vertical="top" wrapText="1"/>
      <protection hidden="1"/>
    </xf>
    <xf numFmtId="167" fontId="112" fillId="63" borderId="33" xfId="8" applyFont="1" applyFill="1" applyBorder="1" applyAlignment="1">
      <alignment horizontal="center" vertical="top" wrapText="1"/>
    </xf>
    <xf numFmtId="0" fontId="111" fillId="0" borderId="0" xfId="0" applyFont="1" applyAlignment="1">
      <alignment horizontal="center" vertical="center"/>
    </xf>
    <xf numFmtId="0" fontId="115" fillId="0" borderId="0" xfId="17" applyFont="1"/>
    <xf numFmtId="1" fontId="79" fillId="0" borderId="36" xfId="61" applyNumberFormat="1" applyFont="1" applyBorder="1" applyAlignment="1">
      <alignment horizontal="center"/>
    </xf>
    <xf numFmtId="2" fontId="116" fillId="0" borderId="0" xfId="0" applyNumberFormat="1" applyFont="1"/>
    <xf numFmtId="2" fontId="114" fillId="63" borderId="33" xfId="0" applyNumberFormat="1" applyFont="1" applyFill="1" applyBorder="1" applyAlignment="1">
      <alignment horizontal="center" vertical="top" wrapText="1"/>
    </xf>
    <xf numFmtId="0" fontId="111" fillId="0" borderId="0" xfId="0" applyFont="1" applyAlignment="1">
      <alignment horizontal="center"/>
    </xf>
    <xf numFmtId="2" fontId="117" fillId="0" borderId="0" xfId="13" applyNumberFormat="1" applyFont="1" applyAlignment="1" applyProtection="1">
      <alignment vertical="center"/>
      <protection locked="0"/>
    </xf>
    <xf numFmtId="2" fontId="122" fillId="0" borderId="0" xfId="13" applyNumberFormat="1" applyFont="1" applyAlignment="1" applyProtection="1">
      <alignment horizontal="center" wrapText="1"/>
      <protection hidden="1"/>
    </xf>
    <xf numFmtId="0" fontId="111" fillId="0" borderId="0" xfId="0" applyFont="1" applyAlignment="1">
      <alignment horizontal="center" wrapText="1"/>
    </xf>
    <xf numFmtId="2" fontId="121" fillId="63" borderId="36" xfId="3" applyNumberFormat="1" applyFont="1" applyFill="1" applyBorder="1" applyAlignment="1" applyProtection="1">
      <alignment vertical="center" wrapText="1"/>
      <protection hidden="1"/>
    </xf>
    <xf numFmtId="0" fontId="82" fillId="0" borderId="0" xfId="9" applyFont="1" applyAlignment="1" applyProtection="1">
      <alignment horizontal="left" vertical="center"/>
      <protection hidden="1"/>
    </xf>
    <xf numFmtId="2" fontId="112" fillId="63" borderId="33" xfId="0" applyNumberFormat="1" applyFont="1" applyFill="1" applyBorder="1" applyAlignment="1">
      <alignment horizontal="left" vertical="top" wrapText="1"/>
    </xf>
    <xf numFmtId="0" fontId="111" fillId="0" borderId="0" xfId="84" applyFont="1"/>
    <xf numFmtId="167" fontId="35" fillId="64" borderId="36" xfId="8" applyFont="1" applyFill="1" applyBorder="1" applyAlignment="1">
      <alignment horizontal="left"/>
    </xf>
    <xf numFmtId="0" fontId="128" fillId="0" borderId="0" xfId="63" applyFont="1"/>
    <xf numFmtId="178" fontId="128" fillId="0" borderId="2" xfId="6" applyNumberFormat="1" applyFont="1" applyFill="1" applyBorder="1" applyAlignment="1"/>
    <xf numFmtId="44" fontId="128" fillId="0" borderId="0" xfId="63" applyNumberFormat="1" applyFont="1"/>
    <xf numFmtId="9" fontId="35" fillId="64" borderId="36" xfId="16" applyFont="1" applyFill="1" applyBorder="1" applyAlignment="1">
      <alignment horizontal="center"/>
    </xf>
    <xf numFmtId="2" fontId="35" fillId="64" borderId="36" xfId="8" applyNumberFormat="1" applyFont="1" applyFill="1" applyBorder="1" applyAlignment="1">
      <alignment horizontal="center"/>
    </xf>
    <xf numFmtId="1" fontId="126" fillId="2" borderId="36" xfId="8" applyNumberFormat="1" applyFont="1" applyFill="1" applyBorder="1" applyAlignment="1">
      <alignment horizontal="center"/>
    </xf>
    <xf numFmtId="173" fontId="126" fillId="2" borderId="36" xfId="8" applyNumberFormat="1" applyFont="1" applyFill="1" applyBorder="1"/>
    <xf numFmtId="167" fontId="126" fillId="2" borderId="36" xfId="8" applyFont="1" applyFill="1" applyBorder="1"/>
    <xf numFmtId="166" fontId="35" fillId="0" borderId="36" xfId="18" applyFont="1" applyBorder="1"/>
    <xf numFmtId="166" fontId="35" fillId="0" borderId="36" xfId="89" applyNumberFormat="1" applyFont="1" applyBorder="1"/>
    <xf numFmtId="173" fontId="78" fillId="63" borderId="36" xfId="8" applyNumberFormat="1" applyFont="1" applyFill="1" applyBorder="1" applyAlignment="1">
      <alignment vertical="top" wrapText="1"/>
    </xf>
    <xf numFmtId="173" fontId="78" fillId="63" borderId="36" xfId="8" applyNumberFormat="1" applyFont="1" applyFill="1" applyBorder="1" applyAlignment="1">
      <alignment horizontal="center" vertical="top" wrapText="1"/>
    </xf>
    <xf numFmtId="167" fontId="78" fillId="63" borderId="36" xfId="8" applyFont="1" applyFill="1" applyBorder="1" applyAlignment="1">
      <alignment horizontal="center" vertical="top" wrapText="1"/>
    </xf>
    <xf numFmtId="2" fontId="78" fillId="63" borderId="33" xfId="89" applyNumberFormat="1" applyFont="1" applyFill="1" applyBorder="1" applyAlignment="1">
      <alignment vertical="top" wrapText="1"/>
    </xf>
    <xf numFmtId="167" fontId="78" fillId="63" borderId="33" xfId="8" applyFont="1" applyFill="1" applyBorder="1" applyAlignment="1">
      <alignment horizontal="center" vertical="top" wrapText="1"/>
    </xf>
    <xf numFmtId="0" fontId="35" fillId="0" borderId="0" xfId="17" applyFont="1"/>
    <xf numFmtId="0" fontId="126" fillId="0" borderId="0" xfId="17" applyFont="1"/>
    <xf numFmtId="0" fontId="35" fillId="0" borderId="0" xfId="0" applyFont="1"/>
    <xf numFmtId="0" fontId="35" fillId="0" borderId="0" xfId="0" applyFont="1" applyAlignment="1">
      <alignment horizontal="center"/>
    </xf>
    <xf numFmtId="2" fontId="126" fillId="0" borderId="0" xfId="0" applyNumberFormat="1" applyFont="1" applyAlignment="1">
      <alignment horizontal="center"/>
    </xf>
    <xf numFmtId="2" fontId="129" fillId="0" borderId="0" xfId="0" applyNumberFormat="1" applyFont="1" applyAlignment="1">
      <alignment horizontal="center"/>
    </xf>
    <xf numFmtId="2" fontId="135" fillId="0" borderId="0" xfId="12" applyNumberFormat="1" applyFont="1" applyAlignment="1">
      <alignment horizontal="center"/>
    </xf>
    <xf numFmtId="174" fontId="35" fillId="0" borderId="4" xfId="0" applyNumberFormat="1" applyFont="1" applyBorder="1" applyAlignment="1">
      <alignment horizontal="center"/>
    </xf>
    <xf numFmtId="0" fontId="35" fillId="0" borderId="16" xfId="0" applyFont="1" applyBorder="1" applyAlignment="1">
      <alignment horizontal="center" wrapText="1"/>
    </xf>
    <xf numFmtId="174" fontId="35" fillId="0" borderId="0" xfId="0" applyNumberFormat="1" applyFont="1" applyAlignment="1">
      <alignment horizontal="center"/>
    </xf>
    <xf numFmtId="43" fontId="131" fillId="0" borderId="36" xfId="8" applyNumberFormat="1" applyFont="1" applyFill="1" applyBorder="1" applyAlignment="1">
      <alignment horizontal="center"/>
    </xf>
    <xf numFmtId="1" fontId="132" fillId="0" borderId="36" xfId="0" applyNumberFormat="1" applyFont="1" applyBorder="1" applyAlignment="1">
      <alignment horizontal="center"/>
    </xf>
    <xf numFmtId="14" fontId="130" fillId="0" borderId="0" xfId="12" applyNumberFormat="1" applyFont="1" applyAlignment="1">
      <alignment horizontal="left"/>
    </xf>
    <xf numFmtId="177" fontId="35" fillId="64" borderId="36" xfId="11" applyNumberFormat="1" applyFont="1" applyFill="1" applyBorder="1" applyAlignment="1" applyProtection="1">
      <alignment vertical="center"/>
      <protection hidden="1"/>
    </xf>
    <xf numFmtId="179" fontId="136"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6" fillId="0" borderId="36" xfId="3" applyNumberFormat="1" applyFont="1" applyFill="1" applyBorder="1" applyAlignment="1" applyProtection="1">
      <protection hidden="1"/>
    </xf>
    <xf numFmtId="166" fontId="136" fillId="35" borderId="36" xfId="18" applyFont="1" applyFill="1" applyBorder="1" applyAlignment="1" applyProtection="1">
      <protection locked="0"/>
    </xf>
    <xf numFmtId="175" fontId="137" fillId="0" borderId="5" xfId="0" applyNumberFormat="1" applyFont="1" applyBorder="1" applyAlignment="1">
      <alignment horizontal="center" vertical="center"/>
    </xf>
    <xf numFmtId="166" fontId="136" fillId="65" borderId="36" xfId="18" applyFont="1" applyFill="1" applyBorder="1" applyAlignment="1" applyProtection="1">
      <protection locked="0"/>
    </xf>
    <xf numFmtId="179" fontId="126" fillId="0" borderId="36" xfId="3" applyNumberFormat="1" applyFont="1" applyFill="1" applyBorder="1" applyAlignment="1" applyProtection="1">
      <protection hidden="1"/>
    </xf>
    <xf numFmtId="169" fontId="136" fillId="0" borderId="36" xfId="3" applyFont="1" applyFill="1" applyBorder="1" applyAlignment="1" applyProtection="1">
      <protection hidden="1"/>
    </xf>
    <xf numFmtId="166" fontId="136" fillId="0" borderId="36" xfId="18" applyFont="1" applyFill="1" applyBorder="1" applyAlignment="1" applyProtection="1">
      <protection locked="0"/>
    </xf>
    <xf numFmtId="169" fontId="136" fillId="0" borderId="36" xfId="3" applyFont="1" applyFill="1" applyBorder="1" applyAlignment="1" applyProtection="1">
      <protection locked="0"/>
    </xf>
    <xf numFmtId="166" fontId="139" fillId="2" borderId="36" xfId="18" applyFont="1" applyFill="1" applyBorder="1" applyAlignment="1" applyProtection="1">
      <alignment horizontal="right"/>
      <protection locked="0"/>
    </xf>
    <xf numFmtId="175" fontId="131" fillId="0" borderId="5" xfId="0" applyNumberFormat="1" applyFont="1" applyBorder="1" applyAlignment="1">
      <alignment horizontal="center" vertical="center"/>
    </xf>
    <xf numFmtId="175" fontId="140" fillId="0" borderId="5" xfId="0" applyNumberFormat="1" applyFont="1" applyBorder="1" applyAlignment="1">
      <alignment horizontal="center" vertical="center"/>
    </xf>
    <xf numFmtId="175" fontId="35" fillId="0" borderId="5" xfId="0" applyNumberFormat="1" applyFont="1" applyBorder="1"/>
    <xf numFmtId="179" fontId="126"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1" fillId="0" borderId="36" xfId="5" applyNumberFormat="1" applyFont="1" applyFill="1" applyBorder="1" applyAlignment="1" applyProtection="1">
      <protection hidden="1"/>
    </xf>
    <xf numFmtId="179" fontId="131" fillId="0" borderId="0" xfId="0" applyNumberFormat="1" applyFont="1"/>
    <xf numFmtId="0" fontId="131" fillId="0" borderId="0" xfId="0" applyFont="1"/>
    <xf numFmtId="14" fontId="130" fillId="0" borderId="0" xfId="0" applyNumberFormat="1" applyFont="1" applyAlignment="1">
      <alignment horizontal="left"/>
    </xf>
    <xf numFmtId="166" fontId="126" fillId="0" borderId="36" xfId="18" applyFont="1" applyBorder="1"/>
    <xf numFmtId="1" fontId="126" fillId="0" borderId="36" xfId="13" applyNumberFormat="1" applyFont="1" applyBorder="1" applyAlignment="1" applyProtection="1">
      <alignment horizontal="center"/>
      <protection hidden="1"/>
    </xf>
    <xf numFmtId="14" fontId="130" fillId="0" borderId="0" xfId="63" applyNumberFormat="1" applyFont="1" applyAlignment="1">
      <alignment horizontal="left"/>
    </xf>
    <xf numFmtId="0" fontId="35" fillId="0" borderId="0" xfId="103" applyFont="1"/>
    <xf numFmtId="14" fontId="144" fillId="0" borderId="0" xfId="63" applyNumberFormat="1" applyFont="1" applyAlignment="1">
      <alignment horizontal="left"/>
    </xf>
    <xf numFmtId="0" fontId="136" fillId="0" borderId="33" xfId="62" applyFont="1" applyBorder="1" applyAlignment="1" applyProtection="1">
      <alignment horizontal="left" textRotation="90"/>
      <protection hidden="1"/>
    </xf>
    <xf numFmtId="175" fontId="136" fillId="64" borderId="33" xfId="65" applyNumberFormat="1" applyFont="1" applyFill="1" applyBorder="1" applyAlignment="1" applyProtection="1">
      <alignment horizontal="center"/>
      <protection hidden="1"/>
    </xf>
    <xf numFmtId="0" fontId="136" fillId="0" borderId="0" xfId="62" applyFont="1" applyAlignment="1" applyProtection="1">
      <alignment horizontal="left" textRotation="90"/>
      <protection hidden="1"/>
    </xf>
    <xf numFmtId="0" fontId="35" fillId="0" borderId="0" xfId="84" applyFont="1"/>
    <xf numFmtId="0" fontId="145" fillId="0" borderId="0" xfId="62" applyFont="1" applyAlignment="1" applyProtection="1">
      <alignment horizontal="left" textRotation="90"/>
      <protection hidden="1"/>
    </xf>
    <xf numFmtId="179" fontId="136" fillId="64" borderId="36" xfId="62" applyNumberFormat="1" applyFont="1" applyFill="1" applyBorder="1" applyAlignment="1" applyProtection="1">
      <alignment horizontal="center"/>
      <protection hidden="1"/>
    </xf>
    <xf numFmtId="179" fontId="136" fillId="2" borderId="36" xfId="62" applyNumberFormat="1" applyFont="1" applyFill="1" applyBorder="1" applyAlignment="1" applyProtection="1">
      <alignment horizontal="center"/>
      <protection hidden="1"/>
    </xf>
    <xf numFmtId="179" fontId="136" fillId="0" borderId="36" xfId="62" applyNumberFormat="1" applyFont="1" applyBorder="1" applyAlignment="1" applyProtection="1">
      <alignment horizontal="center"/>
      <protection hidden="1"/>
    </xf>
    <xf numFmtId="3" fontId="136" fillId="64" borderId="36" xfId="62" applyNumberFormat="1" applyFont="1" applyFill="1" applyBorder="1" applyAlignment="1" applyProtection="1">
      <alignment horizontal="center"/>
      <protection hidden="1"/>
    </xf>
    <xf numFmtId="166" fontId="35" fillId="0" borderId="36" xfId="102" applyFont="1" applyBorder="1"/>
    <xf numFmtId="180" fontId="35" fillId="0" borderId="36" xfId="84" applyNumberFormat="1" applyFont="1" applyBorder="1"/>
    <xf numFmtId="197" fontId="35" fillId="0" borderId="36" xfId="84" applyNumberFormat="1" applyFont="1" applyBorder="1"/>
    <xf numFmtId="166" fontId="35" fillId="0" borderId="36" xfId="84" applyNumberFormat="1" applyFont="1" applyBorder="1"/>
    <xf numFmtId="49" fontId="126" fillId="0" borderId="36" xfId="8" applyNumberFormat="1" applyFont="1" applyBorder="1" applyAlignment="1">
      <alignment horizontal="center"/>
    </xf>
    <xf numFmtId="166" fontId="126" fillId="0" borderId="36" xfId="84" applyNumberFormat="1" applyFont="1" applyBorder="1"/>
    <xf numFmtId="49" fontId="76" fillId="65" borderId="36" xfId="62" applyNumberFormat="1" applyFont="1" applyFill="1" applyBorder="1" applyAlignment="1" applyProtection="1">
      <alignment horizontal="left" vertical="top"/>
      <protection hidden="1"/>
    </xf>
    <xf numFmtId="2" fontId="78" fillId="63" borderId="36" xfId="89" applyNumberFormat="1" applyFont="1" applyFill="1" applyBorder="1" applyAlignment="1">
      <alignment vertical="top" wrapText="1"/>
    </xf>
    <xf numFmtId="2" fontId="77" fillId="0" borderId="36" xfId="0" applyNumberFormat="1" applyFont="1" applyBorder="1"/>
    <xf numFmtId="2" fontId="77" fillId="0" borderId="36" xfId="89" applyNumberFormat="1" applyFont="1" applyBorder="1"/>
    <xf numFmtId="0" fontId="83" fillId="0" borderId="36" xfId="0" applyFont="1" applyBorder="1"/>
    <xf numFmtId="0" fontId="79" fillId="0" borderId="36" xfId="89" applyFont="1" applyBorder="1"/>
    <xf numFmtId="166" fontId="35" fillId="2" borderId="36" xfId="18" applyFont="1" applyFill="1" applyBorder="1" applyAlignment="1">
      <alignment horizontal="center"/>
    </xf>
    <xf numFmtId="166" fontId="79" fillId="2" borderId="36" xfId="18" applyFont="1" applyFill="1" applyBorder="1"/>
    <xf numFmtId="166" fontId="126" fillId="2" borderId="36" xfId="18" applyFont="1" applyFill="1" applyBorder="1"/>
    <xf numFmtId="2" fontId="112" fillId="63" borderId="36" xfId="0" applyNumberFormat="1" applyFont="1" applyFill="1" applyBorder="1" applyAlignment="1">
      <alignment horizontal="left" vertical="center" wrapText="1"/>
    </xf>
    <xf numFmtId="1" fontId="112" fillId="63" borderId="36" xfId="0" applyNumberFormat="1" applyFont="1" applyFill="1" applyBorder="1" applyAlignment="1">
      <alignment horizontal="center" vertical="center" wrapText="1"/>
    </xf>
    <xf numFmtId="0" fontId="112" fillId="63" borderId="36" xfId="0" applyFont="1" applyFill="1" applyBorder="1" applyAlignment="1">
      <alignment horizontal="left" vertical="center" wrapText="1"/>
    </xf>
    <xf numFmtId="2" fontId="112" fillId="63" borderId="36" xfId="0" applyNumberFormat="1" applyFont="1" applyFill="1" applyBorder="1" applyAlignment="1">
      <alignment horizontal="center" vertical="center" wrapText="1"/>
    </xf>
    <xf numFmtId="1" fontId="113" fillId="0" borderId="36" xfId="0" applyNumberFormat="1" applyFont="1" applyBorder="1" applyAlignment="1">
      <alignment horizontal="center" vertical="center" wrapText="1"/>
    </xf>
    <xf numFmtId="0" fontId="77" fillId="2" borderId="36" xfId="0" applyFont="1" applyFill="1" applyBorder="1" applyAlignment="1">
      <alignment vertical="center"/>
    </xf>
    <xf numFmtId="173" fontId="126" fillId="64" borderId="36" xfId="8" applyNumberFormat="1" applyFont="1" applyFill="1" applyBorder="1" applyAlignment="1">
      <alignment horizontal="center"/>
    </xf>
    <xf numFmtId="173" fontId="35" fillId="0" borderId="36" xfId="8" applyNumberFormat="1" applyFont="1" applyFill="1" applyBorder="1" applyAlignment="1">
      <alignment horizontal="center" vertical="center"/>
    </xf>
    <xf numFmtId="0" fontId="77" fillId="0" borderId="36" xfId="0" applyFont="1" applyBorder="1" applyAlignment="1">
      <alignment horizontal="center" vertical="center"/>
    </xf>
    <xf numFmtId="0" fontId="77" fillId="0" borderId="36" xfId="0" applyFont="1" applyBorder="1" applyAlignment="1">
      <alignment vertical="center"/>
    </xf>
    <xf numFmtId="0" fontId="79" fillId="0" borderId="36" xfId="0" applyFont="1" applyBorder="1" applyAlignment="1">
      <alignment vertical="center"/>
    </xf>
    <xf numFmtId="0" fontId="126" fillId="0" borderId="36" xfId="0" applyFont="1" applyBorder="1"/>
    <xf numFmtId="0" fontId="133" fillId="0" borderId="36" xfId="17" applyFont="1" applyBorder="1" applyAlignment="1">
      <alignment horizontal="left"/>
    </xf>
    <xf numFmtId="173" fontId="126" fillId="0" borderId="36" xfId="8" applyNumberFormat="1" applyFont="1" applyFill="1" applyBorder="1" applyAlignment="1">
      <alignment horizontal="center" vertical="center"/>
    </xf>
    <xf numFmtId="0" fontId="79" fillId="0" borderId="36" xfId="0" applyFont="1" applyBorder="1" applyAlignment="1">
      <alignment horizontal="center" vertical="center"/>
    </xf>
    <xf numFmtId="1" fontId="112" fillId="63" borderId="36" xfId="0" applyNumberFormat="1" applyFont="1" applyFill="1" applyBorder="1" applyAlignment="1">
      <alignment horizontal="left"/>
    </xf>
    <xf numFmtId="1" fontId="112" fillId="63" borderId="36" xfId="0" applyNumberFormat="1" applyFont="1" applyFill="1" applyBorder="1" applyAlignment="1">
      <alignment horizontal="center"/>
    </xf>
    <xf numFmtId="9" fontId="127" fillId="63" borderId="33" xfId="16" applyFont="1" applyFill="1" applyBorder="1" applyAlignment="1">
      <alignment horizontal="center" vertical="top" wrapText="1"/>
    </xf>
    <xf numFmtId="0" fontId="112" fillId="63" borderId="33" xfId="0" applyFont="1" applyFill="1" applyBorder="1" applyAlignment="1">
      <alignment horizontal="left" vertical="top" wrapText="1"/>
    </xf>
    <xf numFmtId="182" fontId="112" fillId="63" borderId="33" xfId="8" applyNumberFormat="1" applyFont="1" applyFill="1" applyBorder="1" applyAlignment="1">
      <alignment horizontal="left" vertical="top" wrapText="1"/>
    </xf>
    <xf numFmtId="167" fontId="114" fillId="63" borderId="33" xfId="8" applyFont="1" applyFill="1" applyBorder="1" applyAlignment="1">
      <alignment horizontal="center" vertical="top" wrapText="1"/>
    </xf>
    <xf numFmtId="1" fontId="77" fillId="0" borderId="36" xfId="0" applyNumberFormat="1" applyFont="1" applyBorder="1" applyAlignment="1">
      <alignment horizontal="center"/>
    </xf>
    <xf numFmtId="174" fontId="35" fillId="0" borderId="36" xfId="0" applyNumberFormat="1" applyFont="1" applyBorder="1" applyAlignment="1">
      <alignment horizontal="center"/>
    </xf>
    <xf numFmtId="1" fontId="128" fillId="0" borderId="36" xfId="0" applyNumberFormat="1" applyFont="1" applyBorder="1" applyAlignment="1">
      <alignment horizontal="center"/>
    </xf>
    <xf numFmtId="1" fontId="131" fillId="0" borderId="36" xfId="8" applyNumberFormat="1" applyFont="1" applyFill="1" applyBorder="1" applyAlignment="1">
      <alignment horizontal="center"/>
    </xf>
    <xf numFmtId="2" fontId="84" fillId="0" borderId="36" xfId="8" applyNumberFormat="1" applyFont="1" applyFill="1" applyBorder="1" applyAlignment="1">
      <alignment horizontal="center"/>
    </xf>
    <xf numFmtId="49" fontId="131" fillId="0" borderId="36" xfId="8" applyNumberFormat="1" applyFont="1" applyFill="1" applyBorder="1" applyAlignment="1">
      <alignment horizontal="center"/>
    </xf>
    <xf numFmtId="173" fontId="131" fillId="0" borderId="36" xfId="8" applyNumberFormat="1" applyFont="1" applyFill="1" applyBorder="1" applyAlignment="1">
      <alignment horizontal="center"/>
    </xf>
    <xf numFmtId="0" fontId="77" fillId="0" borderId="33" xfId="0" applyFont="1" applyBorder="1"/>
    <xf numFmtId="177" fontId="126" fillId="0" borderId="36" xfId="11" applyNumberFormat="1" applyFont="1" applyBorder="1" applyAlignment="1" applyProtection="1">
      <alignment vertical="center"/>
      <protection hidden="1"/>
    </xf>
    <xf numFmtId="177" fontId="35" fillId="0" borderId="36" xfId="11" applyNumberFormat="1" applyFont="1" applyBorder="1" applyAlignment="1" applyProtection="1">
      <alignment vertical="center"/>
      <protection hidden="1"/>
    </xf>
    <xf numFmtId="2" fontId="79" fillId="0" borderId="36" xfId="11" applyNumberFormat="1" applyFont="1" applyBorder="1" applyAlignment="1" applyProtection="1">
      <alignment horizontal="center"/>
      <protection hidden="1"/>
    </xf>
    <xf numFmtId="179" fontId="136" fillId="0" borderId="36" xfId="13" applyNumberFormat="1" applyFont="1" applyBorder="1" applyAlignment="1" applyProtection="1">
      <alignment horizontal="left" vertical="center"/>
      <protection hidden="1"/>
    </xf>
    <xf numFmtId="166" fontId="136" fillId="64" borderId="36" xfId="18" applyFont="1" applyFill="1" applyBorder="1" applyAlignment="1" applyProtection="1">
      <alignment horizontal="right" vertical="center"/>
      <protection hidden="1"/>
    </xf>
    <xf numFmtId="10" fontId="35" fillId="64" borderId="36" xfId="11" applyNumberFormat="1" applyFont="1" applyFill="1" applyBorder="1" applyAlignment="1" applyProtection="1">
      <alignment vertical="center"/>
      <protection hidden="1"/>
    </xf>
    <xf numFmtId="10" fontId="126" fillId="0" borderId="36" xfId="16" applyNumberFormat="1" applyFont="1" applyFill="1" applyBorder="1" applyAlignment="1"/>
    <xf numFmtId="0" fontId="112" fillId="63" borderId="36" xfId="13" applyFont="1" applyFill="1" applyBorder="1" applyAlignment="1" applyProtection="1">
      <alignment horizontal="left" vertical="center"/>
      <protection hidden="1"/>
    </xf>
    <xf numFmtId="0" fontId="87" fillId="0" borderId="36" xfId="13" applyFont="1" applyBorder="1" applyAlignment="1" applyProtection="1">
      <alignment horizontal="left" vertical="center"/>
      <protection hidden="1"/>
    </xf>
    <xf numFmtId="2" fontId="136" fillId="2" borderId="36" xfId="13" applyNumberFormat="1" applyFont="1" applyFill="1" applyBorder="1" applyAlignment="1" applyProtection="1">
      <alignment horizontal="right" vertical="center"/>
      <protection hidden="1"/>
    </xf>
    <xf numFmtId="0" fontId="79" fillId="0" borderId="36" xfId="13" applyFont="1" applyBorder="1" applyAlignment="1" applyProtection="1">
      <alignment vertical="center"/>
      <protection hidden="1"/>
    </xf>
    <xf numFmtId="2" fontId="126" fillId="0" borderId="36" xfId="13" applyNumberFormat="1" applyFont="1" applyBorder="1" applyAlignment="1" applyProtection="1">
      <alignment vertical="center"/>
      <protection hidden="1"/>
    </xf>
    <xf numFmtId="0" fontId="91" fillId="0" borderId="36" xfId="13" applyFont="1" applyBorder="1" applyAlignment="1" applyProtection="1">
      <alignment vertical="center"/>
      <protection hidden="1"/>
    </xf>
    <xf numFmtId="0" fontId="35" fillId="0" borderId="36" xfId="0" applyFont="1" applyBorder="1" applyAlignment="1">
      <alignment vertical="center"/>
    </xf>
    <xf numFmtId="2" fontId="136" fillId="64" borderId="36" xfId="13" applyNumberFormat="1" applyFont="1" applyFill="1" applyBorder="1" applyAlignment="1" applyProtection="1">
      <alignment horizontal="right" vertical="center"/>
      <protection hidden="1"/>
    </xf>
    <xf numFmtId="0" fontId="92" fillId="0" borderId="36" xfId="13" applyFont="1" applyBorder="1" applyAlignment="1" applyProtection="1">
      <alignment vertical="center"/>
      <protection hidden="1"/>
    </xf>
    <xf numFmtId="0" fontId="77" fillId="0" borderId="36" xfId="13" applyFont="1" applyBorder="1" applyAlignment="1" applyProtection="1">
      <alignment vertical="center"/>
      <protection hidden="1"/>
    </xf>
    <xf numFmtId="10" fontId="136" fillId="0" borderId="36" xfId="16" applyNumberFormat="1" applyFont="1" applyFill="1" applyBorder="1" applyAlignment="1" applyProtection="1">
      <alignment vertical="center"/>
      <protection hidden="1"/>
    </xf>
    <xf numFmtId="10" fontId="126" fillId="0" borderId="36" xfId="16" applyNumberFormat="1" applyFont="1" applyFill="1" applyBorder="1" applyAlignment="1" applyProtection="1">
      <alignment vertical="center"/>
      <protection hidden="1"/>
    </xf>
    <xf numFmtId="175" fontId="137" fillId="0" borderId="38" xfId="0" applyNumberFormat="1" applyFont="1" applyBorder="1" applyAlignment="1">
      <alignment horizontal="center" vertical="center"/>
    </xf>
    <xf numFmtId="175" fontId="138" fillId="0" borderId="36" xfId="16" applyNumberFormat="1" applyFont="1" applyFill="1" applyBorder="1" applyAlignment="1" applyProtection="1">
      <alignment horizontal="center"/>
      <protection hidden="1"/>
    </xf>
    <xf numFmtId="9" fontId="136" fillId="64" borderId="36" xfId="16" applyFont="1" applyFill="1" applyBorder="1" applyAlignment="1" applyProtection="1">
      <alignment horizontal="center"/>
      <protection hidden="1"/>
    </xf>
    <xf numFmtId="9" fontId="126" fillId="0" borderId="36" xfId="0" applyNumberFormat="1" applyFont="1" applyBorder="1" applyAlignment="1">
      <alignment horizontal="center"/>
    </xf>
    <xf numFmtId="9" fontId="126" fillId="61" borderId="36" xfId="65" applyFont="1" applyFill="1" applyBorder="1" applyAlignment="1">
      <alignment horizontal="center"/>
    </xf>
    <xf numFmtId="0" fontId="103" fillId="0" borderId="38" xfId="0" applyFont="1" applyBorder="1" applyAlignment="1">
      <alignment horizontal="right"/>
    </xf>
    <xf numFmtId="175" fontId="86" fillId="0" borderId="38" xfId="0" applyNumberFormat="1" applyFont="1" applyBorder="1" applyAlignment="1">
      <alignment horizontal="center" vertical="center"/>
    </xf>
    <xf numFmtId="166" fontId="126" fillId="0" borderId="36" xfId="18" applyFont="1" applyBorder="1" applyAlignment="1">
      <alignment horizontal="center"/>
    </xf>
    <xf numFmtId="0" fontId="112" fillId="63" borderId="36" xfId="59" applyFont="1" applyFill="1" applyBorder="1" applyAlignment="1">
      <alignment horizontal="left" vertical="top" wrapText="1"/>
    </xf>
    <xf numFmtId="0" fontId="35" fillId="0" borderId="36" xfId="0" applyFont="1" applyBorder="1" applyAlignment="1">
      <alignment horizontal="center"/>
    </xf>
    <xf numFmtId="167" fontId="35" fillId="0" borderId="36" xfId="8" applyFont="1" applyBorder="1"/>
    <xf numFmtId="166" fontId="35" fillId="0" borderId="36" xfId="18" applyFont="1" applyFill="1" applyBorder="1"/>
    <xf numFmtId="167" fontId="126" fillId="0" borderId="36" xfId="8" applyFont="1" applyBorder="1"/>
    <xf numFmtId="0" fontId="77" fillId="0" borderId="36" xfId="9" applyFont="1" applyBorder="1" applyAlignment="1" applyProtection="1">
      <alignment horizontal="left"/>
      <protection hidden="1"/>
    </xf>
    <xf numFmtId="0" fontId="35" fillId="0" borderId="36" xfId="9" applyFont="1" applyBorder="1" applyAlignment="1" applyProtection="1">
      <alignment horizontal="center"/>
      <protection hidden="1"/>
    </xf>
    <xf numFmtId="0" fontId="77" fillId="0" borderId="36" xfId="10" applyFont="1" applyBorder="1"/>
    <xf numFmtId="179" fontId="143" fillId="64" borderId="36" xfId="10" applyNumberFormat="1" applyFont="1" applyFill="1" applyBorder="1"/>
    <xf numFmtId="0" fontId="77" fillId="64" borderId="36" xfId="10" applyFont="1" applyFill="1" applyBorder="1"/>
    <xf numFmtId="0" fontId="77" fillId="0" borderId="36" xfId="9" applyFont="1" applyBorder="1" applyAlignment="1" applyProtection="1">
      <alignment horizontal="left" vertical="center"/>
      <protection hidden="1"/>
    </xf>
    <xf numFmtId="0" fontId="77" fillId="0" borderId="36" xfId="9" applyFont="1" applyBorder="1" applyAlignment="1" applyProtection="1">
      <alignment horizontal="right"/>
      <protection hidden="1"/>
    </xf>
    <xf numFmtId="173" fontId="112" fillId="63" borderId="33" xfId="8" applyNumberFormat="1" applyFont="1" applyFill="1" applyBorder="1" applyAlignment="1">
      <alignment vertical="top" wrapText="1"/>
    </xf>
    <xf numFmtId="0" fontId="77" fillId="0" borderId="36" xfId="103" applyFont="1" applyBorder="1" applyAlignment="1">
      <alignment vertical="top" wrapText="1"/>
    </xf>
    <xf numFmtId="44" fontId="35" fillId="65" borderId="36" xfId="66" applyFont="1" applyFill="1" applyBorder="1" applyAlignment="1" applyProtection="1">
      <protection locked="0"/>
    </xf>
    <xf numFmtId="0" fontId="77" fillId="0" borderId="36" xfId="103" applyFont="1" applyBorder="1" applyAlignment="1">
      <alignment vertical="top"/>
    </xf>
    <xf numFmtId="2" fontId="112" fillId="63" borderId="33" xfId="84" applyNumberFormat="1" applyFont="1" applyFill="1" applyBorder="1" applyAlignment="1">
      <alignment horizontal="left" vertical="top" wrapText="1"/>
    </xf>
    <xf numFmtId="2" fontId="112" fillId="63" borderId="33" xfId="84" applyNumberFormat="1" applyFont="1" applyFill="1" applyBorder="1" applyAlignment="1">
      <alignment vertical="top" wrapText="1"/>
    </xf>
    <xf numFmtId="2" fontId="77" fillId="0" borderId="36" xfId="84" applyNumberFormat="1" applyFont="1" applyBorder="1"/>
    <xf numFmtId="166" fontId="35" fillId="0" borderId="36" xfId="18" applyFont="1" applyBorder="1" applyAlignment="1">
      <alignment horizontal="center" vertical="top" wrapText="1"/>
    </xf>
    <xf numFmtId="44" fontId="35" fillId="0" borderId="36" xfId="66" applyFont="1" applyBorder="1" applyAlignment="1">
      <alignment vertical="top" wrapText="1"/>
    </xf>
    <xf numFmtId="49" fontId="35" fillId="0" borderId="36" xfId="103" applyNumberFormat="1" applyFont="1" applyBorder="1" applyAlignment="1">
      <alignment horizontal="center" vertical="top" wrapText="1"/>
    </xf>
    <xf numFmtId="3" fontId="35" fillId="2" borderId="36" xfId="8" applyNumberFormat="1" applyFont="1" applyFill="1" applyBorder="1" applyAlignment="1">
      <alignment horizontal="center"/>
    </xf>
    <xf numFmtId="3" fontId="126" fillId="2" borderId="36" xfId="8" applyNumberFormat="1" applyFont="1" applyFill="1" applyBorder="1" applyAlignment="1">
      <alignment horizontal="center"/>
    </xf>
    <xf numFmtId="4" fontId="35" fillId="2" borderId="36" xfId="8" applyNumberFormat="1" applyFont="1" applyFill="1" applyBorder="1" applyAlignment="1">
      <alignment horizontal="center"/>
    </xf>
    <xf numFmtId="4" fontId="126" fillId="2" borderId="36" xfId="8" applyNumberFormat="1" applyFont="1" applyFill="1" applyBorder="1" applyAlignment="1">
      <alignment horizontal="center"/>
    </xf>
    <xf numFmtId="0" fontId="7" fillId="0" borderId="0" xfId="0" applyFont="1"/>
    <xf numFmtId="9" fontId="77" fillId="0" borderId="0" xfId="0" applyNumberFormat="1" applyFont="1"/>
    <xf numFmtId="166" fontId="77" fillId="0" borderId="0" xfId="18" applyFont="1"/>
    <xf numFmtId="9" fontId="77" fillId="0" borderId="0" xfId="16" applyFont="1"/>
    <xf numFmtId="44" fontId="77" fillId="0" borderId="0" xfId="0" applyNumberFormat="1" applyFont="1"/>
    <xf numFmtId="49" fontId="76" fillId="65" borderId="36" xfId="9" applyNumberFormat="1" applyFont="1" applyFill="1" applyBorder="1" applyAlignment="1" applyProtection="1">
      <alignment horizontal="left" vertical="top"/>
      <protection hidden="1"/>
    </xf>
    <xf numFmtId="0" fontId="79" fillId="64" borderId="36" xfId="13" applyFont="1" applyFill="1" applyBorder="1" applyProtection="1">
      <protection hidden="1"/>
    </xf>
    <xf numFmtId="166" fontId="35" fillId="0" borderId="36" xfId="18" applyFont="1" applyFill="1" applyBorder="1" applyAlignment="1" applyProtection="1">
      <protection hidden="1"/>
    </xf>
    <xf numFmtId="166" fontId="136" fillId="2" borderId="36" xfId="18" applyFont="1" applyFill="1" applyBorder="1" applyAlignment="1" applyProtection="1">
      <alignment horizontal="center"/>
      <protection hidden="1"/>
    </xf>
    <xf numFmtId="9" fontId="128" fillId="64" borderId="36" xfId="16" applyFont="1" applyFill="1" applyBorder="1" applyAlignment="1" applyProtection="1">
      <alignment horizontal="center"/>
      <protection hidden="1"/>
    </xf>
    <xf numFmtId="9" fontId="132" fillId="64" borderId="36" xfId="16" applyFont="1" applyFill="1" applyBorder="1" applyAlignment="1" applyProtection="1">
      <alignment horizontal="center"/>
      <protection hidden="1"/>
    </xf>
    <xf numFmtId="173" fontId="80" fillId="0" borderId="0" xfId="8" applyNumberFormat="1" applyFont="1" applyAlignment="1">
      <alignment horizontal="left"/>
    </xf>
    <xf numFmtId="173" fontId="80" fillId="0" borderId="0" xfId="8" applyNumberFormat="1" applyFont="1" applyAlignment="1">
      <alignment horizontal="left" vertical="top"/>
    </xf>
    <xf numFmtId="180" fontId="76" fillId="65" borderId="36" xfId="18" applyNumberFormat="1" applyFont="1" applyFill="1" applyBorder="1" applyAlignment="1" applyProtection="1">
      <alignment horizontal="left" vertical="top"/>
      <protection hidden="1"/>
    </xf>
    <xf numFmtId="10" fontId="132" fillId="64" borderId="36" xfId="16" applyNumberFormat="1" applyFont="1" applyFill="1" applyBorder="1" applyAlignment="1" applyProtection="1">
      <alignment horizontal="center"/>
      <protection hidden="1"/>
    </xf>
    <xf numFmtId="49" fontId="77" fillId="0" borderId="36" xfId="0" applyNumberFormat="1" applyFont="1" applyBorder="1"/>
    <xf numFmtId="49" fontId="77" fillId="0" borderId="0" xfId="0" applyNumberFormat="1" applyFont="1"/>
    <xf numFmtId="175" fontId="77" fillId="0" borderId="0" xfId="0" applyNumberFormat="1" applyFont="1"/>
    <xf numFmtId="9" fontId="126" fillId="0" borderId="0" xfId="0" applyNumberFormat="1" applyFont="1" applyAlignment="1">
      <alignment horizontal="center"/>
    </xf>
    <xf numFmtId="167" fontId="79" fillId="2" borderId="36" xfId="8" applyFont="1" applyFill="1" applyBorder="1" applyAlignment="1">
      <alignment horizontal="center"/>
    </xf>
    <xf numFmtId="44" fontId="77" fillId="0" borderId="0" xfId="89" applyNumberFormat="1" applyFont="1"/>
    <xf numFmtId="1" fontId="79" fillId="0" borderId="0" xfId="61" applyNumberFormat="1" applyFont="1" applyAlignment="1">
      <alignment horizontal="center"/>
    </xf>
    <xf numFmtId="0" fontId="77" fillId="0" borderId="36" xfId="0" applyFont="1" applyBorder="1" applyAlignment="1">
      <alignment wrapText="1"/>
    </xf>
    <xf numFmtId="2" fontId="35" fillId="0" borderId="36" xfId="0" applyNumberFormat="1" applyFont="1" applyBorder="1" applyAlignment="1">
      <alignment horizontal="center"/>
    </xf>
    <xf numFmtId="2" fontId="35" fillId="0" borderId="16" xfId="0" applyNumberFormat="1" applyFont="1" applyBorder="1" applyAlignment="1">
      <alignment horizontal="center" wrapText="1"/>
    </xf>
    <xf numFmtId="0" fontId="77" fillId="0" borderId="39" xfId="9" applyFont="1" applyBorder="1" applyAlignment="1" applyProtection="1">
      <alignment horizontal="center" vertical="top"/>
      <protection hidden="1"/>
    </xf>
    <xf numFmtId="0" fontId="77" fillId="0" borderId="40" xfId="9" applyFont="1" applyBorder="1" applyAlignment="1" applyProtection="1">
      <alignment horizontal="left" wrapText="1"/>
      <protection hidden="1"/>
    </xf>
    <xf numFmtId="167" fontId="77" fillId="0" borderId="0" xfId="8" applyFont="1" applyAlignment="1">
      <alignment horizontal="center"/>
    </xf>
    <xf numFmtId="167" fontId="79" fillId="0" borderId="0" xfId="89" applyNumberFormat="1" applyFont="1" applyAlignment="1">
      <alignment horizontal="center"/>
    </xf>
    <xf numFmtId="167" fontId="77" fillId="0" borderId="0" xfId="8" applyFont="1" applyAlignment="1">
      <alignment horizontal="right" wrapText="1"/>
    </xf>
    <xf numFmtId="44" fontId="35" fillId="65" borderId="40" xfId="66" applyFont="1" applyFill="1" applyBorder="1" applyAlignment="1" applyProtection="1">
      <protection locked="0"/>
    </xf>
    <xf numFmtId="0" fontId="81" fillId="2" borderId="0" xfId="0" applyFont="1" applyFill="1"/>
    <xf numFmtId="0" fontId="77" fillId="2" borderId="0" xfId="0" applyFont="1" applyFill="1"/>
    <xf numFmtId="2" fontId="146" fillId="2" borderId="0" xfId="63" applyNumberFormat="1" applyFont="1" applyFill="1"/>
    <xf numFmtId="3" fontId="35" fillId="2" borderId="36" xfId="8" applyNumberFormat="1" applyFont="1" applyFill="1" applyBorder="1" applyAlignment="1">
      <alignment horizontal="center" vertical="top" wrapText="1"/>
    </xf>
    <xf numFmtId="0" fontId="80" fillId="2" borderId="0" xfId="0" applyFont="1" applyFill="1"/>
    <xf numFmtId="1" fontId="80" fillId="2" borderId="0" xfId="0" applyNumberFormat="1" applyFont="1" applyFill="1" applyAlignment="1">
      <alignment horizontal="center"/>
    </xf>
    <xf numFmtId="166" fontId="35" fillId="0" borderId="36" xfId="18" applyFont="1" applyFill="1" applyBorder="1" applyAlignment="1">
      <alignment horizontal="center"/>
    </xf>
    <xf numFmtId="173" fontId="81" fillId="2" borderId="0" xfId="8" applyNumberFormat="1" applyFont="1" applyFill="1" applyAlignment="1">
      <alignment horizontal="center"/>
    </xf>
    <xf numFmtId="2" fontId="74" fillId="2" borderId="0" xfId="12" applyNumberFormat="1" applyFont="1" applyFill="1"/>
    <xf numFmtId="2" fontId="35" fillId="2" borderId="16" xfId="0" applyNumberFormat="1" applyFont="1" applyFill="1" applyBorder="1" applyAlignment="1">
      <alignment horizontal="center" wrapText="1"/>
    </xf>
    <xf numFmtId="1" fontId="35" fillId="0" borderId="16" xfId="0" applyNumberFormat="1" applyFont="1" applyBorder="1" applyAlignment="1">
      <alignment horizontal="center" wrapText="1"/>
    </xf>
    <xf numFmtId="0" fontId="77" fillId="2" borderId="41" xfId="10" applyFont="1" applyFill="1" applyBorder="1"/>
    <xf numFmtId="0" fontId="77" fillId="2" borderId="2" xfId="10" applyFont="1" applyFill="1" applyBorder="1"/>
    <xf numFmtId="179" fontId="143" fillId="2" borderId="40" xfId="10" applyNumberFormat="1" applyFont="1" applyFill="1" applyBorder="1"/>
    <xf numFmtId="0" fontId="77" fillId="2" borderId="39" xfId="10" applyFont="1" applyFill="1" applyBorder="1"/>
    <xf numFmtId="9" fontId="126" fillId="64" borderId="36" xfId="61" applyNumberFormat="1" applyFont="1" applyFill="1" applyBorder="1" applyAlignment="1">
      <alignment horizontal="center" vertical="center"/>
    </xf>
    <xf numFmtId="166" fontId="35" fillId="2" borderId="36" xfId="18" applyFont="1" applyFill="1" applyBorder="1"/>
    <xf numFmtId="10" fontId="142" fillId="2" borderId="36" xfId="16" applyNumberFormat="1" applyFont="1" applyFill="1" applyBorder="1" applyAlignment="1" applyProtection="1">
      <alignment horizontal="right"/>
      <protection hidden="1"/>
    </xf>
    <xf numFmtId="180" fontId="136" fillId="35" borderId="36" xfId="18" applyNumberFormat="1" applyFont="1" applyFill="1" applyBorder="1" applyAlignment="1" applyProtection="1">
      <protection locked="0"/>
    </xf>
    <xf numFmtId="2" fontId="112" fillId="63" borderId="39" xfId="0" applyNumberFormat="1" applyFont="1" applyFill="1" applyBorder="1" applyAlignment="1">
      <alignment horizontal="center" vertical="center" wrapText="1"/>
    </xf>
    <xf numFmtId="167" fontId="114" fillId="63" borderId="34" xfId="8" applyFont="1" applyFill="1" applyBorder="1" applyAlignment="1">
      <alignment horizontal="center" vertical="top" wrapText="1"/>
    </xf>
    <xf numFmtId="167" fontId="114" fillId="62" borderId="37" xfId="8" applyFont="1" applyFill="1" applyBorder="1" applyAlignment="1">
      <alignment horizontal="center" vertical="top" wrapText="1"/>
    </xf>
    <xf numFmtId="167" fontId="114" fillId="62" borderId="38" xfId="8" applyFont="1" applyFill="1" applyBorder="1" applyAlignment="1">
      <alignment horizontal="center" vertical="top" wrapText="1"/>
    </xf>
    <xf numFmtId="167" fontId="114" fillId="62" borderId="35" xfId="8" applyFont="1" applyFill="1" applyBorder="1" applyAlignment="1">
      <alignment horizontal="center" vertical="top" wrapText="1"/>
    </xf>
    <xf numFmtId="167" fontId="114" fillId="62" borderId="2" xfId="8" applyFont="1" applyFill="1" applyBorder="1" applyAlignment="1">
      <alignment horizontal="center" vertical="top" wrapText="1"/>
    </xf>
    <xf numFmtId="167" fontId="114" fillId="62" borderId="6" xfId="8" applyFont="1" applyFill="1" applyBorder="1" applyAlignment="1">
      <alignment horizontal="center" vertical="top" wrapText="1"/>
    </xf>
    <xf numFmtId="0" fontId="77" fillId="0" borderId="0" xfId="0" applyFont="1" applyAlignment="1">
      <alignment horizontal="left" vertical="top" wrapText="1"/>
    </xf>
    <xf numFmtId="2" fontId="121" fillId="63" borderId="36" xfId="13" applyNumberFormat="1" applyFont="1" applyFill="1" applyBorder="1" applyAlignment="1" applyProtection="1">
      <alignment horizontal="center" vertical="center" wrapText="1"/>
      <protection hidden="1"/>
    </xf>
    <xf numFmtId="2" fontId="121" fillId="62" borderId="36" xfId="13" applyNumberFormat="1" applyFont="1" applyFill="1" applyBorder="1" applyAlignment="1" applyProtection="1">
      <alignment horizontal="center" vertical="center" wrapText="1"/>
      <protection hidden="1"/>
    </xf>
    <xf numFmtId="173" fontId="78" fillId="63" borderId="41" xfId="8" applyNumberFormat="1" applyFont="1" applyFill="1" applyBorder="1" applyAlignment="1">
      <alignment horizontal="left"/>
    </xf>
    <xf numFmtId="167" fontId="78" fillId="63" borderId="40" xfId="8" applyFont="1" applyFill="1" applyBorder="1"/>
    <xf numFmtId="49" fontId="80" fillId="0" borderId="41" xfId="63" applyNumberFormat="1" applyFont="1" applyBorder="1" applyAlignment="1">
      <alignment vertical="top"/>
    </xf>
    <xf numFmtId="0" fontId="77" fillId="0" borderId="39" xfId="63" applyFont="1" applyBorder="1"/>
    <xf numFmtId="49" fontId="79" fillId="0" borderId="39" xfId="63" applyNumberFormat="1" applyFont="1" applyBorder="1"/>
    <xf numFmtId="166" fontId="127" fillId="2" borderId="40" xfId="18" applyFont="1" applyFill="1" applyBorder="1" applyAlignment="1"/>
    <xf numFmtId="167" fontId="77" fillId="0" borderId="40" xfId="8" applyFont="1" applyBorder="1"/>
    <xf numFmtId="49" fontId="78" fillId="63" borderId="41" xfId="63" applyNumberFormat="1" applyFont="1" applyFill="1" applyBorder="1"/>
    <xf numFmtId="0" fontId="78" fillId="63" borderId="39" xfId="63" applyFont="1" applyFill="1" applyBorder="1"/>
    <xf numFmtId="44" fontId="125" fillId="63" borderId="40" xfId="63" applyNumberFormat="1" applyFont="1" applyFill="1" applyBorder="1"/>
    <xf numFmtId="173" fontId="78" fillId="63" borderId="41" xfId="8" applyNumberFormat="1" applyFont="1" applyFill="1" applyBorder="1" applyAlignment="1">
      <alignment horizontal="center" vertical="top"/>
    </xf>
    <xf numFmtId="173" fontId="78" fillId="62" borderId="39" xfId="8" applyNumberFormat="1" applyFont="1" applyFill="1" applyBorder="1" applyAlignment="1">
      <alignment horizontal="center" vertical="top"/>
    </xf>
    <xf numFmtId="173" fontId="78" fillId="62" borderId="40" xfId="8" applyNumberFormat="1" applyFont="1" applyFill="1" applyBorder="1" applyAlignment="1">
      <alignment horizontal="center" vertical="top"/>
    </xf>
    <xf numFmtId="173" fontId="78" fillId="63" borderId="41" xfId="8" applyNumberFormat="1" applyFont="1" applyFill="1" applyBorder="1" applyAlignment="1">
      <alignment horizontal="center"/>
    </xf>
    <xf numFmtId="173" fontId="78" fillId="62" borderId="39" xfId="8" applyNumberFormat="1" applyFont="1" applyFill="1" applyBorder="1" applyAlignment="1">
      <alignment horizontal="center"/>
    </xf>
    <xf numFmtId="173" fontId="78" fillId="62" borderId="40" xfId="8" applyNumberFormat="1" applyFont="1" applyFill="1" applyBorder="1" applyAlignment="1">
      <alignment horizontal="center"/>
    </xf>
    <xf numFmtId="1" fontId="110" fillId="0" borderId="41" xfId="0" applyNumberFormat="1" applyFont="1" applyBorder="1" applyAlignment="1">
      <alignment horizontal="left" vertical="center"/>
    </xf>
    <xf numFmtId="1" fontId="110" fillId="0" borderId="39" xfId="0" applyNumberFormat="1" applyFont="1" applyBorder="1" applyAlignment="1">
      <alignment horizontal="left" vertical="center"/>
    </xf>
    <xf numFmtId="1" fontId="134" fillId="0" borderId="39" xfId="0" applyNumberFormat="1" applyFont="1" applyBorder="1" applyAlignment="1">
      <alignment horizontal="center" vertical="center" wrapText="1"/>
    </xf>
    <xf numFmtId="1" fontId="110" fillId="0" borderId="40" xfId="0" applyNumberFormat="1" applyFont="1" applyBorder="1" applyAlignment="1">
      <alignment horizontal="center" vertical="center" wrapText="1"/>
    </xf>
    <xf numFmtId="2" fontId="112" fillId="63" borderId="41" xfId="0" applyNumberFormat="1" applyFont="1" applyFill="1" applyBorder="1" applyAlignment="1">
      <alignment horizontal="center" vertical="center" wrapText="1"/>
    </xf>
    <xf numFmtId="2" fontId="112" fillId="63" borderId="40" xfId="0" applyNumberFormat="1" applyFont="1" applyFill="1" applyBorder="1" applyAlignment="1">
      <alignment horizontal="center" vertical="center" wrapText="1"/>
    </xf>
    <xf numFmtId="0" fontId="77" fillId="0" borderId="40" xfId="0" applyFont="1" applyBorder="1"/>
    <xf numFmtId="2" fontId="35" fillId="0" borderId="40" xfId="0" applyNumberFormat="1" applyFont="1" applyBorder="1" applyAlignment="1">
      <alignment horizontal="center"/>
    </xf>
    <xf numFmtId="2" fontId="118" fillId="63" borderId="41" xfId="13" applyNumberFormat="1" applyFont="1" applyFill="1" applyBorder="1" applyAlignment="1" applyProtection="1">
      <alignment horizontal="left" vertical="center"/>
      <protection hidden="1"/>
    </xf>
    <xf numFmtId="2" fontId="90" fillId="63" borderId="39" xfId="11" applyNumberFormat="1" applyFont="1" applyFill="1" applyBorder="1" applyProtection="1">
      <protection hidden="1"/>
    </xf>
    <xf numFmtId="2" fontId="90" fillId="63" borderId="40" xfId="11" applyNumberFormat="1" applyFont="1" applyFill="1" applyBorder="1" applyProtection="1">
      <protection hidden="1"/>
    </xf>
    <xf numFmtId="2" fontId="77" fillId="0" borderId="41" xfId="11" applyNumberFormat="1" applyFont="1" applyBorder="1" applyProtection="1">
      <protection hidden="1"/>
    </xf>
    <xf numFmtId="2" fontId="77" fillId="0" borderId="40" xfId="11" applyNumberFormat="1" applyFont="1" applyBorder="1" applyProtection="1">
      <protection hidden="1"/>
    </xf>
    <xf numFmtId="0" fontId="77" fillId="0" borderId="41" xfId="0" applyFont="1" applyBorder="1"/>
    <xf numFmtId="0" fontId="79" fillId="0" borderId="41" xfId="0" applyFont="1" applyBorder="1"/>
    <xf numFmtId="0" fontId="79" fillId="0" borderId="40" xfId="0" applyFont="1" applyBorder="1"/>
    <xf numFmtId="0" fontId="77" fillId="0" borderId="41" xfId="0" applyFont="1" applyBorder="1" applyAlignment="1">
      <alignment horizontal="left"/>
    </xf>
    <xf numFmtId="0" fontId="77" fillId="0" borderId="40" xfId="0" applyFont="1" applyBorder="1" applyAlignment="1">
      <alignment horizontal="left"/>
    </xf>
    <xf numFmtId="0" fontId="77" fillId="0" borderId="40" xfId="0" applyFont="1" applyBorder="1" applyAlignment="1">
      <alignment horizontal="left"/>
    </xf>
    <xf numFmtId="0" fontId="79" fillId="0" borderId="41" xfId="13" applyFont="1" applyBorder="1" applyAlignment="1" applyProtection="1">
      <alignment horizontal="left" vertical="center"/>
      <protection hidden="1"/>
    </xf>
    <xf numFmtId="0" fontId="79" fillId="0" borderId="40" xfId="13" applyFont="1" applyBorder="1" applyAlignment="1" applyProtection="1">
      <alignment horizontal="left" vertical="center"/>
      <protection hidden="1"/>
    </xf>
    <xf numFmtId="10" fontId="126" fillId="0" borderId="40" xfId="0" applyNumberFormat="1" applyFont="1" applyBorder="1"/>
    <xf numFmtId="0" fontId="81" fillId="0" borderId="40" xfId="0" applyFont="1" applyBorder="1"/>
    <xf numFmtId="0" fontId="77" fillId="0" borderId="41" xfId="11" applyFont="1" applyBorder="1" applyAlignment="1" applyProtection="1">
      <alignment vertical="center"/>
      <protection hidden="1"/>
    </xf>
    <xf numFmtId="0" fontId="77" fillId="0" borderId="39" xfId="0" applyFont="1" applyBorder="1"/>
    <xf numFmtId="0" fontId="79" fillId="0" borderId="41" xfId="13" applyFont="1" applyBorder="1" applyAlignment="1" applyProtection="1">
      <alignment vertical="center"/>
      <protection hidden="1"/>
    </xf>
    <xf numFmtId="0" fontId="79" fillId="0" borderId="39" xfId="0" applyFont="1" applyBorder="1"/>
    <xf numFmtId="0" fontId="118" fillId="63" borderId="41" xfId="13" applyFont="1" applyFill="1" applyBorder="1" applyAlignment="1" applyProtection="1">
      <alignment horizontal="left" vertical="center"/>
      <protection hidden="1"/>
    </xf>
    <xf numFmtId="0" fontId="119" fillId="63" borderId="39" xfId="13" applyFont="1" applyFill="1" applyBorder="1" applyAlignment="1" applyProtection="1">
      <alignment horizontal="left" vertical="center"/>
      <protection hidden="1"/>
    </xf>
    <xf numFmtId="9" fontId="120" fillId="63" borderId="40" xfId="13" applyNumberFormat="1" applyFont="1" applyFill="1" applyBorder="1" applyAlignment="1" applyProtection="1">
      <alignment vertical="center"/>
      <protection hidden="1"/>
    </xf>
    <xf numFmtId="49" fontId="112" fillId="63" borderId="41" xfId="63" applyNumberFormat="1" applyFont="1" applyFill="1" applyBorder="1" applyAlignment="1">
      <alignment horizontal="left" vertical="top" wrapText="1"/>
    </xf>
    <xf numFmtId="49" fontId="112" fillId="62" borderId="39" xfId="63" applyNumberFormat="1" applyFont="1" applyFill="1" applyBorder="1" applyAlignment="1">
      <alignment horizontal="left" vertical="top" wrapText="1"/>
    </xf>
    <xf numFmtId="49" fontId="112" fillId="62" borderId="40" xfId="63" applyNumberFormat="1" applyFont="1" applyFill="1" applyBorder="1" applyAlignment="1">
      <alignment horizontal="left" vertical="top" wrapText="1"/>
    </xf>
    <xf numFmtId="2" fontId="121" fillId="63" borderId="41" xfId="13" applyNumberFormat="1" applyFont="1" applyFill="1" applyBorder="1" applyAlignment="1" applyProtection="1">
      <alignment horizontal="left" vertical="center" wrapText="1"/>
      <protection hidden="1"/>
    </xf>
    <xf numFmtId="2" fontId="121" fillId="63" borderId="39" xfId="13" applyNumberFormat="1" applyFont="1" applyFill="1" applyBorder="1" applyAlignment="1" applyProtection="1">
      <alignment horizontal="center" wrapText="1"/>
      <protection hidden="1"/>
    </xf>
    <xf numFmtId="2" fontId="121" fillId="63" borderId="40" xfId="13" applyNumberFormat="1" applyFont="1" applyFill="1" applyBorder="1" applyAlignment="1" applyProtection="1">
      <alignment horizontal="right" wrapText="1"/>
      <protection hidden="1"/>
    </xf>
    <xf numFmtId="2" fontId="121" fillId="63" borderId="41" xfId="3" applyNumberFormat="1" applyFont="1" applyFill="1" applyBorder="1" applyAlignment="1" applyProtection="1">
      <alignment horizontal="center" vertical="center" wrapText="1"/>
      <protection hidden="1"/>
    </xf>
    <xf numFmtId="0" fontId="112" fillId="62" borderId="40" xfId="0" applyFont="1" applyFill="1" applyBorder="1" applyAlignment="1">
      <alignment horizontal="center" vertical="center" wrapText="1"/>
    </xf>
    <xf numFmtId="2" fontId="77" fillId="0" borderId="41" xfId="13" applyNumberFormat="1" applyFont="1" applyBorder="1" applyProtection="1">
      <protection hidden="1"/>
    </xf>
    <xf numFmtId="2" fontId="99" fillId="0" borderId="39" xfId="3" applyNumberFormat="1" applyFont="1" applyFill="1" applyBorder="1" applyAlignment="1" applyProtection="1">
      <alignment horizontal="center" vertical="center"/>
      <protection hidden="1"/>
    </xf>
    <xf numFmtId="2" fontId="99" fillId="0" borderId="40" xfId="3" applyNumberFormat="1" applyFont="1" applyFill="1" applyBorder="1" applyAlignment="1" applyProtection="1">
      <alignment horizontal="right" vertical="center"/>
      <protection hidden="1"/>
    </xf>
    <xf numFmtId="2" fontId="100" fillId="0" borderId="39" xfId="3" applyNumberFormat="1" applyFont="1" applyFill="1" applyBorder="1" applyAlignment="1" applyProtection="1">
      <alignment horizontal="left" vertical="center"/>
      <protection hidden="1"/>
    </xf>
    <xf numFmtId="2" fontId="94" fillId="0" borderId="40" xfId="3" applyNumberFormat="1" applyFont="1" applyFill="1" applyBorder="1" applyAlignment="1" applyProtection="1">
      <alignment horizontal="right" vertical="center"/>
      <protection hidden="1"/>
    </xf>
    <xf numFmtId="10" fontId="101" fillId="0" borderId="40" xfId="16" applyNumberFormat="1" applyFont="1" applyFill="1" applyBorder="1" applyAlignment="1" applyProtection="1">
      <alignment horizontal="right"/>
      <protection hidden="1"/>
    </xf>
    <xf numFmtId="0" fontId="79" fillId="0" borderId="41" xfId="13" applyFont="1" applyBorder="1" applyProtection="1">
      <protection hidden="1"/>
    </xf>
    <xf numFmtId="0" fontId="103" fillId="0" borderId="39" xfId="13" applyFont="1" applyBorder="1" applyProtection="1">
      <protection hidden="1"/>
    </xf>
    <xf numFmtId="0" fontId="103" fillId="0" borderId="40" xfId="13" applyFont="1" applyBorder="1" applyAlignment="1" applyProtection="1">
      <alignment horizontal="right"/>
      <protection hidden="1"/>
    </xf>
    <xf numFmtId="0" fontId="77" fillId="0" borderId="41" xfId="13" applyFont="1" applyBorder="1" applyProtection="1">
      <protection hidden="1"/>
    </xf>
    <xf numFmtId="0" fontId="101" fillId="0" borderId="39" xfId="13" applyFont="1" applyBorder="1" applyAlignment="1" applyProtection="1">
      <alignment horizontal="right"/>
      <protection hidden="1"/>
    </xf>
    <xf numFmtId="0" fontId="101" fillId="0" borderId="40" xfId="13" applyFont="1" applyBorder="1" applyAlignment="1" applyProtection="1">
      <alignment horizontal="right"/>
      <protection hidden="1"/>
    </xf>
    <xf numFmtId="0" fontId="87" fillId="0" borderId="41" xfId="13" applyFont="1" applyBorder="1" applyProtection="1">
      <protection hidden="1"/>
    </xf>
    <xf numFmtId="0" fontId="102" fillId="0" borderId="39" xfId="13" applyFont="1" applyBorder="1" applyAlignment="1" applyProtection="1">
      <alignment horizontal="center"/>
      <protection hidden="1"/>
    </xf>
    <xf numFmtId="0" fontId="102" fillId="0" borderId="40" xfId="13" applyFont="1" applyBorder="1" applyAlignment="1" applyProtection="1">
      <alignment horizontal="right"/>
      <protection hidden="1"/>
    </xf>
    <xf numFmtId="0" fontId="84" fillId="0" borderId="41" xfId="13" applyFont="1" applyBorder="1" applyProtection="1">
      <protection hidden="1"/>
    </xf>
    <xf numFmtId="10" fontId="101" fillId="0" borderId="39" xfId="13" applyNumberFormat="1" applyFont="1" applyBorder="1" applyAlignment="1" applyProtection="1">
      <alignment horizontal="right"/>
      <protection hidden="1"/>
    </xf>
    <xf numFmtId="2" fontId="121" fillId="63" borderId="41" xfId="13" applyNumberFormat="1" applyFont="1" applyFill="1" applyBorder="1" applyAlignment="1" applyProtection="1">
      <alignment horizontal="center" vertical="center" wrapText="1"/>
      <protection hidden="1"/>
    </xf>
    <xf numFmtId="2" fontId="121" fillId="63" borderId="39" xfId="13" applyNumberFormat="1" applyFont="1" applyFill="1" applyBorder="1" applyAlignment="1" applyProtection="1">
      <alignment horizontal="center" vertical="center" wrapText="1"/>
      <protection hidden="1"/>
    </xf>
    <xf numFmtId="2" fontId="121" fillId="63" borderId="40" xfId="13" applyNumberFormat="1" applyFont="1" applyFill="1" applyBorder="1" applyAlignment="1" applyProtection="1">
      <alignment horizontal="center" vertical="center" wrapText="1"/>
      <protection hidden="1"/>
    </xf>
    <xf numFmtId="175" fontId="102" fillId="0" borderId="40" xfId="16" applyNumberFormat="1" applyFont="1" applyFill="1" applyBorder="1" applyAlignment="1" applyProtection="1">
      <alignment horizontal="right"/>
      <protection hidden="1"/>
    </xf>
    <xf numFmtId="0" fontId="105" fillId="0" borderId="39" xfId="13" applyFont="1" applyBorder="1" applyAlignment="1" applyProtection="1">
      <alignment horizontal="center"/>
      <protection hidden="1"/>
    </xf>
    <xf numFmtId="169" fontId="102" fillId="0" borderId="39" xfId="13" applyNumberFormat="1" applyFont="1" applyBorder="1" applyAlignment="1" applyProtection="1">
      <alignment horizontal="center"/>
      <protection hidden="1"/>
    </xf>
    <xf numFmtId="165" fontId="102" fillId="0" borderId="39" xfId="13" applyNumberFormat="1" applyFont="1" applyBorder="1" applyAlignment="1" applyProtection="1">
      <alignment horizontal="center"/>
      <protection hidden="1"/>
    </xf>
    <xf numFmtId="0" fontId="77" fillId="64" borderId="41" xfId="13" applyFont="1" applyFill="1" applyBorder="1" applyProtection="1">
      <protection hidden="1"/>
    </xf>
    <xf numFmtId="0" fontId="102" fillId="64" borderId="39" xfId="13" applyFont="1" applyFill="1" applyBorder="1" applyAlignment="1" applyProtection="1">
      <alignment horizontal="center"/>
      <protection hidden="1"/>
    </xf>
    <xf numFmtId="0" fontId="102" fillId="64" borderId="40" xfId="13" applyFont="1" applyFill="1" applyBorder="1" applyAlignment="1" applyProtection="1">
      <alignment horizontal="right"/>
      <protection hidden="1"/>
    </xf>
    <xf numFmtId="167" fontId="102" fillId="0" borderId="40" xfId="8" applyFont="1" applyFill="1" applyBorder="1" applyAlignment="1" applyProtection="1">
      <alignment horizontal="right"/>
      <protection hidden="1"/>
    </xf>
    <xf numFmtId="166" fontId="35" fillId="0" borderId="41" xfId="18" applyFont="1" applyFill="1" applyBorder="1" applyAlignment="1" applyProtection="1">
      <protection hidden="1"/>
    </xf>
    <xf numFmtId="10" fontId="102" fillId="0" borderId="40" xfId="16" applyNumberFormat="1" applyFont="1" applyFill="1" applyBorder="1" applyAlignment="1" applyProtection="1">
      <alignment horizontal="right"/>
      <protection hidden="1"/>
    </xf>
    <xf numFmtId="10" fontId="102" fillId="64" borderId="40" xfId="16" applyNumberFormat="1" applyFont="1" applyFill="1" applyBorder="1" applyAlignment="1" applyProtection="1">
      <alignment horizontal="right"/>
      <protection hidden="1"/>
    </xf>
    <xf numFmtId="2" fontId="121" fillId="63" borderId="41" xfId="13" applyNumberFormat="1" applyFont="1" applyFill="1" applyBorder="1" applyAlignment="1" applyProtection="1">
      <alignment horizontal="left" vertical="center" wrapText="1"/>
      <protection hidden="1"/>
    </xf>
    <xf numFmtId="2" fontId="121" fillId="63" borderId="39" xfId="13" applyNumberFormat="1" applyFont="1" applyFill="1" applyBorder="1" applyAlignment="1" applyProtection="1">
      <alignment horizontal="left" vertical="center" wrapText="1"/>
      <protection hidden="1"/>
    </xf>
    <xf numFmtId="2" fontId="121" fillId="63" borderId="40" xfId="13" applyNumberFormat="1" applyFont="1" applyFill="1" applyBorder="1" applyAlignment="1" applyProtection="1">
      <alignment horizontal="left" vertical="center" wrapText="1"/>
      <protection hidden="1"/>
    </xf>
    <xf numFmtId="0" fontId="102" fillId="0" borderId="39" xfId="13" applyFont="1" applyBorder="1" applyProtection="1">
      <protection hidden="1"/>
    </xf>
    <xf numFmtId="0" fontId="106" fillId="0" borderId="41" xfId="13" applyFont="1" applyBorder="1" applyProtection="1">
      <protection hidden="1"/>
    </xf>
    <xf numFmtId="0" fontId="107" fillId="0" borderId="39" xfId="13" applyFont="1" applyBorder="1" applyProtection="1">
      <protection hidden="1"/>
    </xf>
    <xf numFmtId="0" fontId="107" fillId="0" borderId="40" xfId="13" applyFont="1" applyBorder="1" applyAlignment="1" applyProtection="1">
      <alignment horizontal="right"/>
      <protection hidden="1"/>
    </xf>
    <xf numFmtId="169" fontId="103" fillId="0" borderId="39" xfId="13" applyNumberFormat="1" applyFont="1" applyBorder="1" applyProtection="1">
      <protection hidden="1"/>
    </xf>
    <xf numFmtId="169" fontId="102" fillId="0" borderId="40" xfId="13" applyNumberFormat="1" applyFont="1" applyBorder="1" applyAlignment="1" applyProtection="1">
      <alignment horizontal="right"/>
      <protection hidden="1"/>
    </xf>
    <xf numFmtId="0" fontId="88" fillId="0" borderId="41" xfId="13" applyFont="1" applyBorder="1" applyProtection="1">
      <protection hidden="1"/>
    </xf>
    <xf numFmtId="169" fontId="101" fillId="0" borderId="39" xfId="13" applyNumberFormat="1" applyFont="1" applyBorder="1" applyProtection="1">
      <protection hidden="1"/>
    </xf>
    <xf numFmtId="169" fontId="101" fillId="0" borderId="40" xfId="13" applyNumberFormat="1" applyFont="1" applyBorder="1" applyAlignment="1" applyProtection="1">
      <alignment horizontal="right"/>
      <protection hidden="1"/>
    </xf>
    <xf numFmtId="2" fontId="119" fillId="63" borderId="41" xfId="13" applyNumberFormat="1" applyFont="1" applyFill="1" applyBorder="1" applyAlignment="1" applyProtection="1">
      <alignment horizontal="left" vertical="center" wrapText="1"/>
      <protection hidden="1"/>
    </xf>
    <xf numFmtId="2" fontId="35" fillId="0" borderId="41" xfId="13" applyNumberFormat="1" applyFont="1" applyBorder="1" applyProtection="1">
      <protection hidden="1"/>
    </xf>
    <xf numFmtId="0" fontId="112" fillId="63" borderId="41" xfId="59" applyFont="1" applyFill="1" applyBorder="1" applyAlignment="1">
      <alignment horizontal="left" vertical="top" wrapText="1"/>
    </xf>
    <xf numFmtId="0" fontId="112" fillId="63" borderId="39" xfId="59" applyFont="1" applyFill="1" applyBorder="1" applyAlignment="1">
      <alignment horizontal="left" vertical="top" wrapText="1"/>
    </xf>
    <xf numFmtId="0" fontId="112" fillId="63" borderId="40" xfId="59" applyFont="1" applyFill="1" applyBorder="1" applyAlignment="1">
      <alignment horizontal="left" vertical="top" wrapText="1"/>
    </xf>
    <xf numFmtId="0" fontId="119" fillId="63" borderId="41" xfId="9" applyFont="1" applyFill="1" applyBorder="1" applyAlignment="1" applyProtection="1">
      <alignment horizontal="left" vertical="center"/>
      <protection hidden="1"/>
    </xf>
    <xf numFmtId="0" fontId="120" fillId="63" borderId="39" xfId="10" applyFont="1" applyFill="1" applyBorder="1"/>
    <xf numFmtId="0" fontId="123" fillId="63" borderId="39" xfId="10" applyFont="1" applyFill="1" applyBorder="1"/>
    <xf numFmtId="0" fontId="123" fillId="63" borderId="40" xfId="10" applyFont="1" applyFill="1" applyBorder="1"/>
    <xf numFmtId="0" fontId="77" fillId="0" borderId="41" xfId="9" applyFont="1" applyBorder="1" applyAlignment="1" applyProtection="1">
      <alignment horizontal="left"/>
      <protection hidden="1"/>
    </xf>
    <xf numFmtId="0" fontId="77" fillId="0" borderId="40" xfId="9" applyFont="1" applyBorder="1" applyAlignment="1" applyProtection="1">
      <alignment horizontal="left"/>
      <protection hidden="1"/>
    </xf>
    <xf numFmtId="0" fontId="77" fillId="0" borderId="41" xfId="9" applyFont="1" applyBorder="1" applyAlignment="1" applyProtection="1">
      <alignment horizontal="center"/>
      <protection hidden="1"/>
    </xf>
    <xf numFmtId="0" fontId="77" fillId="0" borderId="39" xfId="9" applyFont="1" applyBorder="1" applyAlignment="1" applyProtection="1">
      <alignment horizontal="center"/>
      <protection hidden="1"/>
    </xf>
    <xf numFmtId="0" fontId="77" fillId="0" borderId="40" xfId="9" applyFont="1" applyBorder="1" applyAlignment="1" applyProtection="1">
      <alignment horizontal="center"/>
      <protection hidden="1"/>
    </xf>
    <xf numFmtId="0" fontId="90" fillId="63" borderId="39" xfId="10" applyFont="1" applyFill="1" applyBorder="1"/>
    <xf numFmtId="0" fontId="90" fillId="63" borderId="40" xfId="10" applyFont="1" applyFill="1" applyBorder="1"/>
    <xf numFmtId="0" fontId="77" fillId="0" borderId="39" xfId="10" applyFont="1" applyBorder="1"/>
    <xf numFmtId="0" fontId="77" fillId="0" borderId="41" xfId="9" applyFont="1" applyBorder="1" applyAlignment="1" applyProtection="1">
      <alignment horizontal="left" vertical="center"/>
      <protection hidden="1"/>
    </xf>
    <xf numFmtId="0" fontId="77" fillId="0" borderId="39" xfId="9" applyFont="1" applyBorder="1" applyAlignment="1" applyProtection="1">
      <alignment horizontal="left" vertical="top"/>
      <protection hidden="1"/>
    </xf>
    <xf numFmtId="2" fontId="79" fillId="2" borderId="41" xfId="84" applyNumberFormat="1" applyFont="1" applyFill="1" applyBorder="1" applyAlignment="1">
      <alignment vertical="top" wrapText="1"/>
    </xf>
    <xf numFmtId="2" fontId="79" fillId="2" borderId="40" xfId="84" applyNumberFormat="1" applyFont="1" applyFill="1" applyBorder="1" applyAlignment="1">
      <alignment vertical="top" wrapText="1"/>
    </xf>
    <xf numFmtId="2" fontId="79" fillId="2" borderId="39" xfId="84" applyNumberFormat="1" applyFont="1" applyFill="1" applyBorder="1" applyAlignment="1">
      <alignment vertical="top" wrapText="1"/>
    </xf>
    <xf numFmtId="3" fontId="126" fillId="2" borderId="39" xfId="8" applyNumberFormat="1" applyFont="1" applyFill="1" applyBorder="1" applyAlignment="1">
      <alignment horizontal="center" vertical="top" wrapText="1"/>
    </xf>
    <xf numFmtId="2" fontId="126" fillId="2" borderId="40" xfId="84" applyNumberFormat="1" applyFont="1" applyFill="1" applyBorder="1" applyAlignment="1">
      <alignment vertical="top" wrapText="1"/>
    </xf>
    <xf numFmtId="180" fontId="126" fillId="2" borderId="41" xfId="84" applyNumberFormat="1" applyFont="1" applyFill="1" applyBorder="1" applyAlignment="1">
      <alignment vertical="top" wrapText="1"/>
    </xf>
    <xf numFmtId="2" fontId="126" fillId="2" borderId="39" xfId="84" applyNumberFormat="1" applyFont="1" applyFill="1" applyBorder="1" applyAlignment="1">
      <alignment vertical="top" wrapText="1"/>
    </xf>
    <xf numFmtId="180" fontId="126" fillId="2" borderId="40" xfId="84" applyNumberFormat="1" applyFont="1" applyFill="1" applyBorder="1" applyAlignment="1">
      <alignment vertical="top" wrapText="1"/>
    </xf>
    <xf numFmtId="0" fontId="79" fillId="0" borderId="41" xfId="84" applyFont="1" applyBorder="1"/>
    <xf numFmtId="0" fontId="79" fillId="0" borderId="39" xfId="84" applyFont="1" applyBorder="1"/>
    <xf numFmtId="0" fontId="126" fillId="0" borderId="39" xfId="84" applyFont="1" applyBorder="1"/>
    <xf numFmtId="0" fontId="126" fillId="0" borderId="40" xfId="84" applyFont="1" applyBorder="1"/>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9">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26669</xdr:rowOff>
    </xdr:from>
    <xdr:to>
      <xdr:col>16</xdr:col>
      <xdr:colOff>135255</xdr:colOff>
      <xdr:row>49</xdr:row>
      <xdr:rowOff>76200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8694"/>
          <a:ext cx="11172825" cy="7174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100" b="1">
              <a:solidFill>
                <a:schemeClr val="dk1"/>
              </a:solidFill>
              <a:effectLst/>
              <a:latin typeface="Georgia" panose="02040502050405020303" pitchFamily="18" charset="0"/>
              <a:ea typeface="+mn-ea"/>
              <a:cs typeface="+mn-cs"/>
            </a:rPr>
            <a:t>Algemeen</a:t>
          </a:r>
        </a:p>
        <a:p>
          <a:pPr marL="0" lvl="0" indent="0"/>
          <a:r>
            <a:rPr lang="nl-NL" sz="11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100" b="0">
            <a:solidFill>
              <a:schemeClr val="dk1"/>
            </a:solidFill>
            <a:effectLst/>
            <a:latin typeface="Georgia" panose="02040502050405020303" pitchFamily="18" charset="0"/>
            <a:ea typeface="+mn-ea"/>
            <a:cs typeface="+mn-cs"/>
          </a:endParaRPr>
        </a:p>
        <a:p>
          <a:pPr lvl="0"/>
          <a:r>
            <a:rPr lang="nl-NL" sz="11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Prijsniveau</a:t>
          </a:r>
        </a:p>
        <a:p>
          <a:r>
            <a:rPr lang="nl-NL" sz="1100" b="0">
              <a:solidFill>
                <a:schemeClr val="dk1"/>
              </a:solidFill>
              <a:effectLst/>
              <a:latin typeface="Georgia" panose="02040502050405020303" pitchFamily="18" charset="0"/>
              <a:ea typeface="+mn-ea"/>
              <a:cs typeface="+mn-cs"/>
            </a:rPr>
            <a:t>Het loon- en </a:t>
          </a:r>
          <a:r>
            <a:rPr lang="nl-NL" sz="1100" b="0">
              <a:solidFill>
                <a:sysClr val="windowText" lastClr="000000"/>
              </a:solidFill>
              <a:effectLst/>
              <a:latin typeface="Georgia" panose="02040502050405020303" pitchFamily="18" charset="0"/>
              <a:ea typeface="+mn-ea"/>
              <a:cs typeface="+mn-cs"/>
            </a:rPr>
            <a:t>prijspeil van 1 januari 2026 is het uitgangspunt </a:t>
          </a:r>
          <a:r>
            <a:rPr lang="nl-NL" sz="11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Ruimtestaat</a:t>
          </a:r>
        </a:p>
        <a:p>
          <a:r>
            <a:rPr lang="nl-NL" sz="11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Contractjaarprijs</a:t>
          </a:r>
        </a:p>
        <a:p>
          <a:r>
            <a:rPr lang="nl-NL" sz="11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100" b="0">
              <a:solidFill>
                <a:sysClr val="windowText" lastClr="000000"/>
              </a:solidFill>
              <a:effectLst/>
              <a:latin typeface="Georgia" panose="02040502050405020303" pitchFamily="18" charset="0"/>
              <a:ea typeface="+mn-ea"/>
              <a:cs typeface="+mn-cs"/>
            </a:rPr>
            <a:t>van de afroepprijzen.</a:t>
          </a:r>
          <a:endParaRPr lang="nl-NL" sz="1100" b="1">
            <a:solidFill>
              <a:sysClr val="windowText" lastClr="000000"/>
            </a:solidFill>
            <a:effectLst/>
            <a:latin typeface="Georgia" panose="02040502050405020303" pitchFamily="18" charset="0"/>
            <a:ea typeface="+mn-ea"/>
            <a:cs typeface="+mn-cs"/>
          </a:endParaRP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Uurtarieven</a:t>
          </a:r>
        </a:p>
        <a:p>
          <a:pPr marL="0" indent="0"/>
          <a:r>
            <a:rPr lang="nl-NL" sz="11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100" b="0">
              <a:solidFill>
                <a:schemeClr val="dk1"/>
              </a:solidFill>
              <a:effectLst/>
              <a:latin typeface="Georgia" panose="02040502050405020303" pitchFamily="18" charset="0"/>
              <a:ea typeface="+mn-ea"/>
              <a:cs typeface="+mn-cs"/>
            </a:rPr>
            <a:t> </a:t>
          </a:r>
        </a:p>
        <a:p>
          <a:pPr marL="0" indent="0"/>
          <a:r>
            <a:rPr lang="nl-NL" sz="11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100" b="1">
            <a:solidFill>
              <a:schemeClr val="dk1"/>
            </a:solidFill>
            <a:effectLst/>
            <a:latin typeface="Georgia" panose="02040502050405020303" pitchFamily="18" charset="0"/>
            <a:ea typeface="+mn-ea"/>
            <a:cs typeface="+mn-cs"/>
          </a:endParaRPr>
        </a:p>
        <a:p>
          <a:pPr lvl="0"/>
          <a:r>
            <a:rPr lang="nl-NL" sz="1100" b="1">
              <a:solidFill>
                <a:sysClr val="windowText" lastClr="000000"/>
              </a:solidFill>
              <a:effectLst/>
              <a:latin typeface="Georgia" panose="02040502050405020303" pitchFamily="18" charset="0"/>
              <a:ea typeface="+mn-ea"/>
              <a:cs typeface="+mn-cs"/>
            </a:rPr>
            <a:t>Machinekosten </a:t>
          </a:r>
        </a:p>
        <a:p>
          <a:pPr lvl="0"/>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1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a:t>
          </a:r>
        </a:p>
        <a:p>
          <a:r>
            <a:rPr lang="nl-NL" sz="11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5 jaar. </a:t>
          </a:r>
          <a:endParaRPr lang="nl-NL" sz="1100" b="1">
            <a:solidFill>
              <a:sysClr val="windowText" lastClr="000000"/>
            </a:solidFill>
            <a:effectLst/>
            <a:latin typeface="Georgia" panose="02040502050405020303" pitchFamily="18" charset="0"/>
            <a:ea typeface="+mn-ea"/>
            <a:cs typeface="+mn-cs"/>
          </a:endParaRPr>
        </a:p>
        <a:p>
          <a:endParaRPr lang="nl-NL" sz="1100">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sz="1100">
            <a:solidFill>
              <a:sysClr val="windowText" lastClr="000000"/>
            </a:solidFill>
            <a:effectLst/>
            <a:latin typeface="Georgia" panose="02040502050405020303" pitchFamily="18" charset="0"/>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questionmarkgroup.sharepoint.com/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ZelinaLogtenberg\AppData\Local\Microsoft\Windows\INetCache\Content.Outlook\9Y5LL89B\CSU%20SED_Bijlage%20P1%20Calculatiemodel%20III_ingevuld_1-1-2026%20V2.xlsx" TargetMode="External"/><Relationship Id="rId1" Type="http://schemas.openxmlformats.org/officeDocument/2006/relationships/externalLinkPath" Target="file:///C:\Users\ZelinaLogtenberg\AppData\Local\Microsoft\Windows\INetCache\Content.Outlook\9Y5LL89B\CSU%20SED_Bijlage%20P1%20Calculatiemodel%20III_ingevuld_1-1-2026%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Tabellen"/>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EXERING"/>
      <sheetName val="Info blad"/>
      <sheetName val="2-Prijzen per locatie perceel 3"/>
      <sheetName val="3-Kengetal"/>
      <sheetName val="3-Kengetal (ORI)"/>
      <sheetName val="4-Basis ruimtestaat"/>
      <sheetName val="4-Ruimtestaat Sport. de Sprong"/>
      <sheetName val="5-Uurtarieven"/>
      <sheetName val="6-Glasbewassing"/>
      <sheetName val="7-Afroepprijs"/>
      <sheetName val="8-Sanitaire voorzieninge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pane ySplit="4" topLeftCell="A26" activePane="bottomLeft" state="frozen"/>
      <selection pane="bottomLeft" activeCell="B3" sqref="B3"/>
    </sheetView>
  </sheetViews>
  <sheetFormatPr defaultRowHeight="12.6"/>
  <cols>
    <col min="1" max="1" width="27.7109375" customWidth="1"/>
  </cols>
  <sheetData>
    <row r="1" spans="1:13" ht="15.6">
      <c r="A1" s="37" t="s">
        <v>0</v>
      </c>
      <c r="B1" s="38" t="str">
        <f>'2-Kosten per locatie'!B3</f>
        <v>SED organisatie</v>
      </c>
    </row>
    <row r="2" spans="1:13" ht="15.6">
      <c r="A2" s="37" t="s">
        <v>1</v>
      </c>
      <c r="B2" s="38" t="e">
        <f ca="1">MID(CELL("bestandsnaam",$B$11),SEARCH("]",CELL("bestandsnaam",$B$11),1)+1,256)</f>
        <v>#VALUE!</v>
      </c>
    </row>
    <row r="3" spans="1:13" ht="15.6">
      <c r="A3" s="37" t="s">
        <v>2</v>
      </c>
      <c r="B3" s="38" t="str">
        <f>'2-Kosten per locatie'!B5</f>
        <v>Perceel 1</v>
      </c>
    </row>
    <row r="4" spans="1:13" ht="15.6">
      <c r="A4" s="37" t="s">
        <v>3</v>
      </c>
      <c r="B4" s="38">
        <f>'2-Kosten per locatie'!B6</f>
        <v>0</v>
      </c>
      <c r="G4" s="36"/>
      <c r="H4" s="36"/>
      <c r="I4" s="36"/>
      <c r="J4" s="36"/>
      <c r="K4" s="36"/>
      <c r="L4" s="36"/>
      <c r="M4" s="36"/>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45"/>
  <sheetViews>
    <sheetView showGridLines="0" zoomScale="85" zoomScaleNormal="85" zoomScaleSheetLayoutView="50" zoomScalePageLayoutView="50" workbookViewId="0">
      <pane ySplit="12" topLeftCell="A29" activePane="bottomLeft" state="frozen"/>
      <selection pane="bottomLeft" activeCell="K9" sqref="K9"/>
      <selection activeCell="B1" sqref="B1"/>
    </sheetView>
  </sheetViews>
  <sheetFormatPr defaultColWidth="13.7109375" defaultRowHeight="13.15"/>
  <cols>
    <col min="1" max="1" width="46.140625" style="175" customWidth="1"/>
    <col min="2" max="2" width="29.140625" style="176" customWidth="1"/>
    <col min="3" max="3" width="36.7109375" style="176" customWidth="1"/>
    <col min="4" max="4" width="12.140625" style="175" customWidth="1"/>
    <col min="5" max="5" width="24.28515625" style="177" customWidth="1"/>
    <col min="6" max="6" width="16.140625" style="178" customWidth="1"/>
    <col min="7" max="7" width="13.7109375" style="177" customWidth="1"/>
    <col min="8" max="8" width="15.85546875" style="177" customWidth="1"/>
    <col min="9" max="247" width="13.7109375" style="28"/>
    <col min="248" max="248" width="22.140625" style="28" customWidth="1"/>
    <col min="249" max="255" width="13.7109375" style="28" customWidth="1"/>
    <col min="256" max="256" width="15.85546875" style="28" customWidth="1"/>
    <col min="257" max="257" width="16.5703125" style="28" bestFit="1" customWidth="1"/>
    <col min="258" max="258" width="13.7109375" style="28" customWidth="1"/>
    <col min="259" max="259" width="17.140625" style="28" bestFit="1" customWidth="1"/>
    <col min="260" max="260" width="4" style="28" customWidth="1"/>
    <col min="261" max="261" width="13.7109375" style="28" customWidth="1"/>
    <col min="262" max="503" width="13.7109375" style="28"/>
    <col min="504" max="504" width="22.140625" style="28" customWidth="1"/>
    <col min="505" max="511" width="13.7109375" style="28" customWidth="1"/>
    <col min="512" max="512" width="15.85546875" style="28" customWidth="1"/>
    <col min="513" max="513" width="16.5703125" style="28" bestFit="1" customWidth="1"/>
    <col min="514" max="514" width="13.7109375" style="28" customWidth="1"/>
    <col min="515" max="515" width="17.140625" style="28" bestFit="1" customWidth="1"/>
    <col min="516" max="516" width="4" style="28" customWidth="1"/>
    <col min="517" max="517" width="13.7109375" style="28" customWidth="1"/>
    <col min="518" max="759" width="13.7109375" style="28"/>
    <col min="760" max="760" width="22.140625" style="28" customWidth="1"/>
    <col min="761" max="767" width="13.7109375" style="28" customWidth="1"/>
    <col min="768" max="768" width="15.85546875" style="28" customWidth="1"/>
    <col min="769" max="769" width="16.5703125" style="28" bestFit="1" customWidth="1"/>
    <col min="770" max="770" width="13.7109375" style="28" customWidth="1"/>
    <col min="771" max="771" width="17.140625" style="28" bestFit="1" customWidth="1"/>
    <col min="772" max="772" width="4" style="28" customWidth="1"/>
    <col min="773" max="773" width="13.7109375" style="28" customWidth="1"/>
    <col min="774" max="1015" width="13.7109375" style="28"/>
    <col min="1016" max="1016" width="22.140625" style="28" customWidth="1"/>
    <col min="1017" max="1023" width="13.7109375" style="28" customWidth="1"/>
    <col min="1024" max="1024" width="15.85546875" style="28" customWidth="1"/>
    <col min="1025" max="1025" width="16.5703125" style="28" bestFit="1" customWidth="1"/>
    <col min="1026" max="1026" width="13.7109375" style="28" customWidth="1"/>
    <col min="1027" max="1027" width="17.140625" style="28" bestFit="1" customWidth="1"/>
    <col min="1028" max="1028" width="4" style="28" customWidth="1"/>
    <col min="1029" max="1029" width="13.7109375" style="28" customWidth="1"/>
    <col min="1030" max="1271" width="13.7109375" style="28"/>
    <col min="1272" max="1272" width="22.140625" style="28" customWidth="1"/>
    <col min="1273" max="1279" width="13.7109375" style="28" customWidth="1"/>
    <col min="1280" max="1280" width="15.85546875" style="28" customWidth="1"/>
    <col min="1281" max="1281" width="16.5703125" style="28" bestFit="1" customWidth="1"/>
    <col min="1282" max="1282" width="13.7109375" style="28" customWidth="1"/>
    <col min="1283" max="1283" width="17.140625" style="28" bestFit="1" customWidth="1"/>
    <col min="1284" max="1284" width="4" style="28" customWidth="1"/>
    <col min="1285" max="1285" width="13.7109375" style="28" customWidth="1"/>
    <col min="1286" max="1527" width="13.7109375" style="28"/>
    <col min="1528" max="1528" width="22.140625" style="28" customWidth="1"/>
    <col min="1529" max="1535" width="13.7109375" style="28" customWidth="1"/>
    <col min="1536" max="1536" width="15.85546875" style="28" customWidth="1"/>
    <col min="1537" max="1537" width="16.5703125" style="28" bestFit="1" customWidth="1"/>
    <col min="1538" max="1538" width="13.7109375" style="28" customWidth="1"/>
    <col min="1539" max="1539" width="17.140625" style="28" bestFit="1" customWidth="1"/>
    <col min="1540" max="1540" width="4" style="28" customWidth="1"/>
    <col min="1541" max="1541" width="13.7109375" style="28" customWidth="1"/>
    <col min="1542" max="1783" width="13.7109375" style="28"/>
    <col min="1784" max="1784" width="22.140625" style="28" customWidth="1"/>
    <col min="1785" max="1791" width="13.7109375" style="28" customWidth="1"/>
    <col min="1792" max="1792" width="15.85546875" style="28" customWidth="1"/>
    <col min="1793" max="1793" width="16.5703125" style="28" bestFit="1" customWidth="1"/>
    <col min="1794" max="1794" width="13.7109375" style="28" customWidth="1"/>
    <col min="1795" max="1795" width="17.140625" style="28" bestFit="1" customWidth="1"/>
    <col min="1796" max="1796" width="4" style="28" customWidth="1"/>
    <col min="1797" max="1797" width="13.7109375" style="28" customWidth="1"/>
    <col min="1798" max="2039" width="13.7109375" style="28"/>
    <col min="2040" max="2040" width="22.140625" style="28" customWidth="1"/>
    <col min="2041" max="2047" width="13.7109375" style="28" customWidth="1"/>
    <col min="2048" max="2048" width="15.85546875" style="28" customWidth="1"/>
    <col min="2049" max="2049" width="16.5703125" style="28" bestFit="1" customWidth="1"/>
    <col min="2050" max="2050" width="13.7109375" style="28" customWidth="1"/>
    <col min="2051" max="2051" width="17.140625" style="28" bestFit="1" customWidth="1"/>
    <col min="2052" max="2052" width="4" style="28" customWidth="1"/>
    <col min="2053" max="2053" width="13.7109375" style="28" customWidth="1"/>
    <col min="2054" max="2295" width="13.7109375" style="28"/>
    <col min="2296" max="2296" width="22.140625" style="28" customWidth="1"/>
    <col min="2297" max="2303" width="13.7109375" style="28" customWidth="1"/>
    <col min="2304" max="2304" width="15.85546875" style="28" customWidth="1"/>
    <col min="2305" max="2305" width="16.5703125" style="28" bestFit="1" customWidth="1"/>
    <col min="2306" max="2306" width="13.7109375" style="28" customWidth="1"/>
    <col min="2307" max="2307" width="17.140625" style="28" bestFit="1" customWidth="1"/>
    <col min="2308" max="2308" width="4" style="28" customWidth="1"/>
    <col min="2309" max="2309" width="13.7109375" style="28" customWidth="1"/>
    <col min="2310" max="2551" width="13.7109375" style="28"/>
    <col min="2552" max="2552" width="22.140625" style="28" customWidth="1"/>
    <col min="2553" max="2559" width="13.7109375" style="28" customWidth="1"/>
    <col min="2560" max="2560" width="15.85546875" style="28" customWidth="1"/>
    <col min="2561" max="2561" width="16.5703125" style="28" bestFit="1" customWidth="1"/>
    <col min="2562" max="2562" width="13.7109375" style="28" customWidth="1"/>
    <col min="2563" max="2563" width="17.140625" style="28" bestFit="1" customWidth="1"/>
    <col min="2564" max="2564" width="4" style="28" customWidth="1"/>
    <col min="2565" max="2565" width="13.7109375" style="28" customWidth="1"/>
    <col min="2566" max="2807" width="13.7109375" style="28"/>
    <col min="2808" max="2808" width="22.140625" style="28" customWidth="1"/>
    <col min="2809" max="2815" width="13.7109375" style="28" customWidth="1"/>
    <col min="2816" max="2816" width="15.85546875" style="28" customWidth="1"/>
    <col min="2817" max="2817" width="16.5703125" style="28" bestFit="1" customWidth="1"/>
    <col min="2818" max="2818" width="13.7109375" style="28" customWidth="1"/>
    <col min="2819" max="2819" width="17.140625" style="28" bestFit="1" customWidth="1"/>
    <col min="2820" max="2820" width="4" style="28" customWidth="1"/>
    <col min="2821" max="2821" width="13.7109375" style="28" customWidth="1"/>
    <col min="2822" max="3063" width="13.7109375" style="28"/>
    <col min="3064" max="3064" width="22.140625" style="28" customWidth="1"/>
    <col min="3065" max="3071" width="13.7109375" style="28" customWidth="1"/>
    <col min="3072" max="3072" width="15.85546875" style="28" customWidth="1"/>
    <col min="3073" max="3073" width="16.5703125" style="28" bestFit="1" customWidth="1"/>
    <col min="3074" max="3074" width="13.7109375" style="28" customWidth="1"/>
    <col min="3075" max="3075" width="17.140625" style="28" bestFit="1" customWidth="1"/>
    <col min="3076" max="3076" width="4" style="28" customWidth="1"/>
    <col min="3077" max="3077" width="13.7109375" style="28" customWidth="1"/>
    <col min="3078" max="3319" width="13.7109375" style="28"/>
    <col min="3320" max="3320" width="22.140625" style="28" customWidth="1"/>
    <col min="3321" max="3327" width="13.7109375" style="28" customWidth="1"/>
    <col min="3328" max="3328" width="15.85546875" style="28" customWidth="1"/>
    <col min="3329" max="3329" width="16.5703125" style="28" bestFit="1" customWidth="1"/>
    <col min="3330" max="3330" width="13.7109375" style="28" customWidth="1"/>
    <col min="3331" max="3331" width="17.140625" style="28" bestFit="1" customWidth="1"/>
    <col min="3332" max="3332" width="4" style="28" customWidth="1"/>
    <col min="3333" max="3333" width="13.7109375" style="28" customWidth="1"/>
    <col min="3334" max="3575" width="13.7109375" style="28"/>
    <col min="3576" max="3576" width="22.140625" style="28" customWidth="1"/>
    <col min="3577" max="3583" width="13.7109375" style="28" customWidth="1"/>
    <col min="3584" max="3584" width="15.85546875" style="28" customWidth="1"/>
    <col min="3585" max="3585" width="16.5703125" style="28" bestFit="1" customWidth="1"/>
    <col min="3586" max="3586" width="13.7109375" style="28" customWidth="1"/>
    <col min="3587" max="3587" width="17.140625" style="28" bestFit="1" customWidth="1"/>
    <col min="3588" max="3588" width="4" style="28" customWidth="1"/>
    <col min="3589" max="3589" width="13.7109375" style="28" customWidth="1"/>
    <col min="3590" max="3831" width="13.7109375" style="28"/>
    <col min="3832" max="3832" width="22.140625" style="28" customWidth="1"/>
    <col min="3833" max="3839" width="13.7109375" style="28" customWidth="1"/>
    <col min="3840" max="3840" width="15.85546875" style="28" customWidth="1"/>
    <col min="3841" max="3841" width="16.5703125" style="28" bestFit="1" customWidth="1"/>
    <col min="3842" max="3842" width="13.7109375" style="28" customWidth="1"/>
    <col min="3843" max="3843" width="17.140625" style="28" bestFit="1" customWidth="1"/>
    <col min="3844" max="3844" width="4" style="28" customWidth="1"/>
    <col min="3845" max="3845" width="13.7109375" style="28" customWidth="1"/>
    <col min="3846" max="4087" width="13.7109375" style="28"/>
    <col min="4088" max="4088" width="22.140625" style="28" customWidth="1"/>
    <col min="4089" max="4095" width="13.7109375" style="28" customWidth="1"/>
    <col min="4096" max="4096" width="15.85546875" style="28" customWidth="1"/>
    <col min="4097" max="4097" width="16.5703125" style="28" bestFit="1" customWidth="1"/>
    <col min="4098" max="4098" width="13.7109375" style="28" customWidth="1"/>
    <col min="4099" max="4099" width="17.140625" style="28" bestFit="1" customWidth="1"/>
    <col min="4100" max="4100" width="4" style="28" customWidth="1"/>
    <col min="4101" max="4101" width="13.7109375" style="28" customWidth="1"/>
    <col min="4102" max="4343" width="13.7109375" style="28"/>
    <col min="4344" max="4344" width="22.140625" style="28" customWidth="1"/>
    <col min="4345" max="4351" width="13.7109375" style="28" customWidth="1"/>
    <col min="4352" max="4352" width="15.85546875" style="28" customWidth="1"/>
    <col min="4353" max="4353" width="16.5703125" style="28" bestFit="1" customWidth="1"/>
    <col min="4354" max="4354" width="13.7109375" style="28" customWidth="1"/>
    <col min="4355" max="4355" width="17.140625" style="28" bestFit="1" customWidth="1"/>
    <col min="4356" max="4356" width="4" style="28" customWidth="1"/>
    <col min="4357" max="4357" width="13.7109375" style="28" customWidth="1"/>
    <col min="4358" max="4599" width="13.7109375" style="28"/>
    <col min="4600" max="4600" width="22.140625" style="28" customWidth="1"/>
    <col min="4601" max="4607" width="13.7109375" style="28" customWidth="1"/>
    <col min="4608" max="4608" width="15.85546875" style="28" customWidth="1"/>
    <col min="4609" max="4609" width="16.5703125" style="28" bestFit="1" customWidth="1"/>
    <col min="4610" max="4610" width="13.7109375" style="28" customWidth="1"/>
    <col min="4611" max="4611" width="17.140625" style="28" bestFit="1" customWidth="1"/>
    <col min="4612" max="4612" width="4" style="28" customWidth="1"/>
    <col min="4613" max="4613" width="13.7109375" style="28" customWidth="1"/>
    <col min="4614" max="4855" width="13.7109375" style="28"/>
    <col min="4856" max="4856" width="22.140625" style="28" customWidth="1"/>
    <col min="4857" max="4863" width="13.7109375" style="28" customWidth="1"/>
    <col min="4864" max="4864" width="15.85546875" style="28" customWidth="1"/>
    <col min="4865" max="4865" width="16.5703125" style="28" bestFit="1" customWidth="1"/>
    <col min="4866" max="4866" width="13.7109375" style="28" customWidth="1"/>
    <col min="4867" max="4867" width="17.140625" style="28" bestFit="1" customWidth="1"/>
    <col min="4868" max="4868" width="4" style="28" customWidth="1"/>
    <col min="4869" max="4869" width="13.7109375" style="28" customWidth="1"/>
    <col min="4870" max="5111" width="13.7109375" style="28"/>
    <col min="5112" max="5112" width="22.140625" style="28" customWidth="1"/>
    <col min="5113" max="5119" width="13.7109375" style="28" customWidth="1"/>
    <col min="5120" max="5120" width="15.85546875" style="28" customWidth="1"/>
    <col min="5121" max="5121" width="16.5703125" style="28" bestFit="1" customWidth="1"/>
    <col min="5122" max="5122" width="13.7109375" style="28" customWidth="1"/>
    <col min="5123" max="5123" width="17.140625" style="28" bestFit="1" customWidth="1"/>
    <col min="5124" max="5124" width="4" style="28" customWidth="1"/>
    <col min="5125" max="5125" width="13.7109375" style="28" customWidth="1"/>
    <col min="5126" max="5367" width="13.7109375" style="28"/>
    <col min="5368" max="5368" width="22.140625" style="28" customWidth="1"/>
    <col min="5369" max="5375" width="13.7109375" style="28" customWidth="1"/>
    <col min="5376" max="5376" width="15.85546875" style="28" customWidth="1"/>
    <col min="5377" max="5377" width="16.5703125" style="28" bestFit="1" customWidth="1"/>
    <col min="5378" max="5378" width="13.7109375" style="28" customWidth="1"/>
    <col min="5379" max="5379" width="17.140625" style="28" bestFit="1" customWidth="1"/>
    <col min="5380" max="5380" width="4" style="28" customWidth="1"/>
    <col min="5381" max="5381" width="13.7109375" style="28" customWidth="1"/>
    <col min="5382" max="5623" width="13.7109375" style="28"/>
    <col min="5624" max="5624" width="22.140625" style="28" customWidth="1"/>
    <col min="5625" max="5631" width="13.7109375" style="28" customWidth="1"/>
    <col min="5632" max="5632" width="15.85546875" style="28" customWidth="1"/>
    <col min="5633" max="5633" width="16.5703125" style="28" bestFit="1" customWidth="1"/>
    <col min="5634" max="5634" width="13.7109375" style="28" customWidth="1"/>
    <col min="5635" max="5635" width="17.140625" style="28" bestFit="1" customWidth="1"/>
    <col min="5636" max="5636" width="4" style="28" customWidth="1"/>
    <col min="5637" max="5637" width="13.7109375" style="28" customWidth="1"/>
    <col min="5638" max="5879" width="13.7109375" style="28"/>
    <col min="5880" max="5880" width="22.140625" style="28" customWidth="1"/>
    <col min="5881" max="5887" width="13.7109375" style="28" customWidth="1"/>
    <col min="5888" max="5888" width="15.85546875" style="28" customWidth="1"/>
    <col min="5889" max="5889" width="16.5703125" style="28" bestFit="1" customWidth="1"/>
    <col min="5890" max="5890" width="13.7109375" style="28" customWidth="1"/>
    <col min="5891" max="5891" width="17.140625" style="28" bestFit="1" customWidth="1"/>
    <col min="5892" max="5892" width="4" style="28" customWidth="1"/>
    <col min="5893" max="5893" width="13.7109375" style="28" customWidth="1"/>
    <col min="5894" max="6135" width="13.7109375" style="28"/>
    <col min="6136" max="6136" width="22.140625" style="28" customWidth="1"/>
    <col min="6137" max="6143" width="13.7109375" style="28" customWidth="1"/>
    <col min="6144" max="6144" width="15.85546875" style="28" customWidth="1"/>
    <col min="6145" max="6145" width="16.5703125" style="28" bestFit="1" customWidth="1"/>
    <col min="6146" max="6146" width="13.7109375" style="28" customWidth="1"/>
    <col min="6147" max="6147" width="17.140625" style="28" bestFit="1" customWidth="1"/>
    <col min="6148" max="6148" width="4" style="28" customWidth="1"/>
    <col min="6149" max="6149" width="13.7109375" style="28" customWidth="1"/>
    <col min="6150" max="6391" width="13.7109375" style="28"/>
    <col min="6392" max="6392" width="22.140625" style="28" customWidth="1"/>
    <col min="6393" max="6399" width="13.7109375" style="28" customWidth="1"/>
    <col min="6400" max="6400" width="15.85546875" style="28" customWidth="1"/>
    <col min="6401" max="6401" width="16.5703125" style="28" bestFit="1" customWidth="1"/>
    <col min="6402" max="6402" width="13.7109375" style="28" customWidth="1"/>
    <col min="6403" max="6403" width="17.140625" style="28" bestFit="1" customWidth="1"/>
    <col min="6404" max="6404" width="4" style="28" customWidth="1"/>
    <col min="6405" max="6405" width="13.7109375" style="28" customWidth="1"/>
    <col min="6406" max="6647" width="13.7109375" style="28"/>
    <col min="6648" max="6648" width="22.140625" style="28" customWidth="1"/>
    <col min="6649" max="6655" width="13.7109375" style="28" customWidth="1"/>
    <col min="6656" max="6656" width="15.85546875" style="28" customWidth="1"/>
    <col min="6657" max="6657" width="16.5703125" style="28" bestFit="1" customWidth="1"/>
    <col min="6658" max="6658" width="13.7109375" style="28" customWidth="1"/>
    <col min="6659" max="6659" width="17.140625" style="28" bestFit="1" customWidth="1"/>
    <col min="6660" max="6660" width="4" style="28" customWidth="1"/>
    <col min="6661" max="6661" width="13.7109375" style="28" customWidth="1"/>
    <col min="6662" max="6903" width="13.7109375" style="28"/>
    <col min="6904" max="6904" width="22.140625" style="28" customWidth="1"/>
    <col min="6905" max="6911" width="13.7109375" style="28" customWidth="1"/>
    <col min="6912" max="6912" width="15.85546875" style="28" customWidth="1"/>
    <col min="6913" max="6913" width="16.5703125" style="28" bestFit="1" customWidth="1"/>
    <col min="6914" max="6914" width="13.7109375" style="28" customWidth="1"/>
    <col min="6915" max="6915" width="17.140625" style="28" bestFit="1" customWidth="1"/>
    <col min="6916" max="6916" width="4" style="28" customWidth="1"/>
    <col min="6917" max="6917" width="13.7109375" style="28" customWidth="1"/>
    <col min="6918" max="7159" width="13.7109375" style="28"/>
    <col min="7160" max="7160" width="22.140625" style="28" customWidth="1"/>
    <col min="7161" max="7167" width="13.7109375" style="28" customWidth="1"/>
    <col min="7168" max="7168" width="15.85546875" style="28" customWidth="1"/>
    <col min="7169" max="7169" width="16.5703125" style="28" bestFit="1" customWidth="1"/>
    <col min="7170" max="7170" width="13.7109375" style="28" customWidth="1"/>
    <col min="7171" max="7171" width="17.140625" style="28" bestFit="1" customWidth="1"/>
    <col min="7172" max="7172" width="4" style="28" customWidth="1"/>
    <col min="7173" max="7173" width="13.7109375" style="28" customWidth="1"/>
    <col min="7174" max="7415" width="13.7109375" style="28"/>
    <col min="7416" max="7416" width="22.140625" style="28" customWidth="1"/>
    <col min="7417" max="7423" width="13.7109375" style="28" customWidth="1"/>
    <col min="7424" max="7424" width="15.85546875" style="28" customWidth="1"/>
    <col min="7425" max="7425" width="16.5703125" style="28" bestFit="1" customWidth="1"/>
    <col min="7426" max="7426" width="13.7109375" style="28" customWidth="1"/>
    <col min="7427" max="7427" width="17.140625" style="28" bestFit="1" customWidth="1"/>
    <col min="7428" max="7428" width="4" style="28" customWidth="1"/>
    <col min="7429" max="7429" width="13.7109375" style="28" customWidth="1"/>
    <col min="7430" max="7671" width="13.7109375" style="28"/>
    <col min="7672" max="7672" width="22.140625" style="28" customWidth="1"/>
    <col min="7673" max="7679" width="13.7109375" style="28" customWidth="1"/>
    <col min="7680" max="7680" width="15.85546875" style="28" customWidth="1"/>
    <col min="7681" max="7681" width="16.5703125" style="28" bestFit="1" customWidth="1"/>
    <col min="7682" max="7682" width="13.7109375" style="28" customWidth="1"/>
    <col min="7683" max="7683" width="17.140625" style="28" bestFit="1" customWidth="1"/>
    <col min="7684" max="7684" width="4" style="28" customWidth="1"/>
    <col min="7685" max="7685" width="13.7109375" style="28" customWidth="1"/>
    <col min="7686" max="7927" width="13.7109375" style="28"/>
    <col min="7928" max="7928" width="22.140625" style="28" customWidth="1"/>
    <col min="7929" max="7935" width="13.7109375" style="28" customWidth="1"/>
    <col min="7936" max="7936" width="15.85546875" style="28" customWidth="1"/>
    <col min="7937" max="7937" width="16.5703125" style="28" bestFit="1" customWidth="1"/>
    <col min="7938" max="7938" width="13.7109375" style="28" customWidth="1"/>
    <col min="7939" max="7939" width="17.140625" style="28" bestFit="1" customWidth="1"/>
    <col min="7940" max="7940" width="4" style="28" customWidth="1"/>
    <col min="7941" max="7941" width="13.7109375" style="28" customWidth="1"/>
    <col min="7942" max="8183" width="13.7109375" style="28"/>
    <col min="8184" max="8184" width="22.140625" style="28" customWidth="1"/>
    <col min="8185" max="8191" width="13.7109375" style="28" customWidth="1"/>
    <col min="8192" max="8192" width="15.85546875" style="28" customWidth="1"/>
    <col min="8193" max="8193" width="16.5703125" style="28" bestFit="1" customWidth="1"/>
    <col min="8194" max="8194" width="13.7109375" style="28" customWidth="1"/>
    <col min="8195" max="8195" width="17.140625" style="28" bestFit="1" customWidth="1"/>
    <col min="8196" max="8196" width="4" style="28" customWidth="1"/>
    <col min="8197" max="8197" width="13.7109375" style="28" customWidth="1"/>
    <col min="8198" max="8439" width="13.7109375" style="28"/>
    <col min="8440" max="8440" width="22.140625" style="28" customWidth="1"/>
    <col min="8441" max="8447" width="13.7109375" style="28" customWidth="1"/>
    <col min="8448" max="8448" width="15.85546875" style="28" customWidth="1"/>
    <col min="8449" max="8449" width="16.5703125" style="28" bestFit="1" customWidth="1"/>
    <col min="8450" max="8450" width="13.7109375" style="28" customWidth="1"/>
    <col min="8451" max="8451" width="17.140625" style="28" bestFit="1" customWidth="1"/>
    <col min="8452" max="8452" width="4" style="28" customWidth="1"/>
    <col min="8453" max="8453" width="13.7109375" style="28" customWidth="1"/>
    <col min="8454" max="8695" width="13.7109375" style="28"/>
    <col min="8696" max="8696" width="22.140625" style="28" customWidth="1"/>
    <col min="8697" max="8703" width="13.7109375" style="28" customWidth="1"/>
    <col min="8704" max="8704" width="15.85546875" style="28" customWidth="1"/>
    <col min="8705" max="8705" width="16.5703125" style="28" bestFit="1" customWidth="1"/>
    <col min="8706" max="8706" width="13.7109375" style="28" customWidth="1"/>
    <col min="8707" max="8707" width="17.140625" style="28" bestFit="1" customWidth="1"/>
    <col min="8708" max="8708" width="4" style="28" customWidth="1"/>
    <col min="8709" max="8709" width="13.7109375" style="28" customWidth="1"/>
    <col min="8710" max="8951" width="13.7109375" style="28"/>
    <col min="8952" max="8952" width="22.140625" style="28" customWidth="1"/>
    <col min="8953" max="8959" width="13.7109375" style="28" customWidth="1"/>
    <col min="8960" max="8960" width="15.85546875" style="28" customWidth="1"/>
    <col min="8961" max="8961" width="16.5703125" style="28" bestFit="1" customWidth="1"/>
    <col min="8962" max="8962" width="13.7109375" style="28" customWidth="1"/>
    <col min="8963" max="8963" width="17.140625" style="28" bestFit="1" customWidth="1"/>
    <col min="8964" max="8964" width="4" style="28" customWidth="1"/>
    <col min="8965" max="8965" width="13.7109375" style="28" customWidth="1"/>
    <col min="8966" max="9207" width="13.7109375" style="28"/>
    <col min="9208" max="9208" width="22.140625" style="28" customWidth="1"/>
    <col min="9209" max="9215" width="13.7109375" style="28" customWidth="1"/>
    <col min="9216" max="9216" width="15.85546875" style="28" customWidth="1"/>
    <col min="9217" max="9217" width="16.5703125" style="28" bestFit="1" customWidth="1"/>
    <col min="9218" max="9218" width="13.7109375" style="28" customWidth="1"/>
    <col min="9219" max="9219" width="17.140625" style="28" bestFit="1" customWidth="1"/>
    <col min="9220" max="9220" width="4" style="28" customWidth="1"/>
    <col min="9221" max="9221" width="13.7109375" style="28" customWidth="1"/>
    <col min="9222" max="9463" width="13.7109375" style="28"/>
    <col min="9464" max="9464" width="22.140625" style="28" customWidth="1"/>
    <col min="9465" max="9471" width="13.7109375" style="28" customWidth="1"/>
    <col min="9472" max="9472" width="15.85546875" style="28" customWidth="1"/>
    <col min="9473" max="9473" width="16.5703125" style="28" bestFit="1" customWidth="1"/>
    <col min="9474" max="9474" width="13.7109375" style="28" customWidth="1"/>
    <col min="9475" max="9475" width="17.140625" style="28" bestFit="1" customWidth="1"/>
    <col min="9476" max="9476" width="4" style="28" customWidth="1"/>
    <col min="9477" max="9477" width="13.7109375" style="28" customWidth="1"/>
    <col min="9478" max="9719" width="13.7109375" style="28"/>
    <col min="9720" max="9720" width="22.140625" style="28" customWidth="1"/>
    <col min="9721" max="9727" width="13.7109375" style="28" customWidth="1"/>
    <col min="9728" max="9728" width="15.85546875" style="28" customWidth="1"/>
    <col min="9729" max="9729" width="16.5703125" style="28" bestFit="1" customWidth="1"/>
    <col min="9730" max="9730" width="13.7109375" style="28" customWidth="1"/>
    <col min="9731" max="9731" width="17.140625" style="28" bestFit="1" customWidth="1"/>
    <col min="9732" max="9732" width="4" style="28" customWidth="1"/>
    <col min="9733" max="9733" width="13.7109375" style="28" customWidth="1"/>
    <col min="9734" max="9975" width="13.7109375" style="28"/>
    <col min="9976" max="9976" width="22.140625" style="28" customWidth="1"/>
    <col min="9977" max="9983" width="13.7109375" style="28" customWidth="1"/>
    <col min="9984" max="9984" width="15.85546875" style="28" customWidth="1"/>
    <col min="9985" max="9985" width="16.5703125" style="28" bestFit="1" customWidth="1"/>
    <col min="9986" max="9986" width="13.7109375" style="28" customWidth="1"/>
    <col min="9987" max="9987" width="17.140625" style="28" bestFit="1" customWidth="1"/>
    <col min="9988" max="9988" width="4" style="28" customWidth="1"/>
    <col min="9989" max="9989" width="13.7109375" style="28" customWidth="1"/>
    <col min="9990" max="10231" width="13.7109375" style="28"/>
    <col min="10232" max="10232" width="22.140625" style="28" customWidth="1"/>
    <col min="10233" max="10239" width="13.7109375" style="28" customWidth="1"/>
    <col min="10240" max="10240" width="15.85546875" style="28" customWidth="1"/>
    <col min="10241" max="10241" width="16.5703125" style="28" bestFit="1" customWidth="1"/>
    <col min="10242" max="10242" width="13.7109375" style="28" customWidth="1"/>
    <col min="10243" max="10243" width="17.140625" style="28" bestFit="1" customWidth="1"/>
    <col min="10244" max="10244" width="4" style="28" customWidth="1"/>
    <col min="10245" max="10245" width="13.7109375" style="28" customWidth="1"/>
    <col min="10246" max="10487" width="13.7109375" style="28"/>
    <col min="10488" max="10488" width="22.140625" style="28" customWidth="1"/>
    <col min="10489" max="10495" width="13.7109375" style="28" customWidth="1"/>
    <col min="10496" max="10496" width="15.85546875" style="28" customWidth="1"/>
    <col min="10497" max="10497" width="16.5703125" style="28" bestFit="1" customWidth="1"/>
    <col min="10498" max="10498" width="13.7109375" style="28" customWidth="1"/>
    <col min="10499" max="10499" width="17.140625" style="28" bestFit="1" customWidth="1"/>
    <col min="10500" max="10500" width="4" style="28" customWidth="1"/>
    <col min="10501" max="10501" width="13.7109375" style="28" customWidth="1"/>
    <col min="10502" max="10743" width="13.7109375" style="28"/>
    <col min="10744" max="10744" width="22.140625" style="28" customWidth="1"/>
    <col min="10745" max="10751" width="13.7109375" style="28" customWidth="1"/>
    <col min="10752" max="10752" width="15.85546875" style="28" customWidth="1"/>
    <col min="10753" max="10753" width="16.5703125" style="28" bestFit="1" customWidth="1"/>
    <col min="10754" max="10754" width="13.7109375" style="28" customWidth="1"/>
    <col min="10755" max="10755" width="17.140625" style="28" bestFit="1" customWidth="1"/>
    <col min="10756" max="10756" width="4" style="28" customWidth="1"/>
    <col min="10757" max="10757" width="13.7109375" style="28" customWidth="1"/>
    <col min="10758" max="10999" width="13.7109375" style="28"/>
    <col min="11000" max="11000" width="22.140625" style="28" customWidth="1"/>
    <col min="11001" max="11007" width="13.7109375" style="28" customWidth="1"/>
    <col min="11008" max="11008" width="15.85546875" style="28" customWidth="1"/>
    <col min="11009" max="11009" width="16.5703125" style="28" bestFit="1" customWidth="1"/>
    <col min="11010" max="11010" width="13.7109375" style="28" customWidth="1"/>
    <col min="11011" max="11011" width="17.140625" style="28" bestFit="1" customWidth="1"/>
    <col min="11012" max="11012" width="4" style="28" customWidth="1"/>
    <col min="11013" max="11013" width="13.7109375" style="28" customWidth="1"/>
    <col min="11014" max="11255" width="13.7109375" style="28"/>
    <col min="11256" max="11256" width="22.140625" style="28" customWidth="1"/>
    <col min="11257" max="11263" width="13.7109375" style="28" customWidth="1"/>
    <col min="11264" max="11264" width="15.85546875" style="28" customWidth="1"/>
    <col min="11265" max="11265" width="16.5703125" style="28" bestFit="1" customWidth="1"/>
    <col min="11266" max="11266" width="13.7109375" style="28" customWidth="1"/>
    <col min="11267" max="11267" width="17.140625" style="28" bestFit="1" customWidth="1"/>
    <col min="11268" max="11268" width="4" style="28" customWidth="1"/>
    <col min="11269" max="11269" width="13.7109375" style="28" customWidth="1"/>
    <col min="11270" max="11511" width="13.7109375" style="28"/>
    <col min="11512" max="11512" width="22.140625" style="28" customWidth="1"/>
    <col min="11513" max="11519" width="13.7109375" style="28" customWidth="1"/>
    <col min="11520" max="11520" width="15.85546875" style="28" customWidth="1"/>
    <col min="11521" max="11521" width="16.5703125" style="28" bestFit="1" customWidth="1"/>
    <col min="11522" max="11522" width="13.7109375" style="28" customWidth="1"/>
    <col min="11523" max="11523" width="17.140625" style="28" bestFit="1" customWidth="1"/>
    <col min="11524" max="11524" width="4" style="28" customWidth="1"/>
    <col min="11525" max="11525" width="13.7109375" style="28" customWidth="1"/>
    <col min="11526" max="11767" width="13.7109375" style="28"/>
    <col min="11768" max="11768" width="22.140625" style="28" customWidth="1"/>
    <col min="11769" max="11775" width="13.7109375" style="28" customWidth="1"/>
    <col min="11776" max="11776" width="15.85546875" style="28" customWidth="1"/>
    <col min="11777" max="11777" width="16.5703125" style="28" bestFit="1" customWidth="1"/>
    <col min="11778" max="11778" width="13.7109375" style="28" customWidth="1"/>
    <col min="11779" max="11779" width="17.140625" style="28" bestFit="1" customWidth="1"/>
    <col min="11780" max="11780" width="4" style="28" customWidth="1"/>
    <col min="11781" max="11781" width="13.7109375" style="28" customWidth="1"/>
    <col min="11782" max="12023" width="13.7109375" style="28"/>
    <col min="12024" max="12024" width="22.140625" style="28" customWidth="1"/>
    <col min="12025" max="12031" width="13.7109375" style="28" customWidth="1"/>
    <col min="12032" max="12032" width="15.85546875" style="28" customWidth="1"/>
    <col min="12033" max="12033" width="16.5703125" style="28" bestFit="1" customWidth="1"/>
    <col min="12034" max="12034" width="13.7109375" style="28" customWidth="1"/>
    <col min="12035" max="12035" width="17.140625" style="28" bestFit="1" customWidth="1"/>
    <col min="12036" max="12036" width="4" style="28" customWidth="1"/>
    <col min="12037" max="12037" width="13.7109375" style="28" customWidth="1"/>
    <col min="12038" max="12279" width="13.7109375" style="28"/>
    <col min="12280" max="12280" width="22.140625" style="28" customWidth="1"/>
    <col min="12281" max="12287" width="13.7109375" style="28" customWidth="1"/>
    <col min="12288" max="12288" width="15.85546875" style="28" customWidth="1"/>
    <col min="12289" max="12289" width="16.5703125" style="28" bestFit="1" customWidth="1"/>
    <col min="12290" max="12290" width="13.7109375" style="28" customWidth="1"/>
    <col min="12291" max="12291" width="17.140625" style="28" bestFit="1" customWidth="1"/>
    <col min="12292" max="12292" width="4" style="28" customWidth="1"/>
    <col min="12293" max="12293" width="13.7109375" style="28" customWidth="1"/>
    <col min="12294" max="12535" width="13.7109375" style="28"/>
    <col min="12536" max="12536" width="22.140625" style="28" customWidth="1"/>
    <col min="12537" max="12543" width="13.7109375" style="28" customWidth="1"/>
    <col min="12544" max="12544" width="15.85546875" style="28" customWidth="1"/>
    <col min="12545" max="12545" width="16.5703125" style="28" bestFit="1" customWidth="1"/>
    <col min="12546" max="12546" width="13.7109375" style="28" customWidth="1"/>
    <col min="12547" max="12547" width="17.140625" style="28" bestFit="1" customWidth="1"/>
    <col min="12548" max="12548" width="4" style="28" customWidth="1"/>
    <col min="12549" max="12549" width="13.7109375" style="28" customWidth="1"/>
    <col min="12550" max="12791" width="13.7109375" style="28"/>
    <col min="12792" max="12792" width="22.140625" style="28" customWidth="1"/>
    <col min="12793" max="12799" width="13.7109375" style="28" customWidth="1"/>
    <col min="12800" max="12800" width="15.85546875" style="28" customWidth="1"/>
    <col min="12801" max="12801" width="16.5703125" style="28" bestFit="1" customWidth="1"/>
    <col min="12802" max="12802" width="13.7109375" style="28" customWidth="1"/>
    <col min="12803" max="12803" width="17.140625" style="28" bestFit="1" customWidth="1"/>
    <col min="12804" max="12804" width="4" style="28" customWidth="1"/>
    <col min="12805" max="12805" width="13.7109375" style="28" customWidth="1"/>
    <col min="12806" max="13047" width="13.7109375" style="28"/>
    <col min="13048" max="13048" width="22.140625" style="28" customWidth="1"/>
    <col min="13049" max="13055" width="13.7109375" style="28" customWidth="1"/>
    <col min="13056" max="13056" width="15.85546875" style="28" customWidth="1"/>
    <col min="13057" max="13057" width="16.5703125" style="28" bestFit="1" customWidth="1"/>
    <col min="13058" max="13058" width="13.7109375" style="28" customWidth="1"/>
    <col min="13059" max="13059" width="17.140625" style="28" bestFit="1" customWidth="1"/>
    <col min="13060" max="13060" width="4" style="28" customWidth="1"/>
    <col min="13061" max="13061" width="13.7109375" style="28" customWidth="1"/>
    <col min="13062" max="13303" width="13.7109375" style="28"/>
    <col min="13304" max="13304" width="22.140625" style="28" customWidth="1"/>
    <col min="13305" max="13311" width="13.7109375" style="28" customWidth="1"/>
    <col min="13312" max="13312" width="15.85546875" style="28" customWidth="1"/>
    <col min="13313" max="13313" width="16.5703125" style="28" bestFit="1" customWidth="1"/>
    <col min="13314" max="13314" width="13.7109375" style="28" customWidth="1"/>
    <col min="13315" max="13315" width="17.140625" style="28" bestFit="1" customWidth="1"/>
    <col min="13316" max="13316" width="4" style="28" customWidth="1"/>
    <col min="13317" max="13317" width="13.7109375" style="28" customWidth="1"/>
    <col min="13318" max="13559" width="13.7109375" style="28"/>
    <col min="13560" max="13560" width="22.140625" style="28" customWidth="1"/>
    <col min="13561" max="13567" width="13.7109375" style="28" customWidth="1"/>
    <col min="13568" max="13568" width="15.85546875" style="28" customWidth="1"/>
    <col min="13569" max="13569" width="16.5703125" style="28" bestFit="1" customWidth="1"/>
    <col min="13570" max="13570" width="13.7109375" style="28" customWidth="1"/>
    <col min="13571" max="13571" width="17.140625" style="28" bestFit="1" customWidth="1"/>
    <col min="13572" max="13572" width="4" style="28" customWidth="1"/>
    <col min="13573" max="13573" width="13.7109375" style="28" customWidth="1"/>
    <col min="13574" max="13815" width="13.7109375" style="28"/>
    <col min="13816" max="13816" width="22.140625" style="28" customWidth="1"/>
    <col min="13817" max="13823" width="13.7109375" style="28" customWidth="1"/>
    <col min="13824" max="13824" width="15.85546875" style="28" customWidth="1"/>
    <col min="13825" max="13825" width="16.5703125" style="28" bestFit="1" customWidth="1"/>
    <col min="13826" max="13826" width="13.7109375" style="28" customWidth="1"/>
    <col min="13827" max="13827" width="17.140625" style="28" bestFit="1" customWidth="1"/>
    <col min="13828" max="13828" width="4" style="28" customWidth="1"/>
    <col min="13829" max="13829" width="13.7109375" style="28" customWidth="1"/>
    <col min="13830" max="14071" width="13.7109375" style="28"/>
    <col min="14072" max="14072" width="22.140625" style="28" customWidth="1"/>
    <col min="14073" max="14079" width="13.7109375" style="28" customWidth="1"/>
    <col min="14080" max="14080" width="15.85546875" style="28" customWidth="1"/>
    <col min="14081" max="14081" width="16.5703125" style="28" bestFit="1" customWidth="1"/>
    <col min="14082" max="14082" width="13.7109375" style="28" customWidth="1"/>
    <col min="14083" max="14083" width="17.140625" style="28" bestFit="1" customWidth="1"/>
    <col min="14084" max="14084" width="4" style="28" customWidth="1"/>
    <col min="14085" max="14085" width="13.7109375" style="28" customWidth="1"/>
    <col min="14086" max="14327" width="13.7109375" style="28"/>
    <col min="14328" max="14328" width="22.140625" style="28" customWidth="1"/>
    <col min="14329" max="14335" width="13.7109375" style="28" customWidth="1"/>
    <col min="14336" max="14336" width="15.85546875" style="28" customWidth="1"/>
    <col min="14337" max="14337" width="16.5703125" style="28" bestFit="1" customWidth="1"/>
    <col min="14338" max="14338" width="13.7109375" style="28" customWidth="1"/>
    <col min="14339" max="14339" width="17.140625" style="28" bestFit="1" customWidth="1"/>
    <col min="14340" max="14340" width="4" style="28" customWidth="1"/>
    <col min="14341" max="14341" width="13.7109375" style="28" customWidth="1"/>
    <col min="14342" max="14583" width="13.7109375" style="28"/>
    <col min="14584" max="14584" width="22.140625" style="28" customWidth="1"/>
    <col min="14585" max="14591" width="13.7109375" style="28" customWidth="1"/>
    <col min="14592" max="14592" width="15.85546875" style="28" customWidth="1"/>
    <col min="14593" max="14593" width="16.5703125" style="28" bestFit="1" customWidth="1"/>
    <col min="14594" max="14594" width="13.7109375" style="28" customWidth="1"/>
    <col min="14595" max="14595" width="17.140625" style="28" bestFit="1" customWidth="1"/>
    <col min="14596" max="14596" width="4" style="28" customWidth="1"/>
    <col min="14597" max="14597" width="13.7109375" style="28" customWidth="1"/>
    <col min="14598" max="14839" width="13.7109375" style="28"/>
    <col min="14840" max="14840" width="22.140625" style="28" customWidth="1"/>
    <col min="14841" max="14847" width="13.7109375" style="28" customWidth="1"/>
    <col min="14848" max="14848" width="15.85546875" style="28" customWidth="1"/>
    <col min="14849" max="14849" width="16.5703125" style="28" bestFit="1" customWidth="1"/>
    <col min="14850" max="14850" width="13.7109375" style="28" customWidth="1"/>
    <col min="14851" max="14851" width="17.140625" style="28" bestFit="1" customWidth="1"/>
    <col min="14852" max="14852" width="4" style="28" customWidth="1"/>
    <col min="14853" max="14853" width="13.7109375" style="28" customWidth="1"/>
    <col min="14854" max="15095" width="13.7109375" style="28"/>
    <col min="15096" max="15096" width="22.140625" style="28" customWidth="1"/>
    <col min="15097" max="15103" width="13.7109375" style="28" customWidth="1"/>
    <col min="15104" max="15104" width="15.85546875" style="28" customWidth="1"/>
    <col min="15105" max="15105" width="16.5703125" style="28" bestFit="1" customWidth="1"/>
    <col min="15106" max="15106" width="13.7109375" style="28" customWidth="1"/>
    <col min="15107" max="15107" width="17.140625" style="28" bestFit="1" customWidth="1"/>
    <col min="15108" max="15108" width="4" style="28" customWidth="1"/>
    <col min="15109" max="15109" width="13.7109375" style="28" customWidth="1"/>
    <col min="15110" max="15351" width="13.7109375" style="28"/>
    <col min="15352" max="15352" width="22.140625" style="28" customWidth="1"/>
    <col min="15353" max="15359" width="13.7109375" style="28" customWidth="1"/>
    <col min="15360" max="15360" width="15.85546875" style="28" customWidth="1"/>
    <col min="15361" max="15361" width="16.5703125" style="28" bestFit="1" customWidth="1"/>
    <col min="15362" max="15362" width="13.7109375" style="28" customWidth="1"/>
    <col min="15363" max="15363" width="17.140625" style="28" bestFit="1" customWidth="1"/>
    <col min="15364" max="15364" width="4" style="28" customWidth="1"/>
    <col min="15365" max="15365" width="13.7109375" style="28" customWidth="1"/>
    <col min="15366" max="15607" width="13.7109375" style="28"/>
    <col min="15608" max="15608" width="22.140625" style="28" customWidth="1"/>
    <col min="15609" max="15615" width="13.7109375" style="28" customWidth="1"/>
    <col min="15616" max="15616" width="15.85546875" style="28" customWidth="1"/>
    <col min="15617" max="15617" width="16.5703125" style="28" bestFit="1" customWidth="1"/>
    <col min="15618" max="15618" width="13.7109375" style="28" customWidth="1"/>
    <col min="15619" max="15619" width="17.140625" style="28" bestFit="1" customWidth="1"/>
    <col min="15620" max="15620" width="4" style="28" customWidth="1"/>
    <col min="15621" max="15621" width="13.7109375" style="28" customWidth="1"/>
    <col min="15622" max="15863" width="13.7109375" style="28"/>
    <col min="15864" max="15864" width="22.140625" style="28" customWidth="1"/>
    <col min="15865" max="15871" width="13.7109375" style="28" customWidth="1"/>
    <col min="15872" max="15872" width="15.85546875" style="28" customWidth="1"/>
    <col min="15873" max="15873" width="16.5703125" style="28" bestFit="1" customWidth="1"/>
    <col min="15874" max="15874" width="13.7109375" style="28" customWidth="1"/>
    <col min="15875" max="15875" width="17.140625" style="28" bestFit="1" customWidth="1"/>
    <col min="15876" max="15876" width="4" style="28" customWidth="1"/>
    <col min="15877" max="15877" width="13.7109375" style="28" customWidth="1"/>
    <col min="15878" max="16119" width="13.7109375" style="28"/>
    <col min="16120" max="16120" width="22.140625" style="28" customWidth="1"/>
    <col min="16121" max="16127" width="13.7109375" style="28" customWidth="1"/>
    <col min="16128" max="16128" width="15.85546875" style="28" customWidth="1"/>
    <col min="16129" max="16129" width="16.5703125" style="28" bestFit="1" customWidth="1"/>
    <col min="16130" max="16130" width="13.7109375" style="28" customWidth="1"/>
    <col min="16131" max="16131" width="17.140625" style="28" bestFit="1" customWidth="1"/>
    <col min="16132" max="16132" width="4" style="28" customWidth="1"/>
    <col min="16133" max="16133" width="13.7109375" style="28" customWidth="1"/>
    <col min="16134" max="16384" width="13.7109375" style="28"/>
  </cols>
  <sheetData>
    <row r="1" spans="1:26" s="22" customFormat="1">
      <c r="A1" s="371" t="s">
        <v>4</v>
      </c>
      <c r="B1" s="168"/>
      <c r="C1" s="168"/>
      <c r="D1" s="100"/>
      <c r="E1" s="100"/>
      <c r="F1" s="169"/>
      <c r="G1" s="100"/>
      <c r="H1" s="100"/>
    </row>
    <row r="2" spans="1:26" s="22" customFormat="1" ht="16.149999999999999">
      <c r="A2" s="100"/>
      <c r="B2" s="168"/>
      <c r="C2" s="168"/>
      <c r="D2" s="170"/>
      <c r="E2" s="351" t="s">
        <v>644</v>
      </c>
      <c r="F2" s="351" t="s">
        <v>645</v>
      </c>
      <c r="G2" s="170"/>
      <c r="H2" s="100"/>
    </row>
    <row r="3" spans="1:26" s="22" customFormat="1" ht="15.6">
      <c r="A3" s="37" t="str">
        <f>'2-Kosten per locatie'!A3</f>
        <v>Naam opdrachtgever</v>
      </c>
      <c r="B3" s="149" t="str">
        <f>'2-Kosten per locatie'!B3</f>
        <v>SED organisatie</v>
      </c>
      <c r="C3" s="398"/>
      <c r="D3" s="170"/>
      <c r="E3" s="352" t="s">
        <v>646</v>
      </c>
      <c r="F3" s="353"/>
      <c r="G3" s="170"/>
      <c r="H3" s="100"/>
    </row>
    <row r="4" spans="1:26" s="22" customFormat="1" ht="15.6">
      <c r="A4" s="37" t="str">
        <f>'2-Kosten per locatie'!A4</f>
        <v>Calculatie onderdeel</v>
      </c>
      <c r="B4" s="149" t="e">
        <f ca="1">MID(CELL("bestandsnaam",$C$9),SEARCH("]",CELL("bestandsnaam",$C$9),1)+1,256)</f>
        <v>#VALUE!</v>
      </c>
      <c r="C4" s="149"/>
      <c r="D4" s="170"/>
      <c r="E4" s="352" t="s">
        <v>647</v>
      </c>
      <c r="F4" s="353"/>
      <c r="G4" s="170"/>
      <c r="H4" s="100"/>
    </row>
    <row r="5" spans="1:26" s="22" customFormat="1" ht="15.6">
      <c r="A5" s="37" t="str">
        <f>'2-Kosten per locatie'!A5</f>
        <v>Gebouw/plaats</v>
      </c>
      <c r="B5" s="149" t="str">
        <f>'2-Kosten per locatie'!B5</f>
        <v>Perceel 1</v>
      </c>
      <c r="C5" s="149"/>
      <c r="D5" s="170"/>
      <c r="E5" s="354" t="s">
        <v>648</v>
      </c>
      <c r="F5" s="353"/>
      <c r="G5" s="170"/>
      <c r="H5" s="171"/>
      <c r="J5" s="24"/>
      <c r="K5" s="23"/>
      <c r="L5" s="24"/>
      <c r="M5" s="24"/>
      <c r="N5" s="23"/>
      <c r="O5" s="25"/>
      <c r="P5" s="24"/>
      <c r="Q5" s="23"/>
      <c r="R5" s="24"/>
      <c r="S5" s="24"/>
      <c r="T5" s="23"/>
      <c r="U5" s="24"/>
      <c r="V5" s="24"/>
      <c r="W5" s="23"/>
      <c r="X5" s="24"/>
      <c r="Y5" s="24"/>
      <c r="Z5" s="23"/>
    </row>
    <row r="6" spans="1:26" s="22" customFormat="1" ht="17.25" customHeight="1">
      <c r="A6" s="37" t="str">
        <f>'2-Kosten per locatie'!A6</f>
        <v>Referentie nummer</v>
      </c>
      <c r="B6" s="149">
        <f>'2-Kosten per locatie'!B6</f>
        <v>0</v>
      </c>
      <c r="C6" s="149"/>
      <c r="D6" s="170"/>
      <c r="E6" s="352" t="s">
        <v>649</v>
      </c>
      <c r="F6" s="353">
        <v>0</v>
      </c>
      <c r="G6" s="170"/>
      <c r="H6" s="171"/>
      <c r="J6" s="26"/>
      <c r="K6" s="27"/>
      <c r="L6" s="24"/>
      <c r="M6" s="26"/>
      <c r="N6" s="27"/>
      <c r="O6" s="25"/>
      <c r="P6" s="26"/>
      <c r="Q6" s="27"/>
      <c r="R6" s="24"/>
      <c r="S6" s="26"/>
      <c r="T6" s="27"/>
      <c r="U6" s="24"/>
      <c r="V6" s="26"/>
      <c r="W6" s="27"/>
      <c r="X6" s="24"/>
      <c r="Y6" s="26"/>
      <c r="Z6" s="27"/>
    </row>
    <row r="7" spans="1:26" s="22" customFormat="1" ht="17.25" customHeight="1">
      <c r="A7" s="37" t="str">
        <f>'2-Kosten per locatie'!A7</f>
        <v>Naam dienstverlener</v>
      </c>
      <c r="B7" s="149">
        <f>'2-Kosten per locatie'!B7</f>
        <v>0</v>
      </c>
      <c r="C7" s="119"/>
      <c r="D7" s="170"/>
      <c r="E7" s="352" t="s">
        <v>649</v>
      </c>
      <c r="F7" s="353">
        <v>0</v>
      </c>
      <c r="G7" s="170"/>
      <c r="H7" s="171"/>
    </row>
    <row r="8" spans="1:26" s="22" customFormat="1" ht="17.25" customHeight="1">
      <c r="A8" s="37" t="str">
        <f>'2-Kosten per locatie'!A8</f>
        <v>Prijspeil</v>
      </c>
      <c r="B8" s="256">
        <f>'2-Kosten per locatie'!B8</f>
        <v>46023</v>
      </c>
      <c r="C8" s="46"/>
      <c r="D8" s="170"/>
      <c r="E8" s="352" t="s">
        <v>649</v>
      </c>
      <c r="F8" s="353">
        <v>0</v>
      </c>
      <c r="G8" s="170"/>
      <c r="H8" s="171"/>
    </row>
    <row r="9" spans="1:26" s="22" customFormat="1" ht="17.25" customHeight="1">
      <c r="A9" s="170"/>
      <c r="B9" s="170"/>
      <c r="C9" s="170"/>
      <c r="D9" s="170"/>
      <c r="E9" s="352" t="s">
        <v>649</v>
      </c>
      <c r="F9" s="353">
        <v>0</v>
      </c>
      <c r="G9" s="170"/>
      <c r="H9" s="171"/>
    </row>
    <row r="10" spans="1:26" s="22" customFormat="1" ht="17.25" customHeight="1">
      <c r="A10" s="170"/>
      <c r="B10" s="170"/>
      <c r="C10" s="170"/>
      <c r="D10" s="170"/>
      <c r="E10" s="352" t="s">
        <v>649</v>
      </c>
      <c r="F10" s="353">
        <v>0</v>
      </c>
      <c r="G10" s="170"/>
      <c r="H10" s="171"/>
    </row>
    <row r="11" spans="1:26" s="22" customFormat="1" ht="15.6">
      <c r="A11" s="172"/>
      <c r="B11" s="170"/>
      <c r="C11" s="170"/>
      <c r="D11" s="173"/>
      <c r="E11" s="170"/>
      <c r="F11" s="174"/>
      <c r="G11" s="173"/>
      <c r="H11" s="171"/>
    </row>
    <row r="12" spans="1:26" s="29" customFormat="1" ht="43.5" customHeight="1">
      <c r="A12" s="355" t="s">
        <v>25</v>
      </c>
      <c r="B12" s="356" t="s">
        <v>644</v>
      </c>
      <c r="C12" s="356" t="s">
        <v>650</v>
      </c>
      <c r="D12" s="351" t="s">
        <v>651</v>
      </c>
      <c r="E12" s="356" t="s">
        <v>652</v>
      </c>
      <c r="F12" s="356" t="s">
        <v>653</v>
      </c>
      <c r="G12" s="356" t="s">
        <v>654</v>
      </c>
      <c r="H12" s="356" t="s">
        <v>655</v>
      </c>
    </row>
    <row r="13" spans="1:26">
      <c r="A13" s="357" t="s">
        <v>52</v>
      </c>
      <c r="B13" s="352" t="s">
        <v>646</v>
      </c>
      <c r="C13" s="352"/>
      <c r="D13" s="399"/>
      <c r="E13" s="358">
        <f>VLOOKUP(B13,$E$3:$F$10,2,FALSE)</f>
        <v>0</v>
      </c>
      <c r="F13" s="359">
        <f>(D13*E13)</f>
        <v>0</v>
      </c>
      <c r="G13" s="360" t="s">
        <v>656</v>
      </c>
      <c r="H13" s="359">
        <f t="shared" ref="H13:H15" si="0">G13*F13</f>
        <v>0</v>
      </c>
    </row>
    <row r="14" spans="1:26">
      <c r="A14" s="357" t="s">
        <v>52</v>
      </c>
      <c r="B14" s="352" t="s">
        <v>647</v>
      </c>
      <c r="C14" s="352"/>
      <c r="D14" s="399">
        <v>90</v>
      </c>
      <c r="E14" s="358">
        <f>VLOOKUP(B14,$E$3:$F$10,2,FALSE)</f>
        <v>0</v>
      </c>
      <c r="F14" s="359">
        <f t="shared" ref="F14:F15" si="1">(D14*E14)</f>
        <v>0</v>
      </c>
      <c r="G14" s="360" t="s">
        <v>656</v>
      </c>
      <c r="H14" s="359">
        <f t="shared" si="0"/>
        <v>0</v>
      </c>
    </row>
    <row r="15" spans="1:26">
      <c r="A15" s="179" t="s">
        <v>52</v>
      </c>
      <c r="B15" s="354" t="s">
        <v>647</v>
      </c>
      <c r="C15" s="354" t="s">
        <v>657</v>
      </c>
      <c r="D15" s="399">
        <v>20</v>
      </c>
      <c r="E15" s="358">
        <f>VLOOKUP(B15,$E$3:$F$10,2,FALSE)</f>
        <v>0</v>
      </c>
      <c r="F15" s="359">
        <f t="shared" si="1"/>
        <v>0</v>
      </c>
      <c r="G15" s="360" t="s">
        <v>656</v>
      </c>
      <c r="H15" s="359">
        <f t="shared" si="0"/>
        <v>0</v>
      </c>
    </row>
    <row r="16" spans="1:26">
      <c r="A16" s="179" t="s">
        <v>52</v>
      </c>
      <c r="B16" s="354" t="s">
        <v>648</v>
      </c>
      <c r="C16" s="354" t="s">
        <v>658</v>
      </c>
      <c r="D16" s="399">
        <v>20</v>
      </c>
      <c r="E16" s="358">
        <f t="shared" ref="E16:E43" si="2">VLOOKUP(B16,$E$3:$F$10,2,FALSE)</f>
        <v>0</v>
      </c>
      <c r="F16" s="359">
        <f t="shared" ref="F16:F43" si="3">(D16*E16)</f>
        <v>0</v>
      </c>
      <c r="G16" s="360" t="s">
        <v>656</v>
      </c>
      <c r="H16" s="359">
        <f t="shared" ref="H16:H43" si="4">G16*F16</f>
        <v>0</v>
      </c>
    </row>
    <row r="17" spans="1:8">
      <c r="A17" s="179" t="s">
        <v>53</v>
      </c>
      <c r="B17" s="354" t="s">
        <v>647</v>
      </c>
      <c r="C17" s="354"/>
      <c r="D17" s="399">
        <v>133</v>
      </c>
      <c r="E17" s="358">
        <f t="shared" si="2"/>
        <v>0</v>
      </c>
      <c r="F17" s="359">
        <f t="shared" si="3"/>
        <v>0</v>
      </c>
      <c r="G17" s="360" t="s">
        <v>656</v>
      </c>
      <c r="H17" s="359">
        <f t="shared" si="4"/>
        <v>0</v>
      </c>
    </row>
    <row r="18" spans="1:8">
      <c r="A18" s="179" t="s">
        <v>53</v>
      </c>
      <c r="B18" s="352" t="s">
        <v>646</v>
      </c>
      <c r="C18" s="352"/>
      <c r="D18" s="399">
        <v>133</v>
      </c>
      <c r="E18" s="358">
        <f t="shared" si="2"/>
        <v>0</v>
      </c>
      <c r="F18" s="359">
        <f t="shared" si="3"/>
        <v>0</v>
      </c>
      <c r="G18" s="360" t="s">
        <v>656</v>
      </c>
      <c r="H18" s="359">
        <f t="shared" si="4"/>
        <v>0</v>
      </c>
    </row>
    <row r="19" spans="1:8">
      <c r="A19" s="179" t="s">
        <v>53</v>
      </c>
      <c r="B19" s="352" t="s">
        <v>648</v>
      </c>
      <c r="C19" s="354" t="s">
        <v>658</v>
      </c>
      <c r="D19" s="399">
        <v>20</v>
      </c>
      <c r="E19" s="358">
        <f t="shared" si="2"/>
        <v>0</v>
      </c>
      <c r="F19" s="359">
        <f t="shared" si="3"/>
        <v>0</v>
      </c>
      <c r="G19" s="360" t="s">
        <v>656</v>
      </c>
      <c r="H19" s="359">
        <f t="shared" si="4"/>
        <v>0</v>
      </c>
    </row>
    <row r="20" spans="1:8">
      <c r="A20" s="179" t="s">
        <v>54</v>
      </c>
      <c r="B20" s="352" t="s">
        <v>647</v>
      </c>
      <c r="C20" s="352"/>
      <c r="D20" s="399">
        <v>108</v>
      </c>
      <c r="E20" s="358">
        <f t="shared" si="2"/>
        <v>0</v>
      </c>
      <c r="F20" s="359">
        <f t="shared" si="3"/>
        <v>0</v>
      </c>
      <c r="G20" s="360" t="s">
        <v>656</v>
      </c>
      <c r="H20" s="359">
        <f t="shared" si="4"/>
        <v>0</v>
      </c>
    </row>
    <row r="21" spans="1:8">
      <c r="A21" s="179" t="s">
        <v>54</v>
      </c>
      <c r="B21" s="354" t="s">
        <v>646</v>
      </c>
      <c r="C21" s="354"/>
      <c r="D21" s="399">
        <v>108</v>
      </c>
      <c r="E21" s="358">
        <f t="shared" si="2"/>
        <v>0</v>
      </c>
      <c r="F21" s="359">
        <f t="shared" si="3"/>
        <v>0</v>
      </c>
      <c r="G21" s="360" t="s">
        <v>656</v>
      </c>
      <c r="H21" s="359">
        <f t="shared" si="4"/>
        <v>0</v>
      </c>
    </row>
    <row r="22" spans="1:8">
      <c r="A22" s="179" t="s">
        <v>54</v>
      </c>
      <c r="B22" s="354" t="s">
        <v>648</v>
      </c>
      <c r="C22" s="354" t="s">
        <v>658</v>
      </c>
      <c r="D22" s="399">
        <v>20</v>
      </c>
      <c r="E22" s="358">
        <f t="shared" si="2"/>
        <v>0</v>
      </c>
      <c r="F22" s="359">
        <f t="shared" si="3"/>
        <v>0</v>
      </c>
      <c r="G22" s="360" t="s">
        <v>656</v>
      </c>
      <c r="H22" s="359">
        <f t="shared" si="4"/>
        <v>0</v>
      </c>
    </row>
    <row r="23" spans="1:8">
      <c r="A23" s="179" t="s">
        <v>659</v>
      </c>
      <c r="B23" s="354" t="s">
        <v>647</v>
      </c>
      <c r="C23" s="354"/>
      <c r="D23" s="399">
        <v>47</v>
      </c>
      <c r="E23" s="358">
        <f t="shared" si="2"/>
        <v>0</v>
      </c>
      <c r="F23" s="359">
        <f t="shared" si="3"/>
        <v>0</v>
      </c>
      <c r="G23" s="360" t="s">
        <v>656</v>
      </c>
      <c r="H23" s="359">
        <f t="shared" si="4"/>
        <v>0</v>
      </c>
    </row>
    <row r="24" spans="1:8">
      <c r="A24" s="179" t="s">
        <v>659</v>
      </c>
      <c r="B24" s="354" t="s">
        <v>646</v>
      </c>
      <c r="C24" s="354"/>
      <c r="D24" s="399">
        <v>47</v>
      </c>
      <c r="E24" s="358">
        <f t="shared" si="2"/>
        <v>0</v>
      </c>
      <c r="F24" s="359">
        <f t="shared" si="3"/>
        <v>0</v>
      </c>
      <c r="G24" s="360" t="s">
        <v>656</v>
      </c>
      <c r="H24" s="359">
        <f t="shared" si="4"/>
        <v>0</v>
      </c>
    </row>
    <row r="25" spans="1:8">
      <c r="A25" s="179" t="s">
        <v>659</v>
      </c>
      <c r="B25" s="354" t="s">
        <v>648</v>
      </c>
      <c r="C25" s="354" t="s">
        <v>658</v>
      </c>
      <c r="D25" s="399">
        <v>47</v>
      </c>
      <c r="E25" s="358">
        <f t="shared" ref="E25" si="5">VLOOKUP(B25,$E$3:$F$10,2,FALSE)</f>
        <v>0</v>
      </c>
      <c r="F25" s="359">
        <f t="shared" ref="F25" si="6">(D25*E25)</f>
        <v>0</v>
      </c>
      <c r="G25" s="360" t="s">
        <v>656</v>
      </c>
      <c r="H25" s="359">
        <f t="shared" ref="H25" si="7">G25*F25</f>
        <v>0</v>
      </c>
    </row>
    <row r="26" spans="1:8">
      <c r="A26" s="179" t="s">
        <v>56</v>
      </c>
      <c r="B26" s="354" t="s">
        <v>647</v>
      </c>
      <c r="C26" s="354"/>
      <c r="D26" s="399">
        <v>252.14</v>
      </c>
      <c r="E26" s="358">
        <f t="shared" si="2"/>
        <v>0</v>
      </c>
      <c r="F26" s="359">
        <f t="shared" si="3"/>
        <v>0</v>
      </c>
      <c r="G26" s="360" t="s">
        <v>656</v>
      </c>
      <c r="H26" s="359">
        <f t="shared" si="4"/>
        <v>0</v>
      </c>
    </row>
    <row r="27" spans="1:8">
      <c r="A27" s="179" t="s">
        <v>56</v>
      </c>
      <c r="B27" s="352" t="s">
        <v>646</v>
      </c>
      <c r="C27" s="352"/>
      <c r="D27" s="399">
        <v>252.14</v>
      </c>
      <c r="E27" s="358">
        <f t="shared" si="2"/>
        <v>0</v>
      </c>
      <c r="F27" s="359">
        <f t="shared" si="3"/>
        <v>0</v>
      </c>
      <c r="G27" s="360" t="s">
        <v>656</v>
      </c>
      <c r="H27" s="359">
        <f t="shared" si="4"/>
        <v>0</v>
      </c>
    </row>
    <row r="28" spans="1:8">
      <c r="A28" s="179" t="s">
        <v>56</v>
      </c>
      <c r="B28" s="352" t="s">
        <v>648</v>
      </c>
      <c r="C28" s="354" t="s">
        <v>658</v>
      </c>
      <c r="D28" s="399">
        <v>20</v>
      </c>
      <c r="E28" s="358">
        <f t="shared" si="2"/>
        <v>0</v>
      </c>
      <c r="F28" s="359">
        <f t="shared" si="3"/>
        <v>0</v>
      </c>
      <c r="G28" s="360" t="s">
        <v>656</v>
      </c>
      <c r="H28" s="359">
        <f t="shared" si="4"/>
        <v>0</v>
      </c>
    </row>
    <row r="29" spans="1:8">
      <c r="A29" s="179" t="s">
        <v>57</v>
      </c>
      <c r="B29" s="352" t="s">
        <v>647</v>
      </c>
      <c r="C29" s="352"/>
      <c r="D29" s="399">
        <v>40</v>
      </c>
      <c r="E29" s="358">
        <f t="shared" si="2"/>
        <v>0</v>
      </c>
      <c r="F29" s="359">
        <f t="shared" si="3"/>
        <v>0</v>
      </c>
      <c r="G29" s="360" t="s">
        <v>656</v>
      </c>
      <c r="H29" s="359">
        <f t="shared" si="4"/>
        <v>0</v>
      </c>
    </row>
    <row r="30" spans="1:8">
      <c r="A30" s="179" t="s">
        <v>57</v>
      </c>
      <c r="B30" s="354" t="s">
        <v>646</v>
      </c>
      <c r="C30" s="354"/>
      <c r="D30" s="399">
        <v>40</v>
      </c>
      <c r="E30" s="358">
        <f t="shared" si="2"/>
        <v>0</v>
      </c>
      <c r="F30" s="359">
        <f t="shared" si="3"/>
        <v>0</v>
      </c>
      <c r="G30" s="360" t="s">
        <v>656</v>
      </c>
      <c r="H30" s="359">
        <f t="shared" si="4"/>
        <v>0</v>
      </c>
    </row>
    <row r="31" spans="1:8">
      <c r="A31" s="179" t="s">
        <v>57</v>
      </c>
      <c r="B31" s="354" t="s">
        <v>648</v>
      </c>
      <c r="C31" s="354" t="s">
        <v>658</v>
      </c>
      <c r="D31" s="399">
        <v>25</v>
      </c>
      <c r="E31" s="358">
        <f t="shared" si="2"/>
        <v>0</v>
      </c>
      <c r="F31" s="359">
        <f t="shared" si="3"/>
        <v>0</v>
      </c>
      <c r="G31" s="360" t="s">
        <v>656</v>
      </c>
      <c r="H31" s="359">
        <f t="shared" si="4"/>
        <v>0</v>
      </c>
    </row>
    <row r="32" spans="1:8">
      <c r="A32" s="179" t="s">
        <v>58</v>
      </c>
      <c r="B32" s="352" t="s">
        <v>647</v>
      </c>
      <c r="C32" s="352"/>
      <c r="D32" s="399">
        <v>51</v>
      </c>
      <c r="E32" s="358">
        <f t="shared" si="2"/>
        <v>0</v>
      </c>
      <c r="F32" s="359">
        <f t="shared" si="3"/>
        <v>0</v>
      </c>
      <c r="G32" s="360" t="s">
        <v>656</v>
      </c>
      <c r="H32" s="359">
        <f t="shared" si="4"/>
        <v>0</v>
      </c>
    </row>
    <row r="33" spans="1:8">
      <c r="A33" s="179" t="s">
        <v>58</v>
      </c>
      <c r="B33" s="352" t="s">
        <v>646</v>
      </c>
      <c r="C33" s="352"/>
      <c r="D33" s="399">
        <v>51</v>
      </c>
      <c r="E33" s="358">
        <f t="shared" si="2"/>
        <v>0</v>
      </c>
      <c r="F33" s="359">
        <f t="shared" si="3"/>
        <v>0</v>
      </c>
      <c r="G33" s="360" t="s">
        <v>656</v>
      </c>
      <c r="H33" s="359">
        <f t="shared" si="4"/>
        <v>0</v>
      </c>
    </row>
    <row r="34" spans="1:8">
      <c r="A34" s="179" t="s">
        <v>58</v>
      </c>
      <c r="B34" s="352" t="s">
        <v>648</v>
      </c>
      <c r="C34" s="354" t="s">
        <v>658</v>
      </c>
      <c r="D34" s="399">
        <v>20</v>
      </c>
      <c r="E34" s="358">
        <f t="shared" si="2"/>
        <v>0</v>
      </c>
      <c r="F34" s="359">
        <f t="shared" si="3"/>
        <v>0</v>
      </c>
      <c r="G34" s="360" t="s">
        <v>656</v>
      </c>
      <c r="H34" s="359">
        <f t="shared" si="4"/>
        <v>0</v>
      </c>
    </row>
    <row r="35" spans="1:8">
      <c r="A35" s="179" t="s">
        <v>59</v>
      </c>
      <c r="B35" s="354" t="s">
        <v>647</v>
      </c>
      <c r="C35" s="354"/>
      <c r="D35" s="399">
        <v>122</v>
      </c>
      <c r="E35" s="358">
        <f t="shared" si="2"/>
        <v>0</v>
      </c>
      <c r="F35" s="359">
        <f t="shared" si="3"/>
        <v>0</v>
      </c>
      <c r="G35" s="360" t="s">
        <v>656</v>
      </c>
      <c r="H35" s="359">
        <f t="shared" si="4"/>
        <v>0</v>
      </c>
    </row>
    <row r="36" spans="1:8">
      <c r="A36" s="179" t="s">
        <v>59</v>
      </c>
      <c r="B36" s="352" t="s">
        <v>646</v>
      </c>
      <c r="C36" s="352"/>
      <c r="D36" s="399">
        <v>122</v>
      </c>
      <c r="E36" s="358">
        <f t="shared" si="2"/>
        <v>0</v>
      </c>
      <c r="F36" s="359">
        <f t="shared" si="3"/>
        <v>0</v>
      </c>
      <c r="G36" s="360" t="s">
        <v>656</v>
      </c>
      <c r="H36" s="359">
        <f t="shared" si="4"/>
        <v>0</v>
      </c>
    </row>
    <row r="37" spans="1:8">
      <c r="A37" s="179" t="s">
        <v>59</v>
      </c>
      <c r="B37" s="352" t="s">
        <v>648</v>
      </c>
      <c r="C37" s="354" t="s">
        <v>658</v>
      </c>
      <c r="D37" s="399">
        <v>20</v>
      </c>
      <c r="E37" s="358">
        <f t="shared" si="2"/>
        <v>0</v>
      </c>
      <c r="F37" s="359">
        <f t="shared" si="3"/>
        <v>0</v>
      </c>
      <c r="G37" s="360" t="s">
        <v>656</v>
      </c>
      <c r="H37" s="359">
        <f t="shared" si="4"/>
        <v>0</v>
      </c>
    </row>
    <row r="38" spans="1:8">
      <c r="A38" s="179" t="s">
        <v>60</v>
      </c>
      <c r="B38" s="352" t="s">
        <v>647</v>
      </c>
      <c r="C38" s="352"/>
      <c r="D38" s="399">
        <v>240</v>
      </c>
      <c r="E38" s="358">
        <f t="shared" si="2"/>
        <v>0</v>
      </c>
      <c r="F38" s="359">
        <f t="shared" si="3"/>
        <v>0</v>
      </c>
      <c r="G38" s="360" t="s">
        <v>656</v>
      </c>
      <c r="H38" s="359">
        <f t="shared" si="4"/>
        <v>0</v>
      </c>
    </row>
    <row r="39" spans="1:8">
      <c r="A39" s="179" t="s">
        <v>60</v>
      </c>
      <c r="B39" s="354" t="s">
        <v>646</v>
      </c>
      <c r="C39" s="354"/>
      <c r="D39" s="399">
        <v>240</v>
      </c>
      <c r="E39" s="358">
        <f t="shared" si="2"/>
        <v>0</v>
      </c>
      <c r="F39" s="359">
        <f t="shared" si="3"/>
        <v>0</v>
      </c>
      <c r="G39" s="360" t="s">
        <v>656</v>
      </c>
      <c r="H39" s="359">
        <f t="shared" si="4"/>
        <v>0</v>
      </c>
    </row>
    <row r="40" spans="1:8">
      <c r="A40" s="179" t="s">
        <v>60</v>
      </c>
      <c r="B40" s="354" t="s">
        <v>648</v>
      </c>
      <c r="C40" s="354" t="s">
        <v>658</v>
      </c>
      <c r="D40" s="399">
        <v>160</v>
      </c>
      <c r="E40" s="358">
        <f t="shared" si="2"/>
        <v>0</v>
      </c>
      <c r="F40" s="359">
        <f t="shared" si="3"/>
        <v>0</v>
      </c>
      <c r="G40" s="360" t="s">
        <v>656</v>
      </c>
      <c r="H40" s="359">
        <f t="shared" si="4"/>
        <v>0</v>
      </c>
    </row>
    <row r="41" spans="1:8">
      <c r="A41" s="179" t="s">
        <v>61</v>
      </c>
      <c r="B41" s="352" t="s">
        <v>647</v>
      </c>
      <c r="C41" s="352"/>
      <c r="D41" s="399">
        <v>10</v>
      </c>
      <c r="E41" s="358">
        <f t="shared" si="2"/>
        <v>0</v>
      </c>
      <c r="F41" s="359">
        <f t="shared" si="3"/>
        <v>0</v>
      </c>
      <c r="G41" s="360" t="s">
        <v>656</v>
      </c>
      <c r="H41" s="359">
        <f t="shared" si="4"/>
        <v>0</v>
      </c>
    </row>
    <row r="42" spans="1:8">
      <c r="A42" s="179" t="s">
        <v>61</v>
      </c>
      <c r="B42" s="352" t="s">
        <v>646</v>
      </c>
      <c r="C42" s="352"/>
      <c r="D42" s="399">
        <v>10</v>
      </c>
      <c r="E42" s="358">
        <f t="shared" si="2"/>
        <v>0</v>
      </c>
      <c r="F42" s="359">
        <f t="shared" si="3"/>
        <v>0</v>
      </c>
      <c r="G42" s="360" t="s">
        <v>656</v>
      </c>
      <c r="H42" s="359">
        <f t="shared" si="4"/>
        <v>0</v>
      </c>
    </row>
    <row r="43" spans="1:8">
      <c r="A43" s="179" t="s">
        <v>61</v>
      </c>
      <c r="B43" s="352" t="s">
        <v>648</v>
      </c>
      <c r="C43" s="354" t="s">
        <v>658</v>
      </c>
      <c r="D43" s="399">
        <v>10</v>
      </c>
      <c r="E43" s="358">
        <f t="shared" si="2"/>
        <v>0</v>
      </c>
      <c r="F43" s="359">
        <f t="shared" si="3"/>
        <v>0</v>
      </c>
      <c r="G43" s="360" t="s">
        <v>656</v>
      </c>
      <c r="H43" s="359">
        <f t="shared" si="4"/>
        <v>0</v>
      </c>
    </row>
    <row r="44" spans="1:8">
      <c r="B44" s="175"/>
      <c r="C44" s="175"/>
      <c r="D44" s="257"/>
      <c r="E44" s="257"/>
      <c r="F44" s="257"/>
      <c r="G44" s="257"/>
      <c r="H44" s="257"/>
    </row>
    <row r="45" spans="1:8">
      <c r="A45" s="541" t="s">
        <v>63</v>
      </c>
      <c r="B45" s="542"/>
      <c r="C45" s="543"/>
      <c r="D45" s="544">
        <f>SUM(D13:D43)</f>
        <v>2478.2799999999997</v>
      </c>
      <c r="E45" s="545"/>
      <c r="F45" s="546"/>
      <c r="G45" s="547"/>
      <c r="H45" s="548">
        <f>SUM(H13:H43)</f>
        <v>0</v>
      </c>
    </row>
  </sheetData>
  <autoFilter ref="A12:Z45" xr:uid="{00000000-0009-0000-0000-00000A000000}"/>
  <phoneticPr fontId="72"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dimension ref="A1:Q39"/>
  <sheetViews>
    <sheetView showGridLines="0" zoomScale="85" zoomScaleNormal="85" workbookViewId="0">
      <selection activeCell="B16" sqref="B16"/>
    </sheetView>
  </sheetViews>
  <sheetFormatPr defaultColWidth="9.140625" defaultRowHeight="13.15"/>
  <cols>
    <col min="1" max="2" width="35.7109375" style="170" bestFit="1" customWidth="1"/>
    <col min="3" max="3" width="23.7109375" style="170" customWidth="1"/>
    <col min="4" max="6" width="12.85546875" style="170" customWidth="1"/>
    <col min="7" max="7" width="14.140625" style="170" customWidth="1"/>
    <col min="8" max="12" width="12.85546875" style="170" customWidth="1"/>
    <col min="13" max="13" width="1.7109375" style="170" customWidth="1"/>
    <col min="14" max="14" width="12.85546875" style="170" customWidth="1"/>
    <col min="15" max="15" width="1.5703125" style="170" customWidth="1"/>
    <col min="16" max="17" width="12.85546875" style="170" customWidth="1"/>
    <col min="18" max="16384" width="9.140625" style="22"/>
  </cols>
  <sheetData>
    <row r="1" spans="1:17">
      <c r="A1" s="371" t="s">
        <v>4</v>
      </c>
    </row>
    <row r="2" spans="1:17">
      <c r="A2" s="100"/>
      <c r="B2" s="180"/>
      <c r="C2" s="180"/>
    </row>
    <row r="3" spans="1:17" ht="15.6">
      <c r="A3" s="37" t="str">
        <f>'2-Kosten per locatie'!A3</f>
        <v>Naam opdrachtgever</v>
      </c>
      <c r="B3" s="149" t="str">
        <f>'2-Kosten per locatie'!B3</f>
        <v>SED organisatie</v>
      </c>
    </row>
    <row r="4" spans="1:17" ht="15.6">
      <c r="A4" s="37" t="str">
        <f>'2-Kosten per locatie'!A4</f>
        <v>Calculatie onderdeel</v>
      </c>
      <c r="B4" s="45" t="e">
        <f ca="1">MID(CELL("bestandsnaam",$D$10),SEARCH("]",CELL("bestandsnaam",$D$10),1)+1,256)</f>
        <v>#VALUE!</v>
      </c>
    </row>
    <row r="5" spans="1:17" ht="15.6">
      <c r="A5" s="37" t="str">
        <f>'2-Kosten per locatie'!A5</f>
        <v>Gebouw/plaats</v>
      </c>
      <c r="B5" s="149" t="str">
        <f>'2-Kosten per locatie'!B5</f>
        <v>Perceel 1</v>
      </c>
    </row>
    <row r="6" spans="1:17" ht="15.6">
      <c r="A6" s="37" t="str">
        <f>'2-Kosten per locatie'!A6</f>
        <v>Referentie nummer</v>
      </c>
      <c r="B6" s="149">
        <f>'2-Kosten per locatie'!B6</f>
        <v>0</v>
      </c>
    </row>
    <row r="7" spans="1:17" ht="15.6">
      <c r="A7" s="37" t="str">
        <f>'2-Kosten per locatie'!A7</f>
        <v>Naam dienstverlener</v>
      </c>
      <c r="B7" s="149">
        <f>'2-Kosten per locatie'!B7</f>
        <v>0</v>
      </c>
    </row>
    <row r="8" spans="1:17" ht="15.6">
      <c r="A8" s="37" t="str">
        <f>'2-Kosten per locatie'!A8</f>
        <v>Prijspeil</v>
      </c>
      <c r="B8" s="258">
        <f>'2-Kosten per locatie'!B8</f>
        <v>46023</v>
      </c>
    </row>
    <row r="9" spans="1:17" ht="15.6">
      <c r="A9" s="148"/>
    </row>
    <row r="10" spans="1:17" ht="15.6">
      <c r="A10" s="181"/>
      <c r="B10" s="181"/>
      <c r="C10" s="182"/>
    </row>
    <row r="11" spans="1:17" s="35" customFormat="1" ht="64.900000000000006">
      <c r="A11" s="201" t="s">
        <v>25</v>
      </c>
      <c r="B11" s="201" t="s">
        <v>660</v>
      </c>
      <c r="C11" s="201" t="s">
        <v>661</v>
      </c>
      <c r="D11" s="201" t="s">
        <v>662</v>
      </c>
      <c r="E11" s="201" t="s">
        <v>663</v>
      </c>
      <c r="F11" s="201" t="s">
        <v>664</v>
      </c>
      <c r="G11" s="201" t="s">
        <v>665</v>
      </c>
      <c r="H11" s="201" t="s">
        <v>666</v>
      </c>
      <c r="I11" s="201" t="s">
        <v>667</v>
      </c>
      <c r="J11" s="201" t="s">
        <v>668</v>
      </c>
      <c r="K11" s="201" t="s">
        <v>669</v>
      </c>
      <c r="L11" s="201" t="s">
        <v>670</v>
      </c>
      <c r="M11" s="202"/>
      <c r="N11" s="201" t="s">
        <v>671</v>
      </c>
      <c r="O11" s="202"/>
      <c r="P11" s="201" t="s">
        <v>672</v>
      </c>
      <c r="Q11" s="201" t="s">
        <v>673</v>
      </c>
    </row>
    <row r="12" spans="1:17">
      <c r="D12" s="259"/>
      <c r="E12" s="260"/>
      <c r="F12" s="261"/>
      <c r="G12" s="259"/>
      <c r="H12" s="259"/>
      <c r="I12" s="262"/>
      <c r="J12" s="260"/>
      <c r="K12" s="260"/>
      <c r="L12" s="260"/>
      <c r="M12" s="262"/>
      <c r="N12" s="263"/>
      <c r="O12" s="262"/>
      <c r="P12" s="261"/>
      <c r="Q12" s="262"/>
    </row>
    <row r="13" spans="1:17">
      <c r="A13" s="187"/>
      <c r="B13" s="187"/>
      <c r="C13" s="188"/>
      <c r="D13" s="264">
        <v>0</v>
      </c>
      <c r="E13" s="265">
        <f>D13*$E$12</f>
        <v>0</v>
      </c>
      <c r="F13" s="266">
        <f>D13-E13</f>
        <v>0</v>
      </c>
      <c r="G13" s="267"/>
      <c r="H13" s="264">
        <v>0</v>
      </c>
      <c r="I13" s="268">
        <f>IF(G13=0,0,(F13-H13)/G13)</f>
        <v>0</v>
      </c>
      <c r="J13" s="269">
        <f>D13*$J$12</f>
        <v>0</v>
      </c>
      <c r="K13" s="268">
        <f>D13*$K$12</f>
        <v>0</v>
      </c>
      <c r="L13" s="270">
        <f>$L$12*D13</f>
        <v>0</v>
      </c>
      <c r="M13" s="262"/>
      <c r="N13" s="271">
        <f>SUM(I13:L13)</f>
        <v>0</v>
      </c>
      <c r="O13" s="262"/>
      <c r="P13" s="267"/>
      <c r="Q13" s="268">
        <f>N13*P13</f>
        <v>0</v>
      </c>
    </row>
    <row r="14" spans="1:17">
      <c r="A14" s="187"/>
      <c r="B14" s="187"/>
      <c r="C14" s="188"/>
      <c r="D14" s="264">
        <v>0</v>
      </c>
      <c r="E14" s="265">
        <f t="shared" ref="E14:E28" si="0">D14*$E$12</f>
        <v>0</v>
      </c>
      <c r="F14" s="266">
        <f>D14-E14</f>
        <v>0</v>
      </c>
      <c r="G14" s="267"/>
      <c r="H14" s="264">
        <v>0</v>
      </c>
      <c r="I14" s="268">
        <f>IF(G14=0,0,(F14-H14)/G14)</f>
        <v>0</v>
      </c>
      <c r="J14" s="269">
        <f>D14*$J$12</f>
        <v>0</v>
      </c>
      <c r="K14" s="268">
        <f>D14*$K$12</f>
        <v>0</v>
      </c>
      <c r="L14" s="270">
        <f>$L$12*D14</f>
        <v>0</v>
      </c>
      <c r="M14" s="262"/>
      <c r="N14" s="271">
        <f>SUM(I14:L14)</f>
        <v>0</v>
      </c>
      <c r="O14" s="262"/>
      <c r="P14" s="267"/>
      <c r="Q14" s="268">
        <f>N14*P14</f>
        <v>0</v>
      </c>
    </row>
    <row r="15" spans="1:17">
      <c r="A15" s="187"/>
      <c r="B15" s="187"/>
      <c r="C15" s="188"/>
      <c r="D15" s="264">
        <v>0</v>
      </c>
      <c r="E15" s="265">
        <f t="shared" si="0"/>
        <v>0</v>
      </c>
      <c r="F15" s="266">
        <f t="shared" ref="F15:F28" si="1">D15-E15</f>
        <v>0</v>
      </c>
      <c r="G15" s="267"/>
      <c r="H15" s="264">
        <v>0</v>
      </c>
      <c r="I15" s="268">
        <f t="shared" ref="I15:I28" si="2">IF(G15=0,0,(F15-H15)/G15)</f>
        <v>0</v>
      </c>
      <c r="J15" s="269">
        <f t="shared" ref="J15:J28" si="3">D15*$J$12</f>
        <v>0</v>
      </c>
      <c r="K15" s="268">
        <f t="shared" ref="K15:K28" si="4">D15*$K$12</f>
        <v>0</v>
      </c>
      <c r="L15" s="270">
        <f t="shared" ref="L15:L28" si="5">$L$12*D15</f>
        <v>0</v>
      </c>
      <c r="M15" s="262"/>
      <c r="N15" s="271">
        <f t="shared" ref="N15:N28" si="6">SUM(I15:L15)</f>
        <v>0</v>
      </c>
      <c r="O15" s="262"/>
      <c r="P15" s="267"/>
      <c r="Q15" s="268">
        <f t="shared" ref="Q15:Q28" si="7">N15*P15</f>
        <v>0</v>
      </c>
    </row>
    <row r="16" spans="1:17">
      <c r="A16" s="187"/>
      <c r="B16" s="187"/>
      <c r="C16" s="188"/>
      <c r="D16" s="264">
        <v>0</v>
      </c>
      <c r="E16" s="265">
        <f t="shared" si="0"/>
        <v>0</v>
      </c>
      <c r="F16" s="266">
        <f t="shared" si="1"/>
        <v>0</v>
      </c>
      <c r="G16" s="267"/>
      <c r="H16" s="264">
        <v>0</v>
      </c>
      <c r="I16" s="268">
        <f t="shared" si="2"/>
        <v>0</v>
      </c>
      <c r="J16" s="269">
        <f t="shared" si="3"/>
        <v>0</v>
      </c>
      <c r="K16" s="268">
        <f t="shared" si="4"/>
        <v>0</v>
      </c>
      <c r="L16" s="270">
        <f t="shared" si="5"/>
        <v>0</v>
      </c>
      <c r="M16" s="262"/>
      <c r="N16" s="271">
        <f t="shared" si="6"/>
        <v>0</v>
      </c>
      <c r="O16" s="262"/>
      <c r="P16" s="267"/>
      <c r="Q16" s="268">
        <f t="shared" si="7"/>
        <v>0</v>
      </c>
    </row>
    <row r="17" spans="1:17">
      <c r="A17" s="187"/>
      <c r="B17" s="187"/>
      <c r="C17" s="188"/>
      <c r="D17" s="264">
        <v>0</v>
      </c>
      <c r="E17" s="265">
        <f t="shared" si="0"/>
        <v>0</v>
      </c>
      <c r="F17" s="266">
        <f t="shared" si="1"/>
        <v>0</v>
      </c>
      <c r="G17" s="267"/>
      <c r="H17" s="264">
        <v>0</v>
      </c>
      <c r="I17" s="268">
        <f t="shared" si="2"/>
        <v>0</v>
      </c>
      <c r="J17" s="269">
        <f t="shared" si="3"/>
        <v>0</v>
      </c>
      <c r="K17" s="268">
        <f t="shared" si="4"/>
        <v>0</v>
      </c>
      <c r="L17" s="270">
        <f t="shared" si="5"/>
        <v>0</v>
      </c>
      <c r="M17" s="262"/>
      <c r="N17" s="271">
        <f t="shared" si="6"/>
        <v>0</v>
      </c>
      <c r="O17" s="262"/>
      <c r="P17" s="267"/>
      <c r="Q17" s="268">
        <f t="shared" si="7"/>
        <v>0</v>
      </c>
    </row>
    <row r="18" spans="1:17">
      <c r="A18" s="187"/>
      <c r="B18" s="187"/>
      <c r="C18" s="188"/>
      <c r="D18" s="264">
        <v>0</v>
      </c>
      <c r="E18" s="265">
        <f t="shared" si="0"/>
        <v>0</v>
      </c>
      <c r="F18" s="266">
        <f t="shared" si="1"/>
        <v>0</v>
      </c>
      <c r="G18" s="267"/>
      <c r="H18" s="264">
        <v>0</v>
      </c>
      <c r="I18" s="268">
        <f t="shared" si="2"/>
        <v>0</v>
      </c>
      <c r="J18" s="269">
        <f t="shared" si="3"/>
        <v>0</v>
      </c>
      <c r="K18" s="268">
        <f t="shared" si="4"/>
        <v>0</v>
      </c>
      <c r="L18" s="270">
        <f t="shared" si="5"/>
        <v>0</v>
      </c>
      <c r="M18" s="262"/>
      <c r="N18" s="271">
        <f t="shared" si="6"/>
        <v>0</v>
      </c>
      <c r="O18" s="262"/>
      <c r="P18" s="267"/>
      <c r="Q18" s="268">
        <f t="shared" si="7"/>
        <v>0</v>
      </c>
    </row>
    <row r="19" spans="1:17">
      <c r="A19" s="187"/>
      <c r="B19" s="187"/>
      <c r="C19" s="188"/>
      <c r="D19" s="264">
        <v>0</v>
      </c>
      <c r="E19" s="265">
        <f t="shared" si="0"/>
        <v>0</v>
      </c>
      <c r="F19" s="266">
        <f t="shared" si="1"/>
        <v>0</v>
      </c>
      <c r="G19" s="267"/>
      <c r="H19" s="264">
        <v>0</v>
      </c>
      <c r="I19" s="268">
        <f t="shared" si="2"/>
        <v>0</v>
      </c>
      <c r="J19" s="269">
        <f t="shared" si="3"/>
        <v>0</v>
      </c>
      <c r="K19" s="268">
        <f t="shared" si="4"/>
        <v>0</v>
      </c>
      <c r="L19" s="270">
        <f t="shared" si="5"/>
        <v>0</v>
      </c>
      <c r="M19" s="262"/>
      <c r="N19" s="271">
        <f t="shared" si="6"/>
        <v>0</v>
      </c>
      <c r="O19" s="262"/>
      <c r="P19" s="267"/>
      <c r="Q19" s="268">
        <f t="shared" si="7"/>
        <v>0</v>
      </c>
    </row>
    <row r="20" spans="1:17">
      <c r="A20" s="187"/>
      <c r="B20" s="187"/>
      <c r="C20" s="188"/>
      <c r="D20" s="264">
        <v>0</v>
      </c>
      <c r="E20" s="265">
        <f t="shared" si="0"/>
        <v>0</v>
      </c>
      <c r="F20" s="266">
        <f t="shared" si="1"/>
        <v>0</v>
      </c>
      <c r="G20" s="267"/>
      <c r="H20" s="264">
        <v>0</v>
      </c>
      <c r="I20" s="268">
        <f t="shared" si="2"/>
        <v>0</v>
      </c>
      <c r="J20" s="269">
        <f t="shared" si="3"/>
        <v>0</v>
      </c>
      <c r="K20" s="268">
        <f t="shared" si="4"/>
        <v>0</v>
      </c>
      <c r="L20" s="270">
        <f t="shared" si="5"/>
        <v>0</v>
      </c>
      <c r="M20" s="262"/>
      <c r="N20" s="271">
        <f t="shared" si="6"/>
        <v>0</v>
      </c>
      <c r="O20" s="262"/>
      <c r="P20" s="267"/>
      <c r="Q20" s="268">
        <f t="shared" si="7"/>
        <v>0</v>
      </c>
    </row>
    <row r="21" spans="1:17">
      <c r="A21" s="187"/>
      <c r="B21" s="187"/>
      <c r="C21" s="188"/>
      <c r="D21" s="264">
        <v>0</v>
      </c>
      <c r="E21" s="265">
        <f t="shared" si="0"/>
        <v>0</v>
      </c>
      <c r="F21" s="266">
        <f t="shared" si="1"/>
        <v>0</v>
      </c>
      <c r="G21" s="267"/>
      <c r="H21" s="264">
        <v>0</v>
      </c>
      <c r="I21" s="268">
        <f t="shared" si="2"/>
        <v>0</v>
      </c>
      <c r="J21" s="269">
        <f t="shared" si="3"/>
        <v>0</v>
      </c>
      <c r="K21" s="268">
        <f t="shared" si="4"/>
        <v>0</v>
      </c>
      <c r="L21" s="270">
        <f t="shared" si="5"/>
        <v>0</v>
      </c>
      <c r="M21" s="262"/>
      <c r="N21" s="271">
        <f t="shared" si="6"/>
        <v>0</v>
      </c>
      <c r="O21" s="262"/>
      <c r="P21" s="267"/>
      <c r="Q21" s="268">
        <f t="shared" si="7"/>
        <v>0</v>
      </c>
    </row>
    <row r="22" spans="1:17">
      <c r="A22" s="187"/>
      <c r="B22" s="187"/>
      <c r="C22" s="188"/>
      <c r="D22" s="264">
        <v>0</v>
      </c>
      <c r="E22" s="265">
        <f t="shared" si="0"/>
        <v>0</v>
      </c>
      <c r="F22" s="266">
        <f t="shared" si="1"/>
        <v>0</v>
      </c>
      <c r="G22" s="267"/>
      <c r="H22" s="264">
        <v>0</v>
      </c>
      <c r="I22" s="268">
        <f t="shared" si="2"/>
        <v>0</v>
      </c>
      <c r="J22" s="269">
        <f t="shared" si="3"/>
        <v>0</v>
      </c>
      <c r="K22" s="268">
        <f t="shared" si="4"/>
        <v>0</v>
      </c>
      <c r="L22" s="270">
        <f t="shared" si="5"/>
        <v>0</v>
      </c>
      <c r="M22" s="262"/>
      <c r="N22" s="271">
        <f t="shared" si="6"/>
        <v>0</v>
      </c>
      <c r="O22" s="262"/>
      <c r="P22" s="267"/>
      <c r="Q22" s="268">
        <f t="shared" si="7"/>
        <v>0</v>
      </c>
    </row>
    <row r="23" spans="1:17">
      <c r="A23" s="187"/>
      <c r="B23" s="187"/>
      <c r="C23" s="188"/>
      <c r="D23" s="264">
        <v>0</v>
      </c>
      <c r="E23" s="265">
        <f t="shared" si="0"/>
        <v>0</v>
      </c>
      <c r="F23" s="266">
        <f t="shared" si="1"/>
        <v>0</v>
      </c>
      <c r="G23" s="267"/>
      <c r="H23" s="264">
        <v>0</v>
      </c>
      <c r="I23" s="268">
        <f t="shared" si="2"/>
        <v>0</v>
      </c>
      <c r="J23" s="269">
        <f t="shared" si="3"/>
        <v>0</v>
      </c>
      <c r="K23" s="268">
        <f t="shared" si="4"/>
        <v>0</v>
      </c>
      <c r="L23" s="270">
        <f t="shared" si="5"/>
        <v>0</v>
      </c>
      <c r="M23" s="262"/>
      <c r="N23" s="271">
        <f t="shared" si="6"/>
        <v>0</v>
      </c>
      <c r="O23" s="262"/>
      <c r="P23" s="267"/>
      <c r="Q23" s="268">
        <f t="shared" si="7"/>
        <v>0</v>
      </c>
    </row>
    <row r="24" spans="1:17">
      <c r="A24" s="187"/>
      <c r="B24" s="187"/>
      <c r="C24" s="188"/>
      <c r="D24" s="264">
        <v>0</v>
      </c>
      <c r="E24" s="265">
        <f t="shared" si="0"/>
        <v>0</v>
      </c>
      <c r="F24" s="266">
        <f t="shared" si="1"/>
        <v>0</v>
      </c>
      <c r="G24" s="267"/>
      <c r="H24" s="264">
        <v>0</v>
      </c>
      <c r="I24" s="268">
        <f t="shared" si="2"/>
        <v>0</v>
      </c>
      <c r="J24" s="269">
        <f t="shared" si="3"/>
        <v>0</v>
      </c>
      <c r="K24" s="268">
        <f t="shared" si="4"/>
        <v>0</v>
      </c>
      <c r="L24" s="270">
        <f t="shared" si="5"/>
        <v>0</v>
      </c>
      <c r="M24" s="262"/>
      <c r="N24" s="271">
        <f t="shared" si="6"/>
        <v>0</v>
      </c>
      <c r="O24" s="262"/>
      <c r="P24" s="267"/>
      <c r="Q24" s="268">
        <f t="shared" si="7"/>
        <v>0</v>
      </c>
    </row>
    <row r="25" spans="1:17">
      <c r="A25" s="187"/>
      <c r="B25" s="187"/>
      <c r="C25" s="188"/>
      <c r="D25" s="264">
        <v>0</v>
      </c>
      <c r="E25" s="265">
        <f t="shared" si="0"/>
        <v>0</v>
      </c>
      <c r="F25" s="266">
        <f t="shared" si="1"/>
        <v>0</v>
      </c>
      <c r="G25" s="267"/>
      <c r="H25" s="264">
        <v>0</v>
      </c>
      <c r="I25" s="268">
        <f t="shared" si="2"/>
        <v>0</v>
      </c>
      <c r="J25" s="269">
        <f t="shared" si="3"/>
        <v>0</v>
      </c>
      <c r="K25" s="268">
        <f t="shared" si="4"/>
        <v>0</v>
      </c>
      <c r="L25" s="270">
        <f t="shared" si="5"/>
        <v>0</v>
      </c>
      <c r="M25" s="262"/>
      <c r="N25" s="271">
        <f t="shared" si="6"/>
        <v>0</v>
      </c>
      <c r="O25" s="262"/>
      <c r="P25" s="267"/>
      <c r="Q25" s="268">
        <f t="shared" si="7"/>
        <v>0</v>
      </c>
    </row>
    <row r="26" spans="1:17">
      <c r="A26" s="187"/>
      <c r="B26" s="187"/>
      <c r="C26" s="188"/>
      <c r="D26" s="264">
        <v>0</v>
      </c>
      <c r="E26" s="265">
        <f t="shared" si="0"/>
        <v>0</v>
      </c>
      <c r="F26" s="266">
        <f t="shared" si="1"/>
        <v>0</v>
      </c>
      <c r="G26" s="267"/>
      <c r="H26" s="264">
        <v>0</v>
      </c>
      <c r="I26" s="268">
        <f t="shared" si="2"/>
        <v>0</v>
      </c>
      <c r="J26" s="269">
        <f t="shared" si="3"/>
        <v>0</v>
      </c>
      <c r="K26" s="268">
        <f t="shared" si="4"/>
        <v>0</v>
      </c>
      <c r="L26" s="270">
        <f t="shared" si="5"/>
        <v>0</v>
      </c>
      <c r="M26" s="262"/>
      <c r="N26" s="271">
        <f t="shared" si="6"/>
        <v>0</v>
      </c>
      <c r="O26" s="262"/>
      <c r="P26" s="267"/>
      <c r="Q26" s="268">
        <f t="shared" si="7"/>
        <v>0</v>
      </c>
    </row>
    <row r="27" spans="1:17">
      <c r="A27" s="187"/>
      <c r="B27" s="187"/>
      <c r="C27" s="188"/>
      <c r="D27" s="264">
        <v>0</v>
      </c>
      <c r="E27" s="265">
        <f t="shared" si="0"/>
        <v>0</v>
      </c>
      <c r="F27" s="266">
        <f t="shared" si="1"/>
        <v>0</v>
      </c>
      <c r="G27" s="267"/>
      <c r="H27" s="264">
        <v>0</v>
      </c>
      <c r="I27" s="268">
        <f t="shared" si="2"/>
        <v>0</v>
      </c>
      <c r="J27" s="269">
        <f t="shared" si="3"/>
        <v>0</v>
      </c>
      <c r="K27" s="268">
        <f t="shared" si="4"/>
        <v>0</v>
      </c>
      <c r="L27" s="270">
        <f t="shared" si="5"/>
        <v>0</v>
      </c>
      <c r="M27" s="262"/>
      <c r="N27" s="271">
        <f t="shared" si="6"/>
        <v>0</v>
      </c>
      <c r="O27" s="262"/>
      <c r="P27" s="267"/>
      <c r="Q27" s="268">
        <f t="shared" si="7"/>
        <v>0</v>
      </c>
    </row>
    <row r="28" spans="1:17">
      <c r="A28" s="187"/>
      <c r="B28" s="187"/>
      <c r="C28" s="188"/>
      <c r="D28" s="264">
        <v>0</v>
      </c>
      <c r="E28" s="265">
        <f t="shared" si="0"/>
        <v>0</v>
      </c>
      <c r="F28" s="266">
        <f t="shared" si="1"/>
        <v>0</v>
      </c>
      <c r="G28" s="267"/>
      <c r="H28" s="264">
        <v>0</v>
      </c>
      <c r="I28" s="268">
        <f t="shared" si="2"/>
        <v>0</v>
      </c>
      <c r="J28" s="269">
        <f t="shared" si="3"/>
        <v>0</v>
      </c>
      <c r="K28" s="268">
        <f t="shared" si="4"/>
        <v>0</v>
      </c>
      <c r="L28" s="270">
        <f t="shared" si="5"/>
        <v>0</v>
      </c>
      <c r="M28" s="262"/>
      <c r="N28" s="271">
        <f t="shared" si="6"/>
        <v>0</v>
      </c>
      <c r="O28" s="262"/>
      <c r="P28" s="267"/>
      <c r="Q28" s="268">
        <f t="shared" si="7"/>
        <v>0</v>
      </c>
    </row>
    <row r="29" spans="1:17">
      <c r="D29" s="262"/>
      <c r="E29" s="262"/>
      <c r="F29" s="262"/>
      <c r="G29" s="262"/>
      <c r="H29" s="262"/>
      <c r="I29" s="262"/>
      <c r="J29" s="262"/>
      <c r="K29" s="262"/>
      <c r="L29" s="262"/>
      <c r="M29" s="262"/>
      <c r="N29" s="262"/>
      <c r="O29" s="262"/>
      <c r="P29" s="262"/>
      <c r="Q29" s="262"/>
    </row>
    <row r="30" spans="1:17">
      <c r="A30" s="549"/>
      <c r="B30" s="549" t="s">
        <v>63</v>
      </c>
      <c r="C30" s="550"/>
      <c r="D30" s="551"/>
      <c r="E30" s="551"/>
      <c r="F30" s="551"/>
      <c r="G30" s="551"/>
      <c r="H30" s="551"/>
      <c r="I30" s="551"/>
      <c r="J30" s="551"/>
      <c r="K30" s="551"/>
      <c r="L30" s="552"/>
      <c r="M30" s="262"/>
      <c r="N30" s="262"/>
      <c r="O30" s="262"/>
      <c r="P30" s="272">
        <f>SUM(P13:P28)</f>
        <v>0</v>
      </c>
      <c r="Q30" s="273">
        <f>SUM(Q13:Q28)</f>
        <v>0</v>
      </c>
    </row>
    <row r="39" ht="16.149999999999999" customHeight="1"/>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43"/>
  <sheetViews>
    <sheetView showGridLines="0" showZeros="0" tabSelected="1" zoomScale="70" zoomScaleNormal="70" workbookViewId="0">
      <pane xSplit="1" ySplit="14" topLeftCell="G25" activePane="bottomRight" state="frozen"/>
      <selection pane="bottomRight" activeCell="R4" sqref="R4"/>
      <selection pane="bottomLeft" activeCell="A15" sqref="A15"/>
      <selection pane="topRight" activeCell="B1" sqref="B1"/>
    </sheetView>
  </sheetViews>
  <sheetFormatPr defaultColWidth="8.7109375" defaultRowHeight="14.1" customHeight="1"/>
  <cols>
    <col min="1" max="1" width="34.7109375" style="39" customWidth="1"/>
    <col min="2" max="2" width="19.28515625" style="39" customWidth="1"/>
    <col min="3" max="3" width="16" style="39" customWidth="1"/>
    <col min="4" max="7" width="13.7109375" style="40" customWidth="1"/>
    <col min="8" max="8" width="16.42578125" style="40" customWidth="1"/>
    <col min="9" max="14" width="13.7109375" style="40" customWidth="1"/>
    <col min="15" max="15" width="19.140625" style="40" customWidth="1"/>
    <col min="16" max="16" width="17.28515625" style="40" customWidth="1"/>
    <col min="17" max="18" width="16.5703125" style="40" customWidth="1"/>
    <col min="19" max="19" width="13.7109375" style="40" customWidth="1"/>
    <col min="20" max="20" width="14.42578125" style="40" bestFit="1" customWidth="1"/>
    <col min="21" max="23" width="13.7109375" style="40" customWidth="1"/>
    <col min="24" max="28" width="13.28515625" style="40" customWidth="1"/>
    <col min="29" max="29" width="14.7109375" style="40" customWidth="1"/>
    <col min="30" max="33" width="13.28515625" style="40" customWidth="1"/>
    <col min="34" max="16384" width="8.7109375" style="39"/>
  </cols>
  <sheetData>
    <row r="1" spans="1:34" ht="14.1" customHeight="1">
      <c r="A1" s="274" t="s">
        <v>4</v>
      </c>
      <c r="E1" s="425" t="s">
        <v>5</v>
      </c>
      <c r="F1" s="426"/>
      <c r="G1" s="41"/>
      <c r="J1" s="427" t="s">
        <v>6</v>
      </c>
      <c r="K1" s="428"/>
      <c r="L1" s="428"/>
      <c r="M1" s="428"/>
      <c r="N1" s="428"/>
      <c r="O1" s="429"/>
      <c r="P1" s="430" t="e">
        <f>R40</f>
        <v>#DIV/0!</v>
      </c>
    </row>
    <row r="2" spans="1:34" ht="14.1" customHeight="1">
      <c r="E2" s="203"/>
      <c r="F2" s="431" t="s">
        <v>7</v>
      </c>
      <c r="G2" s="41"/>
      <c r="J2" s="42" t="s">
        <v>8</v>
      </c>
      <c r="K2" s="43"/>
      <c r="L2" s="43"/>
      <c r="M2" s="43"/>
      <c r="N2" s="43"/>
      <c r="O2" s="44">
        <v>0.21</v>
      </c>
      <c r="P2" s="205" t="e">
        <f>O2*P1</f>
        <v>#DIV/0!</v>
      </c>
    </row>
    <row r="3" spans="1:34" ht="14.1" customHeight="1">
      <c r="A3" s="37" t="s">
        <v>0</v>
      </c>
      <c r="B3" s="38" t="s">
        <v>9</v>
      </c>
      <c r="C3" s="404"/>
      <c r="D3" s="41"/>
      <c r="E3" s="41"/>
      <c r="G3" s="41"/>
      <c r="H3" s="41"/>
      <c r="I3" s="41"/>
      <c r="J3" s="42" t="s">
        <v>10</v>
      </c>
      <c r="K3" s="43"/>
      <c r="L3" s="43"/>
      <c r="M3" s="43"/>
      <c r="N3" s="43"/>
      <c r="O3" s="43"/>
      <c r="P3" s="206" t="e">
        <f>P1+P2</f>
        <v>#DIV/0!</v>
      </c>
      <c r="AF3" s="41"/>
      <c r="AG3" s="41"/>
    </row>
    <row r="4" spans="1:34" ht="14.1" customHeight="1">
      <c r="A4" s="37" t="s">
        <v>1</v>
      </c>
      <c r="B4" s="38" t="e">
        <f ca="1">MID(CELL("bestandsnaam",$B$13),SEARCH("]",CELL("bestandsnaam",$B$13),1)+1,256)</f>
        <v>#VALUE!</v>
      </c>
      <c r="C4" s="38"/>
      <c r="D4" s="41"/>
      <c r="E4" s="425" t="s">
        <v>11</v>
      </c>
      <c r="F4" s="426"/>
      <c r="G4" s="41"/>
      <c r="H4" s="41"/>
      <c r="I4" s="41"/>
      <c r="J4" s="43"/>
      <c r="K4" s="43"/>
      <c r="L4" s="43"/>
      <c r="M4" s="43"/>
      <c r="N4" s="43"/>
      <c r="O4" s="43"/>
      <c r="P4" s="204"/>
      <c r="AF4" s="41"/>
      <c r="AG4" s="41"/>
    </row>
    <row r="5" spans="1:34" ht="14.1" customHeight="1">
      <c r="A5" s="37" t="s">
        <v>2</v>
      </c>
      <c r="B5" s="38" t="s">
        <v>12</v>
      </c>
      <c r="C5" s="404"/>
      <c r="D5" s="41"/>
      <c r="E5" s="207"/>
      <c r="F5" s="431" t="s">
        <v>13</v>
      </c>
      <c r="G5" s="41"/>
      <c r="H5" s="41"/>
      <c r="I5" s="41"/>
      <c r="J5" s="432" t="s">
        <v>14</v>
      </c>
      <c r="K5" s="433"/>
      <c r="L5" s="433"/>
      <c r="M5" s="433"/>
      <c r="N5" s="433"/>
      <c r="O5" s="433"/>
      <c r="P5" s="434">
        <v>142000</v>
      </c>
      <c r="AF5" s="41"/>
      <c r="AG5" s="41"/>
    </row>
    <row r="6" spans="1:34" ht="14.1" customHeight="1">
      <c r="A6" s="37" t="s">
        <v>3</v>
      </c>
      <c r="B6" s="185"/>
      <c r="C6" s="186"/>
      <c r="D6" s="41"/>
      <c r="E6" s="41"/>
      <c r="F6" s="41"/>
      <c r="G6" s="41"/>
      <c r="H6" s="41"/>
      <c r="I6" s="41"/>
      <c r="J6" s="41"/>
      <c r="K6" s="41"/>
      <c r="L6" s="41"/>
      <c r="M6" s="41"/>
      <c r="N6" s="41"/>
      <c r="O6" s="41"/>
      <c r="P6" s="41"/>
      <c r="Q6" s="41"/>
      <c r="AF6" s="41"/>
      <c r="AG6" s="41"/>
    </row>
    <row r="7" spans="1:34" ht="14.1" customHeight="1">
      <c r="A7" s="37" t="s">
        <v>15</v>
      </c>
      <c r="B7" s="185"/>
      <c r="C7" s="186"/>
      <c r="D7" s="41"/>
      <c r="E7" s="41"/>
      <c r="F7" s="41"/>
      <c r="G7" s="41"/>
      <c r="H7" s="41"/>
      <c r="I7" s="41"/>
      <c r="J7" s="41"/>
      <c r="K7" s="41"/>
      <c r="V7" s="41"/>
      <c r="W7" s="39"/>
      <c r="X7" s="39"/>
      <c r="Y7" s="39"/>
      <c r="AF7" s="41"/>
      <c r="AG7" s="41"/>
    </row>
    <row r="8" spans="1:34" ht="14.1" customHeight="1">
      <c r="A8" s="37" t="s">
        <v>16</v>
      </c>
      <c r="B8" s="46">
        <v>46023</v>
      </c>
      <c r="C8" s="37"/>
      <c r="D8" s="41"/>
      <c r="E8" s="41"/>
      <c r="F8" s="403"/>
      <c r="G8" s="41"/>
      <c r="H8" s="41"/>
      <c r="I8" s="41"/>
      <c r="J8" s="432" t="s">
        <v>17</v>
      </c>
      <c r="K8" s="433"/>
      <c r="L8" s="433"/>
      <c r="M8" s="433"/>
      <c r="N8" s="433"/>
      <c r="O8" s="433"/>
      <c r="P8" s="378"/>
      <c r="Q8" s="41"/>
      <c r="R8" s="41"/>
      <c r="S8" s="41"/>
      <c r="T8" s="41"/>
      <c r="U8" s="41"/>
      <c r="V8" s="41"/>
      <c r="W8" s="41"/>
      <c r="X8" s="41"/>
      <c r="Y8" s="41"/>
      <c r="Z8" s="41"/>
      <c r="AA8" s="47"/>
      <c r="AB8" s="47"/>
      <c r="AC8" s="47"/>
      <c r="AD8" s="47"/>
      <c r="AE8" s="47"/>
      <c r="AF8" s="41"/>
      <c r="AG8" s="41"/>
    </row>
    <row r="9" spans="1:34" ht="14.1" customHeight="1">
      <c r="A9" s="37" t="s">
        <v>18</v>
      </c>
      <c r="B9" s="48" t="s">
        <v>19</v>
      </c>
      <c r="C9" s="37"/>
      <c r="D9" s="41"/>
      <c r="E9" s="41"/>
      <c r="F9" s="41"/>
      <c r="G9" s="41"/>
      <c r="H9" s="41"/>
      <c r="I9" s="41"/>
      <c r="J9" s="376" t="s">
        <v>20</v>
      </c>
      <c r="K9" s="49"/>
      <c r="M9" s="41"/>
      <c r="N9" s="41"/>
      <c r="Q9" s="41"/>
      <c r="V9" s="41"/>
      <c r="W9" s="39"/>
      <c r="X9" s="39"/>
      <c r="Y9" s="39"/>
      <c r="Z9" s="39"/>
      <c r="AA9" s="39"/>
      <c r="AB9" s="39"/>
      <c r="AC9" s="39"/>
      <c r="AD9" s="39"/>
      <c r="AE9" s="39"/>
      <c r="AF9" s="41"/>
      <c r="AG9" s="41"/>
    </row>
    <row r="10" spans="1:34" ht="14.1" customHeight="1">
      <c r="A10" s="37"/>
      <c r="B10" s="37"/>
      <c r="C10" s="37"/>
      <c r="D10" s="41"/>
      <c r="E10" s="41"/>
      <c r="F10" s="41"/>
      <c r="G10" s="41"/>
      <c r="H10" s="41"/>
      <c r="I10" s="41"/>
      <c r="J10" s="377" t="s">
        <v>21</v>
      </c>
      <c r="K10" s="50"/>
      <c r="Q10" s="41"/>
      <c r="R10" s="41"/>
      <c r="S10" s="41"/>
      <c r="T10" s="41"/>
      <c r="U10" s="41"/>
      <c r="V10" s="41"/>
      <c r="W10" s="41"/>
      <c r="X10" s="41"/>
      <c r="Y10" s="41"/>
      <c r="Z10" s="41"/>
      <c r="AA10" s="41"/>
      <c r="AB10" s="41"/>
      <c r="AC10" s="41"/>
      <c r="AD10" s="41"/>
      <c r="AE10" s="41"/>
      <c r="AF10" s="41"/>
      <c r="AG10" s="41"/>
    </row>
    <row r="11" spans="1:34" ht="14.1" customHeight="1">
      <c r="A11" s="37"/>
      <c r="B11" s="37"/>
      <c r="C11" s="37"/>
      <c r="D11" s="41"/>
      <c r="E11" s="41"/>
      <c r="F11" s="41"/>
      <c r="G11" s="41"/>
      <c r="H11" s="41"/>
      <c r="I11" s="41"/>
      <c r="J11" s="49"/>
      <c r="K11" s="41"/>
      <c r="L11" s="41"/>
      <c r="M11" s="41"/>
      <c r="N11" s="41"/>
      <c r="O11" s="41"/>
      <c r="P11" s="41"/>
      <c r="Q11" s="41"/>
      <c r="R11" s="41"/>
      <c r="S11" s="41"/>
      <c r="T11" s="41"/>
      <c r="U11" s="41"/>
      <c r="V11" s="41"/>
      <c r="W11" s="41"/>
      <c r="X11" s="41"/>
      <c r="Y11" s="41"/>
      <c r="Z11" s="41"/>
      <c r="AA11" s="41"/>
      <c r="AB11" s="41"/>
      <c r="AC11" s="41"/>
      <c r="AD11" s="41"/>
      <c r="AE11" s="41"/>
      <c r="AF11" s="41"/>
      <c r="AG11" s="41"/>
    </row>
    <row r="12" spans="1:34" ht="15.6">
      <c r="C12" s="46"/>
      <c r="J12" s="50"/>
      <c r="AA12" s="41"/>
      <c r="AB12" s="41"/>
      <c r="AC12" s="41"/>
      <c r="AD12" s="41"/>
      <c r="AE12" s="41"/>
      <c r="AF12" s="41"/>
      <c r="AG12" s="41"/>
    </row>
    <row r="13" spans="1:34" ht="18" customHeight="1">
      <c r="A13" s="51"/>
      <c r="B13" s="51"/>
      <c r="C13" s="51"/>
      <c r="D13" s="51"/>
      <c r="E13" s="51"/>
      <c r="F13" s="51"/>
      <c r="G13" s="51"/>
      <c r="H13" s="51"/>
      <c r="I13" s="51"/>
      <c r="J13" s="435" t="s">
        <v>22</v>
      </c>
      <c r="K13" s="436"/>
      <c r="L13" s="436"/>
      <c r="M13" s="436"/>
      <c r="N13" s="436"/>
      <c r="O13" s="437"/>
      <c r="P13" s="435" t="s">
        <v>23</v>
      </c>
      <c r="Q13" s="436"/>
      <c r="R13" s="436"/>
      <c r="S13" s="436"/>
      <c r="T13" s="436"/>
      <c r="U13" s="437"/>
      <c r="V13" s="438" t="s">
        <v>24</v>
      </c>
      <c r="W13" s="439"/>
      <c r="X13" s="439"/>
      <c r="Y13" s="439"/>
      <c r="Z13" s="439"/>
      <c r="AA13" s="440"/>
      <c r="AB13" s="41"/>
      <c r="AC13" s="41"/>
      <c r="AD13" s="41"/>
      <c r="AE13" s="41"/>
      <c r="AF13" s="41"/>
      <c r="AG13" s="41"/>
      <c r="AH13" s="41"/>
    </row>
    <row r="14" spans="1:34" ht="64.5" customHeight="1">
      <c r="A14" s="275" t="s">
        <v>25</v>
      </c>
      <c r="B14" s="214" t="s">
        <v>26</v>
      </c>
      <c r="C14" s="214" t="s">
        <v>27</v>
      </c>
      <c r="D14" s="215" t="s">
        <v>28</v>
      </c>
      <c r="E14" s="215" t="s">
        <v>29</v>
      </c>
      <c r="F14" s="215" t="s">
        <v>30</v>
      </c>
      <c r="G14" s="215" t="s">
        <v>31</v>
      </c>
      <c r="H14" s="215" t="s">
        <v>32</v>
      </c>
      <c r="I14" s="215" t="s">
        <v>33</v>
      </c>
      <c r="J14" s="216" t="s">
        <v>34</v>
      </c>
      <c r="K14" s="216" t="s">
        <v>35</v>
      </c>
      <c r="L14" s="216" t="s">
        <v>36</v>
      </c>
      <c r="M14" s="216" t="s">
        <v>37</v>
      </c>
      <c r="N14" s="216" t="s">
        <v>38</v>
      </c>
      <c r="O14" s="216" t="s">
        <v>39</v>
      </c>
      <c r="P14" s="216" t="s">
        <v>40</v>
      </c>
      <c r="Q14" s="216" t="s">
        <v>41</v>
      </c>
      <c r="R14" s="216" t="s">
        <v>42</v>
      </c>
      <c r="S14" s="216" t="s">
        <v>43</v>
      </c>
      <c r="T14" s="216" t="s">
        <v>44</v>
      </c>
      <c r="U14" s="216" t="s">
        <v>45</v>
      </c>
      <c r="V14" s="216" t="s">
        <v>46</v>
      </c>
      <c r="W14" s="216" t="s">
        <v>47</v>
      </c>
      <c r="X14" s="216" t="s">
        <v>48</v>
      </c>
      <c r="Y14" s="216" t="s">
        <v>49</v>
      </c>
      <c r="Z14" s="216" t="s">
        <v>50</v>
      </c>
      <c r="AA14" s="216" t="s">
        <v>51</v>
      </c>
      <c r="AB14" s="41"/>
      <c r="AC14" s="39"/>
      <c r="AD14" s="39"/>
      <c r="AE14" s="39"/>
      <c r="AF14" s="39"/>
      <c r="AG14" s="39"/>
    </row>
    <row r="15" spans="1:34" s="52" customFormat="1" ht="15" customHeight="1">
      <c r="A15" s="276" t="s">
        <v>52</v>
      </c>
      <c r="B15" s="361">
        <f>SUMIF('4-Basis ruimtestaat'!B:B,'2-Kosten per locatie'!A15,'4-Basis ruimtestaat'!I:I)-SUMIFS('4-Basis ruimtestaat'!I:I,'4-Basis ruimtestaat'!B:B,'2-Kosten per locatie'!A15,'4-Basis ruimtestaat'!K:K,"nio")</f>
        <v>519.92999999999995</v>
      </c>
      <c r="C15" s="208">
        <v>1</v>
      </c>
      <c r="D15" s="209">
        <f>_xlfn.MAXIFS('4-Basis ruimtestaat'!K:K,'4-Basis ruimtestaat'!B:B,'2-Kosten per locatie'!A15)</f>
        <v>255</v>
      </c>
      <c r="E15" s="209">
        <f>_xlfn.MAXIFS('4-Basis ruimtestaat'!L:L,'4-Basis ruimtestaat'!B:B,'2-Kosten per locatie'!A15)</f>
        <v>0</v>
      </c>
      <c r="F15" s="209">
        <f>_xlfn.MAXIFS('4-Basis ruimtestaat'!M:M,'4-Basis ruimtestaat'!B:B,'2-Kosten per locatie'!A15)</f>
        <v>0</v>
      </c>
      <c r="G15" s="209">
        <f>_xlfn.MAXIFS('4-Basis ruimtestaat'!N:N,'4-Basis ruimtestaat'!B:B,'2-Kosten per locatie'!A15)</f>
        <v>0</v>
      </c>
      <c r="H15" s="209">
        <f>_xlfn.MAXIFS('4-Basis ruimtestaat'!O:O,'4-Basis ruimtestaat'!B:B,'2-Kosten per locatie'!A15)</f>
        <v>0</v>
      </c>
      <c r="I15" s="209">
        <f>_xlfn.MAXIFS('4-Basis ruimtestaat'!P:P,'4-Basis ruimtestaat'!B:B,'2-Kosten per locatie'!A15)</f>
        <v>0</v>
      </c>
      <c r="J15" s="363" t="e">
        <f>SUMIF('4-Basis ruimtestaat'!B:B,'2-Kosten per locatie'!A15,'4-Basis ruimtestaat'!Q:Q)</f>
        <v>#DIV/0!</v>
      </c>
      <c r="K15" s="363">
        <f>SUMIF('4-Basis ruimtestaat'!B:B,'2-Kosten per locatie'!A15,'4-Basis ruimtestaat'!R:R)</f>
        <v>0</v>
      </c>
      <c r="L15" s="363">
        <f>SUMIF('4-Basis ruimtestaat'!B:B,'2-Kosten per locatie'!A15,'4-Basis ruimtestaat'!S:S)</f>
        <v>0</v>
      </c>
      <c r="M15" s="363">
        <f>SUMIF('4-Basis ruimtestaat'!B:B,'2-Kosten per locatie'!A15,'4-Basis ruimtestaat'!T:T)</f>
        <v>0</v>
      </c>
      <c r="N15" s="363">
        <f>SUMIF('4-Basis ruimtestaat'!B:B,'2-Kosten per locatie'!A15,'4-Basis ruimtestaat'!U:U)</f>
        <v>0</v>
      </c>
      <c r="O15" s="363">
        <f>SUMIF('4-Basis ruimtestaat'!B:B,'2-Kosten per locatie'!A15,'4-Basis ruimtestaat'!V:V)</f>
        <v>0</v>
      </c>
      <c r="P15" s="363" t="e">
        <f>IF(J15&lt;(D15*$E$2),D15*$E$2-J15,0)</f>
        <v>#DIV/0!</v>
      </c>
      <c r="Q15" s="363">
        <f>IF(K15&lt;(E15*$E$2),E15*$E$2-K15,0)</f>
        <v>0</v>
      </c>
      <c r="R15" s="363">
        <f t="shared" ref="R15:U15" si="0">IF(L15&lt;(F15*$E$2),F15*$E$2-L15,0)</f>
        <v>0</v>
      </c>
      <c r="S15" s="363">
        <f t="shared" si="0"/>
        <v>0</v>
      </c>
      <c r="T15" s="363">
        <f t="shared" si="0"/>
        <v>0</v>
      </c>
      <c r="U15" s="363">
        <f t="shared" si="0"/>
        <v>0</v>
      </c>
      <c r="V15" s="363" t="e">
        <f t="shared" ref="V15:V17" si="1">J15*$E$5</f>
        <v>#DIV/0!</v>
      </c>
      <c r="W15" s="363">
        <f t="shared" ref="W15:W17" si="2">K15*$E$5</f>
        <v>0</v>
      </c>
      <c r="X15" s="363">
        <f t="shared" ref="X15:X17" si="3">L15*$E$5</f>
        <v>0</v>
      </c>
      <c r="Y15" s="363">
        <f>M15*$E$5</f>
        <v>0</v>
      </c>
      <c r="Z15" s="363">
        <f t="shared" ref="Z15:AA17" si="4">N15*$E$5</f>
        <v>0</v>
      </c>
      <c r="AA15" s="363">
        <f t="shared" si="4"/>
        <v>0</v>
      </c>
      <c r="AB15" s="41"/>
    </row>
    <row r="16" spans="1:34" ht="15" customHeight="1">
      <c r="A16" s="276" t="s">
        <v>53</v>
      </c>
      <c r="B16" s="361">
        <f>SUMIF('4-Basis ruimtestaat'!B:B,'2-Kosten per locatie'!A16,'4-Basis ruimtestaat'!I:I)-SUMIFS('4-Basis ruimtestaat'!I:I,'4-Basis ruimtestaat'!B:B,'2-Kosten per locatie'!A16,'4-Basis ruimtestaat'!K:K,"nio")</f>
        <v>839.56879999999956</v>
      </c>
      <c r="C16" s="208">
        <v>1</v>
      </c>
      <c r="D16" s="209">
        <f>_xlfn.MAXIFS('4-Basis ruimtestaat'!K:K,'4-Basis ruimtestaat'!B:B,'2-Kosten per locatie'!A16)</f>
        <v>255</v>
      </c>
      <c r="E16" s="209">
        <f>_xlfn.MAXIFS('4-Basis ruimtestaat'!L:L,'4-Basis ruimtestaat'!B:B,'2-Kosten per locatie'!A16)</f>
        <v>0</v>
      </c>
      <c r="F16" s="209">
        <f>_xlfn.MAXIFS('4-Basis ruimtestaat'!M:M,'4-Basis ruimtestaat'!B:B,'2-Kosten per locatie'!A16)</f>
        <v>0</v>
      </c>
      <c r="G16" s="209">
        <f>_xlfn.MAXIFS('4-Basis ruimtestaat'!N:N,'4-Basis ruimtestaat'!B:B,'2-Kosten per locatie'!A16)</f>
        <v>0</v>
      </c>
      <c r="H16" s="209">
        <f>_xlfn.MAXIFS('4-Basis ruimtestaat'!O:O,'4-Basis ruimtestaat'!B:B,'2-Kosten per locatie'!A16)</f>
        <v>0</v>
      </c>
      <c r="I16" s="209">
        <f>_xlfn.MAXIFS('4-Basis ruimtestaat'!P:P,'4-Basis ruimtestaat'!B:B,'2-Kosten per locatie'!A16)</f>
        <v>0</v>
      </c>
      <c r="J16" s="363" t="e">
        <f>SUMIF('4-Basis ruimtestaat'!B:B,'2-Kosten per locatie'!A16,'4-Basis ruimtestaat'!Q:Q)</f>
        <v>#DIV/0!</v>
      </c>
      <c r="K16" s="363">
        <f>SUMIF('4-Basis ruimtestaat'!B:B,'2-Kosten per locatie'!A16,'4-Basis ruimtestaat'!R:R)</f>
        <v>0</v>
      </c>
      <c r="L16" s="363">
        <f>SUMIF('4-Basis ruimtestaat'!B:B,'2-Kosten per locatie'!A16,'4-Basis ruimtestaat'!S:S)</f>
        <v>0</v>
      </c>
      <c r="M16" s="363">
        <f>SUMIF('4-Basis ruimtestaat'!B:B,'2-Kosten per locatie'!A16,'4-Basis ruimtestaat'!T:T)</f>
        <v>0</v>
      </c>
      <c r="N16" s="363">
        <f>SUMIF('4-Basis ruimtestaat'!B:B,'2-Kosten per locatie'!A16,'4-Basis ruimtestaat'!U:U)</f>
        <v>0</v>
      </c>
      <c r="O16" s="363">
        <f>SUMIF('4-Basis ruimtestaat'!B:B,'2-Kosten per locatie'!A16,'4-Basis ruimtestaat'!V:V)</f>
        <v>0</v>
      </c>
      <c r="P16" s="363" t="e">
        <f t="shared" ref="P16:P17" si="5">IF(J16&lt;(D16*$E$2),D16*$E$2-J16,0)</f>
        <v>#DIV/0!</v>
      </c>
      <c r="Q16" s="363">
        <f t="shared" ref="Q16:Q17" si="6">IF(K16&lt;(E16*$E$2),E16*$E$2-K16,0)</f>
        <v>0</v>
      </c>
      <c r="R16" s="363">
        <f t="shared" ref="R16:R17" si="7">IF(L16&lt;(F16*$E$2),F16*$E$2-L16,0)</f>
        <v>0</v>
      </c>
      <c r="S16" s="363">
        <f t="shared" ref="S16:S17" si="8">IF(M16&lt;(G16*$E$2),G16*$E$2-M16,0)</f>
        <v>0</v>
      </c>
      <c r="T16" s="363">
        <f t="shared" ref="T16:T17" si="9">IF(N16&lt;(H16*$E$2),H16*$E$2-N16,0)</f>
        <v>0</v>
      </c>
      <c r="U16" s="363">
        <f t="shared" ref="U16:U17" si="10">IF(O16&lt;(I16*$E$2),I16*$E$2-O16,0)</f>
        <v>0</v>
      </c>
      <c r="V16" s="363" t="e">
        <f t="shared" si="1"/>
        <v>#DIV/0!</v>
      </c>
      <c r="W16" s="363">
        <f t="shared" si="2"/>
        <v>0</v>
      </c>
      <c r="X16" s="363">
        <f t="shared" si="3"/>
        <v>0</v>
      </c>
      <c r="Y16" s="363">
        <f t="shared" ref="Y16:Y17" si="11">M16*$E$5</f>
        <v>0</v>
      </c>
      <c r="Z16" s="363">
        <f t="shared" si="4"/>
        <v>0</v>
      </c>
      <c r="AA16" s="363">
        <f t="shared" si="4"/>
        <v>0</v>
      </c>
      <c r="AB16" s="41"/>
      <c r="AC16" s="39"/>
      <c r="AD16" s="39"/>
      <c r="AE16" s="39"/>
      <c r="AF16" s="39"/>
      <c r="AG16" s="39"/>
    </row>
    <row r="17" spans="1:33" ht="15" customHeight="1">
      <c r="A17" s="276" t="s">
        <v>54</v>
      </c>
      <c r="B17" s="361">
        <f>SUMIF('4-Basis ruimtestaat'!B:B,'2-Kosten per locatie'!A17,'4-Basis ruimtestaat'!I:I)-SUMIFS('4-Basis ruimtestaat'!I:I,'4-Basis ruimtestaat'!B:B,'2-Kosten per locatie'!A17,'4-Basis ruimtestaat'!K:K,"nio")</f>
        <v>416.4</v>
      </c>
      <c r="C17" s="208">
        <v>1</v>
      </c>
      <c r="D17" s="209">
        <f>_xlfn.MAXIFS('4-Basis ruimtestaat'!K:K,'4-Basis ruimtestaat'!B:B,'2-Kosten per locatie'!A17)</f>
        <v>200</v>
      </c>
      <c r="E17" s="209">
        <f>_xlfn.MAXIFS('4-Basis ruimtestaat'!L:L,'4-Basis ruimtestaat'!B:B,'2-Kosten per locatie'!A17)</f>
        <v>0</v>
      </c>
      <c r="F17" s="209">
        <f>_xlfn.MAXIFS('4-Basis ruimtestaat'!M:M,'4-Basis ruimtestaat'!B:B,'2-Kosten per locatie'!A17)</f>
        <v>0</v>
      </c>
      <c r="G17" s="209">
        <f>_xlfn.MAXIFS('4-Basis ruimtestaat'!N:N,'4-Basis ruimtestaat'!B:B,'2-Kosten per locatie'!A17)</f>
        <v>0</v>
      </c>
      <c r="H17" s="209">
        <f>_xlfn.MAXIFS('4-Basis ruimtestaat'!O:O,'4-Basis ruimtestaat'!B:B,'2-Kosten per locatie'!A17)</f>
        <v>0</v>
      </c>
      <c r="I17" s="209">
        <f>_xlfn.MAXIFS('4-Basis ruimtestaat'!P:P,'4-Basis ruimtestaat'!B:B,'2-Kosten per locatie'!A17)</f>
        <v>0</v>
      </c>
      <c r="J17" s="363" t="e">
        <f>SUMIF('4-Basis ruimtestaat'!B:B,'2-Kosten per locatie'!A17,'4-Basis ruimtestaat'!Q:Q)</f>
        <v>#DIV/0!</v>
      </c>
      <c r="K17" s="363">
        <f>SUMIF('4-Basis ruimtestaat'!B:B,'2-Kosten per locatie'!A17,'4-Basis ruimtestaat'!R:R)</f>
        <v>0</v>
      </c>
      <c r="L17" s="363">
        <f>SUMIF('4-Basis ruimtestaat'!B:B,'2-Kosten per locatie'!A17,'4-Basis ruimtestaat'!S:S)</f>
        <v>0</v>
      </c>
      <c r="M17" s="363">
        <f>SUMIF('4-Basis ruimtestaat'!B:B,'2-Kosten per locatie'!A17,'4-Basis ruimtestaat'!T:T)</f>
        <v>0</v>
      </c>
      <c r="N17" s="363">
        <f>SUMIF('4-Basis ruimtestaat'!B:B,'2-Kosten per locatie'!A17,'4-Basis ruimtestaat'!U:U)</f>
        <v>0</v>
      </c>
      <c r="O17" s="363">
        <f>SUMIF('4-Basis ruimtestaat'!B:B,'2-Kosten per locatie'!A17,'4-Basis ruimtestaat'!V:V)</f>
        <v>0</v>
      </c>
      <c r="P17" s="363" t="e">
        <f t="shared" si="5"/>
        <v>#DIV/0!</v>
      </c>
      <c r="Q17" s="363">
        <f t="shared" si="6"/>
        <v>0</v>
      </c>
      <c r="R17" s="363">
        <f t="shared" si="7"/>
        <v>0</v>
      </c>
      <c r="S17" s="363">
        <f t="shared" si="8"/>
        <v>0</v>
      </c>
      <c r="T17" s="363">
        <f t="shared" si="9"/>
        <v>0</v>
      </c>
      <c r="U17" s="363">
        <f t="shared" si="10"/>
        <v>0</v>
      </c>
      <c r="V17" s="363" t="e">
        <f t="shared" si="1"/>
        <v>#DIV/0!</v>
      </c>
      <c r="W17" s="363">
        <f t="shared" si="2"/>
        <v>0</v>
      </c>
      <c r="X17" s="363">
        <f t="shared" si="3"/>
        <v>0</v>
      </c>
      <c r="Y17" s="363">
        <f t="shared" si="11"/>
        <v>0</v>
      </c>
      <c r="Z17" s="363">
        <f t="shared" si="4"/>
        <v>0</v>
      </c>
      <c r="AA17" s="363">
        <f t="shared" si="4"/>
        <v>0</v>
      </c>
      <c r="AB17" s="41"/>
      <c r="AC17" s="39"/>
      <c r="AD17" s="39"/>
      <c r="AE17" s="39"/>
      <c r="AF17" s="39"/>
      <c r="AG17" s="39"/>
    </row>
    <row r="18" spans="1:33" ht="15" customHeight="1">
      <c r="A18" s="276" t="s">
        <v>55</v>
      </c>
      <c r="B18" s="361">
        <f>SUMIF('4-Basis ruimtestaat'!B:B,'2-Kosten per locatie'!A18,'4-Basis ruimtestaat'!I:I)-SUMIFS('4-Basis ruimtestaat'!I:I,'4-Basis ruimtestaat'!B:B,'2-Kosten per locatie'!A18,'4-Basis ruimtestaat'!K:K,"nio")</f>
        <v>125.5</v>
      </c>
      <c r="C18" s="208">
        <v>1</v>
      </c>
      <c r="D18" s="209">
        <f>_xlfn.MAXIFS('4-Basis ruimtestaat'!K:K,'4-Basis ruimtestaat'!B:B,'2-Kosten per locatie'!A18)</f>
        <v>104</v>
      </c>
      <c r="E18" s="209">
        <f>_xlfn.MAXIFS('4-Basis ruimtestaat'!L:L,'4-Basis ruimtestaat'!B:B,'2-Kosten per locatie'!A18)</f>
        <v>0</v>
      </c>
      <c r="F18" s="209">
        <f>_xlfn.MAXIFS('4-Basis ruimtestaat'!M:M,'4-Basis ruimtestaat'!B:B,'2-Kosten per locatie'!A18)</f>
        <v>0</v>
      </c>
      <c r="G18" s="209">
        <f>_xlfn.MAXIFS('4-Basis ruimtestaat'!N:N,'4-Basis ruimtestaat'!B:B,'2-Kosten per locatie'!A18)</f>
        <v>0</v>
      </c>
      <c r="H18" s="209">
        <f>_xlfn.MAXIFS('4-Basis ruimtestaat'!O:O,'4-Basis ruimtestaat'!B:B,'2-Kosten per locatie'!A18)</f>
        <v>0</v>
      </c>
      <c r="I18" s="209">
        <f>_xlfn.MAXIFS('4-Basis ruimtestaat'!P:P,'4-Basis ruimtestaat'!B:B,'2-Kosten per locatie'!A18)</f>
        <v>0</v>
      </c>
      <c r="J18" s="363" t="e">
        <f>SUMIF('4-Basis ruimtestaat'!B:B,'2-Kosten per locatie'!A18,'4-Basis ruimtestaat'!Q:Q)</f>
        <v>#DIV/0!</v>
      </c>
      <c r="K18" s="363">
        <f>SUMIF('4-Basis ruimtestaat'!B:B,'2-Kosten per locatie'!A18,'4-Basis ruimtestaat'!R:R)</f>
        <v>0</v>
      </c>
      <c r="L18" s="363">
        <f>SUMIF('4-Basis ruimtestaat'!B:B,'2-Kosten per locatie'!A18,'4-Basis ruimtestaat'!S:S)</f>
        <v>0</v>
      </c>
      <c r="M18" s="363">
        <f>SUMIF('4-Basis ruimtestaat'!B:B,'2-Kosten per locatie'!A18,'4-Basis ruimtestaat'!T:T)</f>
        <v>0</v>
      </c>
      <c r="N18" s="363">
        <f>SUMIF('4-Basis ruimtestaat'!B:B,'2-Kosten per locatie'!A18,'4-Basis ruimtestaat'!U:U)</f>
        <v>0</v>
      </c>
      <c r="O18" s="363">
        <f>SUMIF('4-Basis ruimtestaat'!B:B,'2-Kosten per locatie'!A18,'4-Basis ruimtestaat'!V:V)</f>
        <v>0</v>
      </c>
      <c r="P18" s="363" t="e">
        <f t="shared" ref="P18" si="12">IF(J18&lt;(D18*$E$2),D18*$E$2-J18,0)</f>
        <v>#DIV/0!</v>
      </c>
      <c r="Q18" s="363">
        <f t="shared" ref="Q18" si="13">IF(K18&lt;(E18*$E$2),E18*$E$2-K18,0)</f>
        <v>0</v>
      </c>
      <c r="R18" s="363">
        <f t="shared" ref="R18" si="14">IF(L18&lt;(F18*$E$2),F18*$E$2-L18,0)</f>
        <v>0</v>
      </c>
      <c r="S18" s="363">
        <f t="shared" ref="S18" si="15">IF(M18&lt;(G18*$E$2),G18*$E$2-M18,0)</f>
        <v>0</v>
      </c>
      <c r="T18" s="363">
        <f t="shared" ref="T18" si="16">IF(N18&lt;(H18*$E$2),H18*$E$2-N18,0)</f>
        <v>0</v>
      </c>
      <c r="U18" s="363">
        <f t="shared" ref="U18" si="17">IF(O18&lt;(I18*$E$2),I18*$E$2-O18,0)</f>
        <v>0</v>
      </c>
      <c r="V18" s="363" t="e">
        <f t="shared" ref="V18" si="18">J18*$E$5</f>
        <v>#DIV/0!</v>
      </c>
      <c r="W18" s="363">
        <f t="shared" ref="W18" si="19">K18*$E$5</f>
        <v>0</v>
      </c>
      <c r="X18" s="363">
        <f t="shared" ref="X18" si="20">L18*$E$5</f>
        <v>0</v>
      </c>
      <c r="Y18" s="363">
        <f t="shared" ref="Y18" si="21">M18*$E$5</f>
        <v>0</v>
      </c>
      <c r="Z18" s="363">
        <f t="shared" ref="Z18" si="22">N18*$E$5</f>
        <v>0</v>
      </c>
      <c r="AA18" s="363">
        <f t="shared" ref="AA18" si="23">O18*$E$5</f>
        <v>0</v>
      </c>
      <c r="AB18" s="41"/>
      <c r="AC18" s="39"/>
      <c r="AD18" s="39"/>
      <c r="AE18" s="39"/>
      <c r="AF18" s="39"/>
      <c r="AG18" s="39"/>
    </row>
    <row r="19" spans="1:33" ht="15" customHeight="1">
      <c r="A19" s="277" t="s">
        <v>56</v>
      </c>
      <c r="B19" s="361">
        <f>SUMIF('4-Basis ruimtestaat'!B:B,'2-Kosten per locatie'!A19,'4-Basis ruimtestaat'!I:I)-SUMIFS('4-Basis ruimtestaat'!I:I,'4-Basis ruimtestaat'!B:B,'2-Kosten per locatie'!A19,'4-Basis ruimtestaat'!K:K,"nio")</f>
        <v>327.39999999999992</v>
      </c>
      <c r="C19" s="208">
        <v>1</v>
      </c>
      <c r="D19" s="209">
        <f>_xlfn.MAXIFS('4-Basis ruimtestaat'!K:K,'4-Basis ruimtestaat'!B:B,'2-Kosten per locatie'!A19)</f>
        <v>255</v>
      </c>
      <c r="E19" s="209">
        <f>_xlfn.MAXIFS('4-Basis ruimtestaat'!L:L,'4-Basis ruimtestaat'!B:B,'2-Kosten per locatie'!A19)</f>
        <v>0</v>
      </c>
      <c r="F19" s="209">
        <f>_xlfn.MAXIFS('4-Basis ruimtestaat'!M:M,'4-Basis ruimtestaat'!B:B,'2-Kosten per locatie'!A19)</f>
        <v>0</v>
      </c>
      <c r="G19" s="209">
        <f>_xlfn.MAXIFS('4-Basis ruimtestaat'!N:N,'4-Basis ruimtestaat'!B:B,'2-Kosten per locatie'!A19)</f>
        <v>0</v>
      </c>
      <c r="H19" s="209">
        <f>_xlfn.MAXIFS('4-Basis ruimtestaat'!O:O,'4-Basis ruimtestaat'!B:B,'2-Kosten per locatie'!A19)</f>
        <v>0</v>
      </c>
      <c r="I19" s="209">
        <f>_xlfn.MAXIFS('4-Basis ruimtestaat'!P:P,'4-Basis ruimtestaat'!B:B,'2-Kosten per locatie'!A19)</f>
        <v>0</v>
      </c>
      <c r="J19" s="363" t="e">
        <f>SUMIF('4-Basis ruimtestaat'!B:B,'2-Kosten per locatie'!A19,'4-Basis ruimtestaat'!Q:Q)</f>
        <v>#DIV/0!</v>
      </c>
      <c r="K19" s="363">
        <f>SUMIF('4-Basis ruimtestaat'!B:B,'2-Kosten per locatie'!A19,'4-Basis ruimtestaat'!R:R)</f>
        <v>0</v>
      </c>
      <c r="L19" s="363">
        <f>SUMIF('4-Basis ruimtestaat'!B:B,'2-Kosten per locatie'!A19,'4-Basis ruimtestaat'!S:S)</f>
        <v>0</v>
      </c>
      <c r="M19" s="363">
        <f>SUMIF('4-Basis ruimtestaat'!B:B,'2-Kosten per locatie'!A19,'4-Basis ruimtestaat'!T:T)</f>
        <v>0</v>
      </c>
      <c r="N19" s="363">
        <f>SUMIF('4-Basis ruimtestaat'!B:B,'2-Kosten per locatie'!A19,'4-Basis ruimtestaat'!U:U)</f>
        <v>0</v>
      </c>
      <c r="O19" s="363">
        <f>SUMIF('4-Basis ruimtestaat'!B:B,'2-Kosten per locatie'!A19,'4-Basis ruimtestaat'!V:V)</f>
        <v>0</v>
      </c>
      <c r="P19" s="363" t="e">
        <f t="shared" ref="P19:P25" si="24">IF(J19&lt;(D19*$E$2),D19*$E$2-J19,0)</f>
        <v>#DIV/0!</v>
      </c>
      <c r="Q19" s="363">
        <f t="shared" ref="Q19:Q25" si="25">IF(K19&lt;(E19*$E$2),E19*$E$2-K19,0)</f>
        <v>0</v>
      </c>
      <c r="R19" s="363">
        <f t="shared" ref="R19:R25" si="26">IF(L19&lt;(F19*$E$2),F19*$E$2-L19,0)</f>
        <v>0</v>
      </c>
      <c r="S19" s="363">
        <f t="shared" ref="S19:S25" si="27">IF(M19&lt;(G19*$E$2),G19*$E$2-M19,0)</f>
        <v>0</v>
      </c>
      <c r="T19" s="363">
        <f t="shared" ref="T19:T25" si="28">IF(N19&lt;(H19*$E$2),H19*$E$2-N19,0)</f>
        <v>0</v>
      </c>
      <c r="U19" s="363">
        <f t="shared" ref="U19:U25" si="29">IF(O19&lt;(I19*$E$2),I19*$E$2-O19,0)</f>
        <v>0</v>
      </c>
      <c r="V19" s="363" t="e">
        <f t="shared" ref="V19:V25" si="30">J19*$E$5</f>
        <v>#DIV/0!</v>
      </c>
      <c r="W19" s="363">
        <f t="shared" ref="W19:W25" si="31">K19*$E$5</f>
        <v>0</v>
      </c>
      <c r="X19" s="363">
        <f t="shared" ref="X19:X25" si="32">L19*$E$5</f>
        <v>0</v>
      </c>
      <c r="Y19" s="363">
        <f t="shared" ref="Y19:Y25" si="33">M19*$E$5</f>
        <v>0</v>
      </c>
      <c r="Z19" s="363">
        <f t="shared" ref="Z19:Z25" si="34">N19*$E$5</f>
        <v>0</v>
      </c>
      <c r="AA19" s="363">
        <f t="shared" ref="AA19:AA25" si="35">O19*$E$5</f>
        <v>0</v>
      </c>
      <c r="AB19" s="41"/>
      <c r="AC19" s="39"/>
      <c r="AD19" s="39"/>
      <c r="AE19" s="39"/>
      <c r="AF19" s="39"/>
      <c r="AG19" s="39"/>
    </row>
    <row r="20" spans="1:33" ht="15" customHeight="1">
      <c r="A20" s="277" t="s">
        <v>57</v>
      </c>
      <c r="B20" s="361">
        <f>SUMIF('4-Basis ruimtestaat'!B:B,'2-Kosten per locatie'!A20,'4-Basis ruimtestaat'!I:I)-SUMIFS('4-Basis ruimtestaat'!I:I,'4-Basis ruimtestaat'!B:B,'2-Kosten per locatie'!A20,'4-Basis ruimtestaat'!K:K,"nio")</f>
        <v>184.90000000000012</v>
      </c>
      <c r="C20" s="208">
        <v>1</v>
      </c>
      <c r="D20" s="209">
        <v>237</v>
      </c>
      <c r="E20" s="209">
        <f>_xlfn.MAXIFS('4-Basis ruimtestaat'!L:L,'4-Basis ruimtestaat'!B:B,'2-Kosten per locatie'!A20)</f>
        <v>45</v>
      </c>
      <c r="F20" s="209">
        <f>_xlfn.MAXIFS('4-Basis ruimtestaat'!M:M,'4-Basis ruimtestaat'!B:B,'2-Kosten per locatie'!A20)</f>
        <v>78</v>
      </c>
      <c r="G20" s="209">
        <f>_xlfn.MAXIFS('4-Basis ruimtestaat'!N:N,'4-Basis ruimtestaat'!B:B,'2-Kosten per locatie'!A20)</f>
        <v>23</v>
      </c>
      <c r="H20" s="209">
        <f>_xlfn.MAXIFS('4-Basis ruimtestaat'!O:O,'4-Basis ruimtestaat'!B:B,'2-Kosten per locatie'!A20)</f>
        <v>8</v>
      </c>
      <c r="I20" s="209">
        <f>_xlfn.MAXIFS('4-Basis ruimtestaat'!P:P,'4-Basis ruimtestaat'!B:B,'2-Kosten per locatie'!A20)</f>
        <v>4</v>
      </c>
      <c r="J20" s="363" t="e">
        <f>SUMIF('4-Basis ruimtestaat'!B:B,'2-Kosten per locatie'!A20,'4-Basis ruimtestaat'!Q:Q)</f>
        <v>#DIV/0!</v>
      </c>
      <c r="K20" s="363" t="e">
        <f>SUMIF('4-Basis ruimtestaat'!B:B,'2-Kosten per locatie'!A20,'4-Basis ruimtestaat'!R:R)</f>
        <v>#DIV/0!</v>
      </c>
      <c r="L20" s="363" t="e">
        <f>SUMIF('4-Basis ruimtestaat'!B:B,'2-Kosten per locatie'!A20,'4-Basis ruimtestaat'!S:S)</f>
        <v>#DIV/0!</v>
      </c>
      <c r="M20" s="363" t="e">
        <f>SUMIF('4-Basis ruimtestaat'!B:B,'2-Kosten per locatie'!A20,'4-Basis ruimtestaat'!T:T)</f>
        <v>#DIV/0!</v>
      </c>
      <c r="N20" s="363" t="e">
        <f>SUMIF('4-Basis ruimtestaat'!B:B,'2-Kosten per locatie'!A20,'4-Basis ruimtestaat'!U:U)</f>
        <v>#DIV/0!</v>
      </c>
      <c r="O20" s="363" t="e">
        <f>SUMIF('4-Basis ruimtestaat'!B:B,'2-Kosten per locatie'!A20,'4-Basis ruimtestaat'!V:V)</f>
        <v>#DIV/0!</v>
      </c>
      <c r="P20" s="363" t="e">
        <f t="shared" si="24"/>
        <v>#DIV/0!</v>
      </c>
      <c r="Q20" s="363" t="e">
        <f t="shared" si="25"/>
        <v>#DIV/0!</v>
      </c>
      <c r="R20" s="363" t="e">
        <f t="shared" si="26"/>
        <v>#DIV/0!</v>
      </c>
      <c r="S20" s="363" t="e">
        <f t="shared" si="27"/>
        <v>#DIV/0!</v>
      </c>
      <c r="T20" s="363" t="e">
        <f t="shared" si="28"/>
        <v>#DIV/0!</v>
      </c>
      <c r="U20" s="363" t="e">
        <f t="shared" si="29"/>
        <v>#DIV/0!</v>
      </c>
      <c r="V20" s="363" t="e">
        <f t="shared" si="30"/>
        <v>#DIV/0!</v>
      </c>
      <c r="W20" s="363" t="e">
        <f t="shared" si="31"/>
        <v>#DIV/0!</v>
      </c>
      <c r="X20" s="363" t="e">
        <f t="shared" si="32"/>
        <v>#DIV/0!</v>
      </c>
      <c r="Y20" s="363" t="e">
        <f t="shared" si="33"/>
        <v>#DIV/0!</v>
      </c>
      <c r="Z20" s="363" t="e">
        <f t="shared" si="34"/>
        <v>#DIV/0!</v>
      </c>
      <c r="AA20" s="363" t="e">
        <f t="shared" si="35"/>
        <v>#DIV/0!</v>
      </c>
      <c r="AB20" s="41"/>
      <c r="AC20" s="39"/>
      <c r="AD20" s="39"/>
      <c r="AE20" s="39"/>
      <c r="AF20" s="39"/>
      <c r="AG20" s="39"/>
    </row>
    <row r="21" spans="1:33" ht="15" customHeight="1">
      <c r="A21" s="277" t="s">
        <v>58</v>
      </c>
      <c r="B21" s="361">
        <f>SUMIF('4-Basis ruimtestaat'!B:B,'2-Kosten per locatie'!A21,'4-Basis ruimtestaat'!I:I)-SUMIFS('4-Basis ruimtestaat'!I:I,'4-Basis ruimtestaat'!B:B,'2-Kosten per locatie'!A21,'4-Basis ruimtestaat'!K:K,"nio")</f>
        <v>274.50000000000006</v>
      </c>
      <c r="C21" s="208">
        <v>1</v>
      </c>
      <c r="D21" s="209">
        <f>_xlfn.MAXIFS('4-Basis ruimtestaat'!K:K,'4-Basis ruimtestaat'!B:B,'2-Kosten per locatie'!A21)</f>
        <v>255</v>
      </c>
      <c r="E21" s="209">
        <f>_xlfn.MAXIFS('4-Basis ruimtestaat'!L:L,'4-Basis ruimtestaat'!B:B,'2-Kosten per locatie'!A21)</f>
        <v>0</v>
      </c>
      <c r="F21" s="209">
        <f>_xlfn.MAXIFS('4-Basis ruimtestaat'!M:M,'4-Basis ruimtestaat'!B:B,'2-Kosten per locatie'!A21)</f>
        <v>0</v>
      </c>
      <c r="G21" s="209">
        <f>_xlfn.MAXIFS('4-Basis ruimtestaat'!N:N,'4-Basis ruimtestaat'!B:B,'2-Kosten per locatie'!A21)</f>
        <v>0</v>
      </c>
      <c r="H21" s="209">
        <f>_xlfn.MAXIFS('4-Basis ruimtestaat'!O:O,'4-Basis ruimtestaat'!B:B,'2-Kosten per locatie'!A21)</f>
        <v>0</v>
      </c>
      <c r="I21" s="209">
        <f>_xlfn.MAXIFS('4-Basis ruimtestaat'!P:P,'4-Basis ruimtestaat'!B:B,'2-Kosten per locatie'!A21)</f>
        <v>0</v>
      </c>
      <c r="J21" s="363" t="e">
        <f>SUMIF('4-Basis ruimtestaat'!B:B,'2-Kosten per locatie'!A21,'4-Basis ruimtestaat'!Q:Q)</f>
        <v>#DIV/0!</v>
      </c>
      <c r="K21" s="363">
        <f>SUMIF('4-Basis ruimtestaat'!B:B,'2-Kosten per locatie'!A21,'4-Basis ruimtestaat'!R:R)</f>
        <v>0</v>
      </c>
      <c r="L21" s="363">
        <f>SUMIF('4-Basis ruimtestaat'!B:B,'2-Kosten per locatie'!A21,'4-Basis ruimtestaat'!S:S)</f>
        <v>0</v>
      </c>
      <c r="M21" s="363">
        <f>SUMIF('4-Basis ruimtestaat'!B:B,'2-Kosten per locatie'!A21,'4-Basis ruimtestaat'!T:T)</f>
        <v>0</v>
      </c>
      <c r="N21" s="363">
        <f>SUMIF('4-Basis ruimtestaat'!B:B,'2-Kosten per locatie'!A21,'4-Basis ruimtestaat'!U:U)</f>
        <v>0</v>
      </c>
      <c r="O21" s="363">
        <f>SUMIF('4-Basis ruimtestaat'!B:B,'2-Kosten per locatie'!A21,'4-Basis ruimtestaat'!V:V)</f>
        <v>0</v>
      </c>
      <c r="P21" s="363" t="e">
        <f t="shared" si="24"/>
        <v>#DIV/0!</v>
      </c>
      <c r="Q21" s="363">
        <f t="shared" si="25"/>
        <v>0</v>
      </c>
      <c r="R21" s="363">
        <f t="shared" si="26"/>
        <v>0</v>
      </c>
      <c r="S21" s="363">
        <f t="shared" si="27"/>
        <v>0</v>
      </c>
      <c r="T21" s="363">
        <f t="shared" si="28"/>
        <v>0</v>
      </c>
      <c r="U21" s="363">
        <f t="shared" si="29"/>
        <v>0</v>
      </c>
      <c r="V21" s="363" t="e">
        <f t="shared" si="30"/>
        <v>#DIV/0!</v>
      </c>
      <c r="W21" s="363">
        <f t="shared" si="31"/>
        <v>0</v>
      </c>
      <c r="X21" s="363">
        <f t="shared" si="32"/>
        <v>0</v>
      </c>
      <c r="Y21" s="363">
        <f t="shared" si="33"/>
        <v>0</v>
      </c>
      <c r="Z21" s="363">
        <f t="shared" si="34"/>
        <v>0</v>
      </c>
      <c r="AA21" s="363">
        <f t="shared" si="35"/>
        <v>0</v>
      </c>
      <c r="AB21" s="41"/>
      <c r="AC21" s="39"/>
      <c r="AD21" s="39"/>
      <c r="AE21" s="39"/>
      <c r="AF21" s="39"/>
      <c r="AG21" s="39"/>
    </row>
    <row r="22" spans="1:33" ht="15" customHeight="1">
      <c r="A22" s="277" t="s">
        <v>59</v>
      </c>
      <c r="B22" s="361">
        <f>SUMIF('4-Basis ruimtestaat'!B:B,'2-Kosten per locatie'!A22,'4-Basis ruimtestaat'!I:I)-SUMIFS('4-Basis ruimtestaat'!I:I,'4-Basis ruimtestaat'!B:B,'2-Kosten per locatie'!A22,'4-Basis ruimtestaat'!K:K,"nio")</f>
        <v>709.11509999999998</v>
      </c>
      <c r="C22" s="208">
        <v>1</v>
      </c>
      <c r="D22" s="209">
        <f>_xlfn.MAXIFS('4-Basis ruimtestaat'!K:K,'4-Basis ruimtestaat'!B:B,'2-Kosten per locatie'!A22)</f>
        <v>200</v>
      </c>
      <c r="E22" s="209">
        <f>_xlfn.MAXIFS('4-Basis ruimtestaat'!L:L,'4-Basis ruimtestaat'!B:B,'2-Kosten per locatie'!A22)</f>
        <v>0</v>
      </c>
      <c r="F22" s="209">
        <f>_xlfn.MAXIFS('4-Basis ruimtestaat'!M:M,'4-Basis ruimtestaat'!B:B,'2-Kosten per locatie'!A22)</f>
        <v>0</v>
      </c>
      <c r="G22" s="209">
        <f>_xlfn.MAXIFS('4-Basis ruimtestaat'!N:N,'4-Basis ruimtestaat'!B:B,'2-Kosten per locatie'!A22)</f>
        <v>0</v>
      </c>
      <c r="H22" s="209">
        <f>_xlfn.MAXIFS('4-Basis ruimtestaat'!O:O,'4-Basis ruimtestaat'!B:B,'2-Kosten per locatie'!A22)</f>
        <v>0</v>
      </c>
      <c r="I22" s="209">
        <f>_xlfn.MAXIFS('4-Basis ruimtestaat'!P:P,'4-Basis ruimtestaat'!B:B,'2-Kosten per locatie'!A22)</f>
        <v>0</v>
      </c>
      <c r="J22" s="363" t="e">
        <f>SUMIF('4-Basis ruimtestaat'!B:B,'2-Kosten per locatie'!A22,'4-Basis ruimtestaat'!Q:Q)</f>
        <v>#DIV/0!</v>
      </c>
      <c r="K22" s="363">
        <f>SUMIF('4-Basis ruimtestaat'!B:B,'2-Kosten per locatie'!A22,'4-Basis ruimtestaat'!R:R)</f>
        <v>0</v>
      </c>
      <c r="L22" s="363">
        <f>SUMIF('4-Basis ruimtestaat'!B:B,'2-Kosten per locatie'!A22,'4-Basis ruimtestaat'!S:S)</f>
        <v>0</v>
      </c>
      <c r="M22" s="363">
        <f>SUMIF('4-Basis ruimtestaat'!B:B,'2-Kosten per locatie'!A22,'4-Basis ruimtestaat'!T:T)</f>
        <v>0</v>
      </c>
      <c r="N22" s="363">
        <f>SUMIF('4-Basis ruimtestaat'!B:B,'2-Kosten per locatie'!A22,'4-Basis ruimtestaat'!U:U)</f>
        <v>0</v>
      </c>
      <c r="O22" s="363">
        <f>SUMIF('4-Basis ruimtestaat'!B:B,'2-Kosten per locatie'!A22,'4-Basis ruimtestaat'!V:V)</f>
        <v>0</v>
      </c>
      <c r="P22" s="363" t="e">
        <f t="shared" si="24"/>
        <v>#DIV/0!</v>
      </c>
      <c r="Q22" s="363">
        <f t="shared" si="25"/>
        <v>0</v>
      </c>
      <c r="R22" s="363">
        <f t="shared" si="26"/>
        <v>0</v>
      </c>
      <c r="S22" s="363">
        <f t="shared" si="27"/>
        <v>0</v>
      </c>
      <c r="T22" s="363">
        <f t="shared" si="28"/>
        <v>0</v>
      </c>
      <c r="U22" s="363">
        <f t="shared" si="29"/>
        <v>0</v>
      </c>
      <c r="V22" s="363" t="e">
        <f t="shared" si="30"/>
        <v>#DIV/0!</v>
      </c>
      <c r="W22" s="363">
        <f t="shared" si="31"/>
        <v>0</v>
      </c>
      <c r="X22" s="363">
        <f t="shared" si="32"/>
        <v>0</v>
      </c>
      <c r="Y22" s="363">
        <f t="shared" si="33"/>
        <v>0</v>
      </c>
      <c r="Z22" s="363">
        <f t="shared" si="34"/>
        <v>0</v>
      </c>
      <c r="AA22" s="363">
        <f t="shared" si="35"/>
        <v>0</v>
      </c>
      <c r="AB22" s="41"/>
      <c r="AC22" s="39"/>
      <c r="AD22" s="39"/>
      <c r="AE22" s="39"/>
      <c r="AF22" s="39"/>
      <c r="AG22" s="39"/>
    </row>
    <row r="23" spans="1:33" ht="15" customHeight="1">
      <c r="A23" s="277" t="s">
        <v>60</v>
      </c>
      <c r="B23" s="361">
        <f>SUMIF('4-Basis ruimtestaat'!B:B,'2-Kosten per locatie'!A23,'4-Basis ruimtestaat'!I:I)-SUMIFS('4-Basis ruimtestaat'!I:I,'4-Basis ruimtestaat'!B:B,'2-Kosten per locatie'!A23,'4-Basis ruimtestaat'!K:K,"nio")</f>
        <v>1010.8500000000003</v>
      </c>
      <c r="C23" s="208">
        <v>1</v>
      </c>
      <c r="D23" s="209">
        <f>_xlfn.MAXIFS('4-Basis ruimtestaat'!K:K,'4-Basis ruimtestaat'!B:B,'2-Kosten per locatie'!A23)</f>
        <v>255</v>
      </c>
      <c r="E23" s="209">
        <f>_xlfn.MAXIFS('4-Basis ruimtestaat'!L:L,'4-Basis ruimtestaat'!B:B,'2-Kosten per locatie'!A23)</f>
        <v>0</v>
      </c>
      <c r="F23" s="209">
        <f>_xlfn.MAXIFS('4-Basis ruimtestaat'!M:M,'4-Basis ruimtestaat'!B:B,'2-Kosten per locatie'!A23)</f>
        <v>0</v>
      </c>
      <c r="G23" s="209">
        <f>_xlfn.MAXIFS('4-Basis ruimtestaat'!N:N,'4-Basis ruimtestaat'!B:B,'2-Kosten per locatie'!A23)</f>
        <v>0</v>
      </c>
      <c r="H23" s="209">
        <f>_xlfn.MAXIFS('4-Basis ruimtestaat'!O:O,'4-Basis ruimtestaat'!B:B,'2-Kosten per locatie'!A23)</f>
        <v>0</v>
      </c>
      <c r="I23" s="209">
        <f>_xlfn.MAXIFS('4-Basis ruimtestaat'!P:P,'4-Basis ruimtestaat'!B:B,'2-Kosten per locatie'!A23)</f>
        <v>0</v>
      </c>
      <c r="J23" s="363" t="e">
        <f>SUMIF('4-Basis ruimtestaat'!B:B,'2-Kosten per locatie'!A23,'4-Basis ruimtestaat'!Q:Q)</f>
        <v>#DIV/0!</v>
      </c>
      <c r="K23" s="363">
        <f>SUMIF('4-Basis ruimtestaat'!B:B,'2-Kosten per locatie'!A23,'4-Basis ruimtestaat'!R:R)</f>
        <v>0</v>
      </c>
      <c r="L23" s="363">
        <f>SUMIF('4-Basis ruimtestaat'!B:B,'2-Kosten per locatie'!A23,'4-Basis ruimtestaat'!S:S)</f>
        <v>0</v>
      </c>
      <c r="M23" s="363">
        <f>SUMIF('4-Basis ruimtestaat'!B:B,'2-Kosten per locatie'!A23,'4-Basis ruimtestaat'!T:T)</f>
        <v>0</v>
      </c>
      <c r="N23" s="363">
        <f>SUMIF('4-Basis ruimtestaat'!B:B,'2-Kosten per locatie'!A23,'4-Basis ruimtestaat'!U:U)</f>
        <v>0</v>
      </c>
      <c r="O23" s="363">
        <f>SUMIF('4-Basis ruimtestaat'!B:B,'2-Kosten per locatie'!A23,'4-Basis ruimtestaat'!V:V)</f>
        <v>0</v>
      </c>
      <c r="P23" s="363" t="e">
        <f t="shared" si="24"/>
        <v>#DIV/0!</v>
      </c>
      <c r="Q23" s="363">
        <f t="shared" si="25"/>
        <v>0</v>
      </c>
      <c r="R23" s="363">
        <f t="shared" si="26"/>
        <v>0</v>
      </c>
      <c r="S23" s="363">
        <f t="shared" si="27"/>
        <v>0</v>
      </c>
      <c r="T23" s="363">
        <f t="shared" si="28"/>
        <v>0</v>
      </c>
      <c r="U23" s="363">
        <f t="shared" si="29"/>
        <v>0</v>
      </c>
      <c r="V23" s="363" t="e">
        <f t="shared" si="30"/>
        <v>#DIV/0!</v>
      </c>
      <c r="W23" s="363">
        <f t="shared" si="31"/>
        <v>0</v>
      </c>
      <c r="X23" s="363">
        <f t="shared" si="32"/>
        <v>0</v>
      </c>
      <c r="Y23" s="363">
        <f t="shared" si="33"/>
        <v>0</v>
      </c>
      <c r="Z23" s="363">
        <f t="shared" si="34"/>
        <v>0</v>
      </c>
      <c r="AA23" s="363">
        <f t="shared" si="35"/>
        <v>0</v>
      </c>
      <c r="AB23" s="41"/>
      <c r="AC23" s="39"/>
      <c r="AD23" s="39"/>
      <c r="AE23" s="39"/>
      <c r="AF23" s="39"/>
      <c r="AG23" s="39"/>
    </row>
    <row r="24" spans="1:33" ht="15" customHeight="1">
      <c r="A24" s="277" t="s">
        <v>61</v>
      </c>
      <c r="B24" s="361">
        <f>SUMIF('4-Basis ruimtestaat'!B:B,'2-Kosten per locatie'!A24,'4-Basis ruimtestaat'!I:I)-SUMIFS('4-Basis ruimtestaat'!I:I,'4-Basis ruimtestaat'!B:B,'2-Kosten per locatie'!A24,'4-Basis ruimtestaat'!K:K,"nio")</f>
        <v>67.600000000000023</v>
      </c>
      <c r="C24" s="208">
        <v>1</v>
      </c>
      <c r="D24" s="209">
        <f>_xlfn.MAXIFS('4-Basis ruimtestaat'!K:K,'4-Basis ruimtestaat'!B:B,'2-Kosten per locatie'!A24)</f>
        <v>213</v>
      </c>
      <c r="E24" s="209">
        <f>_xlfn.MAXIFS('4-Basis ruimtestaat'!L:L,'4-Basis ruimtestaat'!B:B,'2-Kosten per locatie'!A24)</f>
        <v>45</v>
      </c>
      <c r="F24" s="209">
        <f>_xlfn.MAXIFS('4-Basis ruimtestaat'!M:M,'4-Basis ruimtestaat'!B:B,'2-Kosten per locatie'!A24)</f>
        <v>87</v>
      </c>
      <c r="G24" s="209">
        <f>_xlfn.MAXIFS('4-Basis ruimtestaat'!N:N,'4-Basis ruimtestaat'!B:B,'2-Kosten per locatie'!A24)</f>
        <v>22</v>
      </c>
      <c r="H24" s="209">
        <f>_xlfn.MAXIFS('4-Basis ruimtestaat'!O:O,'4-Basis ruimtestaat'!B:B,'2-Kosten per locatie'!A24)</f>
        <v>8</v>
      </c>
      <c r="I24" s="209">
        <f>_xlfn.MAXIFS('4-Basis ruimtestaat'!P:P,'4-Basis ruimtestaat'!B:B,'2-Kosten per locatie'!A24)</f>
        <v>4</v>
      </c>
      <c r="J24" s="363" t="e">
        <f>SUMIF('4-Basis ruimtestaat'!B:B,'2-Kosten per locatie'!A24,'4-Basis ruimtestaat'!Q:Q)</f>
        <v>#DIV/0!</v>
      </c>
      <c r="K24" s="363" t="e">
        <f>SUMIF('4-Basis ruimtestaat'!B:B,'2-Kosten per locatie'!A24,'4-Basis ruimtestaat'!R:R)</f>
        <v>#DIV/0!</v>
      </c>
      <c r="L24" s="363" t="e">
        <f>SUMIF('4-Basis ruimtestaat'!B:B,'2-Kosten per locatie'!A24,'4-Basis ruimtestaat'!S:S)</f>
        <v>#DIV/0!</v>
      </c>
      <c r="M24" s="363" t="e">
        <f>SUMIF('4-Basis ruimtestaat'!B:B,'2-Kosten per locatie'!A24,'4-Basis ruimtestaat'!T:T)</f>
        <v>#DIV/0!</v>
      </c>
      <c r="N24" s="363" t="e">
        <f>SUMIF('4-Basis ruimtestaat'!B:B,'2-Kosten per locatie'!A24,'4-Basis ruimtestaat'!U:U)</f>
        <v>#DIV/0!</v>
      </c>
      <c r="O24" s="363" t="e">
        <f>SUMIF('4-Basis ruimtestaat'!B:B,'2-Kosten per locatie'!A24,'4-Basis ruimtestaat'!V:V)</f>
        <v>#DIV/0!</v>
      </c>
      <c r="P24" s="363" t="e">
        <f t="shared" si="24"/>
        <v>#DIV/0!</v>
      </c>
      <c r="Q24" s="363" t="e">
        <f t="shared" si="25"/>
        <v>#DIV/0!</v>
      </c>
      <c r="R24" s="363" t="e">
        <f t="shared" si="26"/>
        <v>#DIV/0!</v>
      </c>
      <c r="S24" s="363" t="e">
        <f t="shared" si="27"/>
        <v>#DIV/0!</v>
      </c>
      <c r="T24" s="363" t="e">
        <f t="shared" si="28"/>
        <v>#DIV/0!</v>
      </c>
      <c r="U24" s="363" t="e">
        <f t="shared" si="29"/>
        <v>#DIV/0!</v>
      </c>
      <c r="V24" s="363" t="e">
        <f t="shared" si="30"/>
        <v>#DIV/0!</v>
      </c>
      <c r="W24" s="363" t="e">
        <f t="shared" si="31"/>
        <v>#DIV/0!</v>
      </c>
      <c r="X24" s="363" t="e">
        <f t="shared" si="32"/>
        <v>#DIV/0!</v>
      </c>
      <c r="Y24" s="363" t="e">
        <f t="shared" si="33"/>
        <v>#DIV/0!</v>
      </c>
      <c r="Z24" s="363" t="e">
        <f t="shared" si="34"/>
        <v>#DIV/0!</v>
      </c>
      <c r="AA24" s="363" t="e">
        <f t="shared" si="35"/>
        <v>#DIV/0!</v>
      </c>
      <c r="AB24" s="41"/>
      <c r="AC24" s="39"/>
      <c r="AD24" s="39"/>
      <c r="AE24" s="39"/>
      <c r="AF24" s="39"/>
      <c r="AG24" s="39"/>
    </row>
    <row r="25" spans="1:33" ht="15" customHeight="1">
      <c r="A25" s="278" t="s">
        <v>62</v>
      </c>
      <c r="B25" s="361">
        <f>SUMIF('4-Basis ruimtestaat'!B:B,'2-Kosten per locatie'!A25,'4-Basis ruimtestaat'!I:I)</f>
        <v>0</v>
      </c>
      <c r="C25" s="208">
        <v>1</v>
      </c>
      <c r="D25" s="209">
        <f>_xlfn.MAXIFS('4-Basis ruimtestaat'!K:K,'4-Basis ruimtestaat'!B:B,'2-Kosten per locatie'!A25)</f>
        <v>0</v>
      </c>
      <c r="E25" s="209">
        <f>_xlfn.MAXIFS('4-Basis ruimtestaat'!L:L,'4-Basis ruimtestaat'!B:B,'2-Kosten per locatie'!A25)</f>
        <v>0</v>
      </c>
      <c r="F25" s="209">
        <f>_xlfn.MAXIFS('4-Basis ruimtestaat'!M:M,'4-Basis ruimtestaat'!B:B,'2-Kosten per locatie'!A25)</f>
        <v>0</v>
      </c>
      <c r="G25" s="209">
        <f>_xlfn.MAXIFS('4-Basis ruimtestaat'!N:N,'4-Basis ruimtestaat'!B:B,'2-Kosten per locatie'!A25)</f>
        <v>0</v>
      </c>
      <c r="H25" s="209">
        <f>_xlfn.MAXIFS('4-Basis ruimtestaat'!O:O,'4-Basis ruimtestaat'!B:B,'2-Kosten per locatie'!A25)</f>
        <v>0</v>
      </c>
      <c r="I25" s="209">
        <f>_xlfn.MAXIFS('4-Basis ruimtestaat'!P:P,'4-Basis ruimtestaat'!B:B,'2-Kosten per locatie'!A25)</f>
        <v>0</v>
      </c>
      <c r="J25" s="363">
        <f>SUMIF('4-Basis ruimtestaat'!B:B,'2-Kosten per locatie'!A25,'4-Basis ruimtestaat'!Q:Q)</f>
        <v>0</v>
      </c>
      <c r="K25" s="363">
        <f>SUMIF('4-Basis ruimtestaat'!B:B,'2-Kosten per locatie'!A25,'4-Basis ruimtestaat'!R:R)</f>
        <v>0</v>
      </c>
      <c r="L25" s="363">
        <f>SUMIF('4-Basis ruimtestaat'!B:B,'2-Kosten per locatie'!A25,'4-Basis ruimtestaat'!S:S)</f>
        <v>0</v>
      </c>
      <c r="M25" s="363">
        <f>SUMIF('4-Basis ruimtestaat'!B:B,'2-Kosten per locatie'!A25,'4-Basis ruimtestaat'!T:T)</f>
        <v>0</v>
      </c>
      <c r="N25" s="363">
        <f>SUMIF('4-Basis ruimtestaat'!B:B,'2-Kosten per locatie'!A25,'4-Basis ruimtestaat'!U:U)</f>
        <v>0</v>
      </c>
      <c r="O25" s="363">
        <f>SUMIF('4-Basis ruimtestaat'!B:B,'2-Kosten per locatie'!A25,'4-Basis ruimtestaat'!V:V)</f>
        <v>0</v>
      </c>
      <c r="P25" s="363">
        <f t="shared" si="24"/>
        <v>0</v>
      </c>
      <c r="Q25" s="363">
        <f t="shared" si="25"/>
        <v>0</v>
      </c>
      <c r="R25" s="363">
        <f t="shared" si="26"/>
        <v>0</v>
      </c>
      <c r="S25" s="363">
        <f t="shared" si="27"/>
        <v>0</v>
      </c>
      <c r="T25" s="363">
        <f t="shared" si="28"/>
        <v>0</v>
      </c>
      <c r="U25" s="363">
        <f t="shared" si="29"/>
        <v>0</v>
      </c>
      <c r="V25" s="363">
        <f t="shared" si="30"/>
        <v>0</v>
      </c>
      <c r="W25" s="363">
        <f t="shared" si="31"/>
        <v>0</v>
      </c>
      <c r="X25" s="363">
        <f t="shared" si="32"/>
        <v>0</v>
      </c>
      <c r="Y25" s="363">
        <f t="shared" si="33"/>
        <v>0</v>
      </c>
      <c r="Z25" s="363">
        <f t="shared" si="34"/>
        <v>0</v>
      </c>
      <c r="AA25" s="363">
        <f t="shared" si="35"/>
        <v>0</v>
      </c>
      <c r="AB25" s="41"/>
      <c r="AC25" s="39"/>
      <c r="AD25" s="39"/>
      <c r="AE25" s="39"/>
      <c r="AF25" s="39"/>
      <c r="AG25" s="39"/>
    </row>
    <row r="26" spans="1:33" s="56" customFormat="1" ht="15" customHeight="1">
      <c r="A26" s="279" t="s">
        <v>63</v>
      </c>
      <c r="B26" s="362">
        <f>SUM(B15:B25)</f>
        <v>4475.7638999999999</v>
      </c>
      <c r="C26" s="210"/>
      <c r="D26" s="211"/>
      <c r="E26" s="211"/>
      <c r="F26" s="211"/>
      <c r="G26" s="211"/>
      <c r="H26" s="211"/>
      <c r="I26" s="211"/>
      <c r="J26" s="364" t="e">
        <f t="shared" ref="J26:AA26" si="36">SUM(J15:J25)</f>
        <v>#DIV/0!</v>
      </c>
      <c r="K26" s="364" t="e">
        <f t="shared" si="36"/>
        <v>#DIV/0!</v>
      </c>
      <c r="L26" s="364" t="e">
        <f t="shared" si="36"/>
        <v>#DIV/0!</v>
      </c>
      <c r="M26" s="364" t="e">
        <f t="shared" si="36"/>
        <v>#DIV/0!</v>
      </c>
      <c r="N26" s="364" t="e">
        <f t="shared" si="36"/>
        <v>#DIV/0!</v>
      </c>
      <c r="O26" s="364" t="e">
        <f t="shared" si="36"/>
        <v>#DIV/0!</v>
      </c>
      <c r="P26" s="364" t="e">
        <f t="shared" si="36"/>
        <v>#DIV/0!</v>
      </c>
      <c r="Q26" s="364" t="e">
        <f t="shared" si="36"/>
        <v>#DIV/0!</v>
      </c>
      <c r="R26" s="364" t="e">
        <f t="shared" si="36"/>
        <v>#DIV/0!</v>
      </c>
      <c r="S26" s="364" t="e">
        <f t="shared" si="36"/>
        <v>#DIV/0!</v>
      </c>
      <c r="T26" s="364" t="e">
        <f t="shared" si="36"/>
        <v>#DIV/0!</v>
      </c>
      <c r="U26" s="364" t="e">
        <f t="shared" si="36"/>
        <v>#DIV/0!</v>
      </c>
      <c r="V26" s="364" t="e">
        <f t="shared" si="36"/>
        <v>#DIV/0!</v>
      </c>
      <c r="W26" s="364" t="e">
        <f t="shared" si="36"/>
        <v>#DIV/0!</v>
      </c>
      <c r="X26" s="364" t="e">
        <f t="shared" si="36"/>
        <v>#DIV/0!</v>
      </c>
      <c r="Y26" s="364" t="e">
        <f t="shared" si="36"/>
        <v>#DIV/0!</v>
      </c>
      <c r="Z26" s="364" t="e">
        <f t="shared" si="36"/>
        <v>#DIV/0!</v>
      </c>
      <c r="AA26" s="364" t="e">
        <f t="shared" si="36"/>
        <v>#DIV/0!</v>
      </c>
      <c r="AB26" s="41"/>
    </row>
    <row r="27" spans="1:33" s="52" customFormat="1" ht="14.1" customHeight="1">
      <c r="AD27" s="39"/>
    </row>
    <row r="28" spans="1:33" ht="83.45" customHeight="1">
      <c r="A28" s="217" t="s">
        <v>25</v>
      </c>
      <c r="B28" s="218" t="s">
        <v>64</v>
      </c>
      <c r="C28" s="218" t="s">
        <v>65</v>
      </c>
      <c r="D28" s="218" t="s">
        <v>66</v>
      </c>
      <c r="E28" s="218" t="s">
        <v>67</v>
      </c>
      <c r="F28" s="218" t="s">
        <v>68</v>
      </c>
      <c r="G28" s="218" t="s">
        <v>69</v>
      </c>
      <c r="H28" s="218" t="s">
        <v>70</v>
      </c>
      <c r="I28" s="218" t="s">
        <v>71</v>
      </c>
      <c r="J28" s="218" t="s">
        <v>72</v>
      </c>
      <c r="K28" s="218" t="s">
        <v>73</v>
      </c>
      <c r="L28" s="218" t="s">
        <v>74</v>
      </c>
      <c r="M28" s="216" t="s">
        <v>75</v>
      </c>
      <c r="N28" s="216" t="s">
        <v>76</v>
      </c>
      <c r="O28" s="216" t="s">
        <v>77</v>
      </c>
      <c r="P28" s="218" t="s">
        <v>78</v>
      </c>
      <c r="Q28" s="218" t="s">
        <v>79</v>
      </c>
      <c r="R28" s="218" t="s">
        <v>80</v>
      </c>
      <c r="S28" s="218" t="s">
        <v>81</v>
      </c>
      <c r="U28" s="394"/>
      <c r="V28" s="67"/>
      <c r="AF28" s="52"/>
      <c r="AG28" s="39"/>
    </row>
    <row r="29" spans="1:33" s="52" customFormat="1" ht="15" customHeight="1">
      <c r="A29" s="277" t="str">
        <f t="shared" ref="A29:A31" si="37">A15</f>
        <v>De Bonte veer, gymzaal</v>
      </c>
      <c r="B29" s="53" t="e">
        <f>(J15+P15)*'6-Opbouw uurtarief productie'!$E$47</f>
        <v>#DIV/0!</v>
      </c>
      <c r="C29" s="53" t="e">
        <f>(K15+Q15)*'6-Opbouw uurtarief productie'!$E$47</f>
        <v>#DIV/0!</v>
      </c>
      <c r="D29" s="54" t="e">
        <f>(L15+R15)*'6-Opbouw uurtarief productie'!$E$51</f>
        <v>#DIV/0!</v>
      </c>
      <c r="E29" s="54" t="e">
        <f>(M15+S15)*'6-Opbouw uurtarief productie'!$E$51</f>
        <v>#DIV/0!</v>
      </c>
      <c r="F29" s="54" t="e">
        <f>(N15+T15)*'6-Opbouw uurtarief productie'!$E$53</f>
        <v>#DIV/0!</v>
      </c>
      <c r="G29" s="54" t="e">
        <f>(O15+U15)*'6-Opbouw uurtarief productie'!$E$53</f>
        <v>#DIV/0!</v>
      </c>
      <c r="H29" s="55" t="e">
        <f>SUM(B29:G29)</f>
        <v>#DIV/0!</v>
      </c>
      <c r="I29" s="55" t="e">
        <f>V15*'7-Opbouw uurtarief toezicht'!$E$46</f>
        <v>#DIV/0!</v>
      </c>
      <c r="J29" s="55" t="e">
        <f>W15*'7-Opbouw uurtarief toezicht'!$E$46</f>
        <v>#DIV/0!</v>
      </c>
      <c r="K29" s="280" t="e">
        <f>X15*'7-Opbouw uurtarief toezicht'!$E$50</f>
        <v>#DIV/0!</v>
      </c>
      <c r="L29" s="280" t="e">
        <f>Y15*'7-Opbouw uurtarief toezicht'!$E$50</f>
        <v>#DIV/0!</v>
      </c>
      <c r="M29" s="212" t="e">
        <f>Z15*'7-Opbouw uurtarief toezicht'!$E$52</f>
        <v>#DIV/0!</v>
      </c>
      <c r="N29" s="212" t="e">
        <f>AA15*'7-Opbouw uurtarief toezicht'!$E$52</f>
        <v>#DIV/0!</v>
      </c>
      <c r="O29" s="213" t="e">
        <f>SUM(I29:N29)</f>
        <v>#DIV/0!</v>
      </c>
      <c r="P29" s="280">
        <f>SUMIF('8-Additionele kosten'!A:A,'2-Kosten per locatie'!A29,'8-Additionele kosten'!H:H)</f>
        <v>0</v>
      </c>
      <c r="Q29" s="280">
        <f>SUMIF('10-Glasbewassing'!A:A,'2-Kosten per locatie'!A29,'10-Glasbewassing'!H:H)</f>
        <v>0</v>
      </c>
      <c r="R29" s="280" t="e">
        <f>H29+O29+P29+Q29</f>
        <v>#DIV/0!</v>
      </c>
      <c r="S29" s="402" t="e">
        <f>R29/12</f>
        <v>#DIV/0!</v>
      </c>
      <c r="T29" s="40"/>
      <c r="U29" s="392"/>
      <c r="V29" s="392"/>
      <c r="W29" s="40"/>
      <c r="X29" s="40"/>
    </row>
    <row r="30" spans="1:33" ht="15" customHeight="1">
      <c r="A30" s="277" t="str">
        <f t="shared" si="37"/>
        <v>De Drecht, Sporthal</v>
      </c>
      <c r="B30" s="53" t="e">
        <f>(J16+P16)*'6-Opbouw uurtarief productie'!$E$47</f>
        <v>#DIV/0!</v>
      </c>
      <c r="C30" s="53" t="e">
        <f>(K16+Q16)*'6-Opbouw uurtarief productie'!$E$47</f>
        <v>#DIV/0!</v>
      </c>
      <c r="D30" s="54" t="e">
        <f>(L16+R16)*'6-Opbouw uurtarief productie'!$E$51</f>
        <v>#DIV/0!</v>
      </c>
      <c r="E30" s="54" t="e">
        <f>(M16+S16)*'6-Opbouw uurtarief productie'!$E$51</f>
        <v>#DIV/0!</v>
      </c>
      <c r="F30" s="54" t="e">
        <f>(N16+T16)*'6-Opbouw uurtarief productie'!$E$53</f>
        <v>#DIV/0!</v>
      </c>
      <c r="G30" s="54" t="e">
        <f>(O16+U16)*'6-Opbouw uurtarief productie'!$E$53</f>
        <v>#DIV/0!</v>
      </c>
      <c r="H30" s="55" t="e">
        <f t="shared" ref="H30:H31" si="38">SUM(B30:G30)</f>
        <v>#DIV/0!</v>
      </c>
      <c r="I30" s="55" t="e">
        <f>V16*'7-Opbouw uurtarief toezicht'!$E$46</f>
        <v>#DIV/0!</v>
      </c>
      <c r="J30" s="55" t="e">
        <f>W16*'7-Opbouw uurtarief toezicht'!$E$46</f>
        <v>#DIV/0!</v>
      </c>
      <c r="K30" s="280" t="e">
        <f>X16*'7-Opbouw uurtarief toezicht'!$E$50</f>
        <v>#DIV/0!</v>
      </c>
      <c r="L30" s="280" t="e">
        <f>Y16*'7-Opbouw uurtarief toezicht'!$E$50</f>
        <v>#DIV/0!</v>
      </c>
      <c r="M30" s="212" t="e">
        <f>Z16*'7-Opbouw uurtarief toezicht'!$E$52</f>
        <v>#DIV/0!</v>
      </c>
      <c r="N30" s="212" t="e">
        <f>AA16*'7-Opbouw uurtarief toezicht'!$E$52</f>
        <v>#DIV/0!</v>
      </c>
      <c r="O30" s="213" t="e">
        <f t="shared" ref="O30:O31" si="39">SUM(I30:N30)</f>
        <v>#DIV/0!</v>
      </c>
      <c r="P30" s="280">
        <f>SUMIF('8-Additionele kosten'!A:A,'2-Kosten per locatie'!A30,'8-Additionele kosten'!H:H)</f>
        <v>0</v>
      </c>
      <c r="Q30" s="280">
        <f>SUMIF('10-Glasbewassing'!A:A,'2-Kosten per locatie'!A30,'10-Glasbewassing'!H:H)</f>
        <v>0</v>
      </c>
      <c r="R30" s="280" t="e">
        <f t="shared" ref="R30:R39" si="40">H30+O30+P30+Q30</f>
        <v>#DIV/0!</v>
      </c>
      <c r="S30" s="280" t="e">
        <f t="shared" ref="S30:S31" si="41">R30/12</f>
        <v>#DIV/0!</v>
      </c>
      <c r="U30" s="392"/>
      <c r="V30" s="392"/>
      <c r="AF30" s="52"/>
      <c r="AG30" s="39"/>
    </row>
    <row r="31" spans="1:33" ht="15" customHeight="1">
      <c r="A31" s="277" t="str">
        <f t="shared" si="37"/>
        <v>De Wiekslag Enkhuizen</v>
      </c>
      <c r="B31" s="53" t="e">
        <f>(J17+P17)*'6-Opbouw uurtarief productie'!$E$47</f>
        <v>#DIV/0!</v>
      </c>
      <c r="C31" s="53" t="e">
        <f>(K17+Q17)*'6-Opbouw uurtarief productie'!$E$47</f>
        <v>#DIV/0!</v>
      </c>
      <c r="D31" s="54" t="e">
        <f>(L17+R17)*'6-Opbouw uurtarief productie'!$E$51</f>
        <v>#DIV/0!</v>
      </c>
      <c r="E31" s="54" t="e">
        <f>(M17+S17)*'6-Opbouw uurtarief productie'!$E$51</f>
        <v>#DIV/0!</v>
      </c>
      <c r="F31" s="54" t="e">
        <f>(N17+T17)*'6-Opbouw uurtarief productie'!$E$53</f>
        <v>#DIV/0!</v>
      </c>
      <c r="G31" s="54" t="e">
        <f>(O17+U17)*'6-Opbouw uurtarief productie'!$E$53</f>
        <v>#DIV/0!</v>
      </c>
      <c r="H31" s="55" t="e">
        <f t="shared" si="38"/>
        <v>#DIV/0!</v>
      </c>
      <c r="I31" s="55" t="e">
        <f>V17*'7-Opbouw uurtarief toezicht'!$E$46</f>
        <v>#DIV/0!</v>
      </c>
      <c r="J31" s="55" t="e">
        <f>W17*'7-Opbouw uurtarief toezicht'!$E$46</f>
        <v>#DIV/0!</v>
      </c>
      <c r="K31" s="280" t="e">
        <f>X17*'7-Opbouw uurtarief toezicht'!$E$50</f>
        <v>#DIV/0!</v>
      </c>
      <c r="L31" s="280" t="e">
        <f>Y17*'7-Opbouw uurtarief toezicht'!$E$50</f>
        <v>#DIV/0!</v>
      </c>
      <c r="M31" s="212" t="e">
        <f>Z17*'7-Opbouw uurtarief toezicht'!$E$52</f>
        <v>#DIV/0!</v>
      </c>
      <c r="N31" s="212" t="e">
        <f>AA17*'7-Opbouw uurtarief toezicht'!$E$52</f>
        <v>#DIV/0!</v>
      </c>
      <c r="O31" s="213" t="e">
        <f t="shared" si="39"/>
        <v>#DIV/0!</v>
      </c>
      <c r="P31" s="280">
        <f>SUMIF('8-Additionele kosten'!A:A,'2-Kosten per locatie'!A31,'8-Additionele kosten'!H:H)</f>
        <v>0</v>
      </c>
      <c r="Q31" s="280">
        <f>SUMIF('10-Glasbewassing'!A:A,'2-Kosten per locatie'!A31,'10-Glasbewassing'!H:H)</f>
        <v>0</v>
      </c>
      <c r="R31" s="280" t="e">
        <f t="shared" si="40"/>
        <v>#DIV/0!</v>
      </c>
      <c r="S31" s="280" t="e">
        <f t="shared" si="41"/>
        <v>#DIV/0!</v>
      </c>
      <c r="U31" s="392"/>
      <c r="V31" s="392"/>
      <c r="AF31" s="52"/>
      <c r="AG31" s="39"/>
    </row>
    <row r="32" spans="1:33" ht="15" customHeight="1">
      <c r="A32" s="276" t="s">
        <v>55</v>
      </c>
      <c r="B32" s="53" t="e">
        <f>(J18+P18)*'6-Opbouw uurtarief productie'!$E$47</f>
        <v>#DIV/0!</v>
      </c>
      <c r="C32" s="53" t="e">
        <f>(K18+Q18)*'6-Opbouw uurtarief productie'!$E$47</f>
        <v>#DIV/0!</v>
      </c>
      <c r="D32" s="54" t="e">
        <f>(L18+R18)*'6-Opbouw uurtarief productie'!$E$51</f>
        <v>#DIV/0!</v>
      </c>
      <c r="E32" s="54" t="e">
        <f>(M18+S18)*'6-Opbouw uurtarief productie'!$E$51</f>
        <v>#DIV/0!</v>
      </c>
      <c r="F32" s="54" t="e">
        <f>(N18+T18)*'6-Opbouw uurtarief productie'!$E$53</f>
        <v>#DIV/0!</v>
      </c>
      <c r="G32" s="54" t="e">
        <f>(O18+U18)*'6-Opbouw uurtarief productie'!$E$53</f>
        <v>#DIV/0!</v>
      </c>
      <c r="H32" s="55" t="e">
        <f t="shared" ref="H32" si="42">SUM(B32:G32)</f>
        <v>#DIV/0!</v>
      </c>
      <c r="I32" s="55" t="e">
        <f>V18*'7-Opbouw uurtarief toezicht'!$E$46</f>
        <v>#DIV/0!</v>
      </c>
      <c r="J32" s="55" t="e">
        <f>W18*'7-Opbouw uurtarief toezicht'!$E$46</f>
        <v>#DIV/0!</v>
      </c>
      <c r="K32" s="280" t="e">
        <f>X18*'7-Opbouw uurtarief toezicht'!$E$50</f>
        <v>#DIV/0!</v>
      </c>
      <c r="L32" s="280" t="e">
        <f>Y18*'7-Opbouw uurtarief toezicht'!$E$50</f>
        <v>#DIV/0!</v>
      </c>
      <c r="M32" s="212" t="e">
        <f>Z18*'7-Opbouw uurtarief toezicht'!$E$52</f>
        <v>#DIV/0!</v>
      </c>
      <c r="N32" s="212" t="e">
        <f>AA18*'7-Opbouw uurtarief toezicht'!$E$52</f>
        <v>#DIV/0!</v>
      </c>
      <c r="O32" s="213" t="e">
        <f t="shared" ref="O32" si="43">SUM(I32:N32)</f>
        <v>#DIV/0!</v>
      </c>
      <c r="P32" s="280">
        <f>SUMIF('8-Additionele kosten'!A:A,'2-Kosten per locatie'!A32,'8-Additionele kosten'!H:H)</f>
        <v>0</v>
      </c>
      <c r="Q32" s="280">
        <f>SUMIF('10-Glasbewassing'!A:A,'2-Kosten per locatie'!A32,'10-Glasbewassing'!H:H)</f>
        <v>0</v>
      </c>
      <c r="R32" s="280" t="e">
        <f t="shared" ref="R32" si="44">H32+O32+P32+Q32</f>
        <v>#DIV/0!</v>
      </c>
      <c r="S32" s="280" t="e">
        <f t="shared" ref="S32" si="45">R32/12</f>
        <v>#DIV/0!</v>
      </c>
      <c r="U32" s="392"/>
      <c r="V32" s="392"/>
      <c r="AF32" s="52"/>
      <c r="AG32" s="39"/>
    </row>
    <row r="33" spans="1:33" ht="15" customHeight="1">
      <c r="A33" s="277" t="str">
        <f t="shared" ref="A33:A39" si="46">A19</f>
        <v>Goudenregenstraat SITM</v>
      </c>
      <c r="B33" s="53" t="e">
        <f>(J19+P19)*'6-Opbouw uurtarief productie'!$E$47</f>
        <v>#DIV/0!</v>
      </c>
      <c r="C33" s="53" t="e">
        <f>(K19+Q19)*'6-Opbouw uurtarief productie'!$E$47</f>
        <v>#DIV/0!</v>
      </c>
      <c r="D33" s="54" t="e">
        <f>(L19+R19)*'6-Opbouw uurtarief productie'!$E$51</f>
        <v>#DIV/0!</v>
      </c>
      <c r="E33" s="54" t="e">
        <f>(M19+S19)*'6-Opbouw uurtarief productie'!$E$51</f>
        <v>#DIV/0!</v>
      </c>
      <c r="F33" s="54" t="e">
        <f>(N19+T19)*'6-Opbouw uurtarief productie'!$E$53</f>
        <v>#DIV/0!</v>
      </c>
      <c r="G33" s="54" t="e">
        <f>(O19+U19)*'6-Opbouw uurtarief productie'!$E$53</f>
        <v>#DIV/0!</v>
      </c>
      <c r="H33" s="55" t="e">
        <f t="shared" ref="H33:H39" si="47">SUM(B33:G33)</f>
        <v>#DIV/0!</v>
      </c>
      <c r="I33" s="55" t="e">
        <f>V19*'7-Opbouw uurtarief toezicht'!$E$46</f>
        <v>#DIV/0!</v>
      </c>
      <c r="J33" s="55" t="e">
        <f>W19*'7-Opbouw uurtarief toezicht'!$E$46</f>
        <v>#DIV/0!</v>
      </c>
      <c r="K33" s="280" t="e">
        <f>X19*'7-Opbouw uurtarief toezicht'!$E$50</f>
        <v>#DIV/0!</v>
      </c>
      <c r="L33" s="280" t="e">
        <f>Y19*'7-Opbouw uurtarief toezicht'!$E$50</f>
        <v>#DIV/0!</v>
      </c>
      <c r="M33" s="212" t="e">
        <f>Z19*'7-Opbouw uurtarief toezicht'!$E$52</f>
        <v>#DIV/0!</v>
      </c>
      <c r="N33" s="212" t="e">
        <f>AA19*'7-Opbouw uurtarief toezicht'!$E$52</f>
        <v>#DIV/0!</v>
      </c>
      <c r="O33" s="213" t="e">
        <f t="shared" ref="O33:O39" si="48">SUM(I33:N33)</f>
        <v>#DIV/0!</v>
      </c>
      <c r="P33" s="280">
        <f>SUMIF('8-Additionele kosten'!A:A,'2-Kosten per locatie'!A33,'8-Additionele kosten'!H:H)</f>
        <v>0</v>
      </c>
      <c r="Q33" s="280">
        <f>SUMIF('10-Glasbewassing'!A:A,'2-Kosten per locatie'!A33,'10-Glasbewassing'!H:H)</f>
        <v>0</v>
      </c>
      <c r="R33" s="280" t="e">
        <f t="shared" si="40"/>
        <v>#DIV/0!</v>
      </c>
      <c r="S33" s="280" t="e">
        <f t="shared" ref="S33:S39" si="49">R33/12</f>
        <v>#DIV/0!</v>
      </c>
      <c r="U33" s="392"/>
      <c r="V33" s="392"/>
      <c r="AF33" s="52"/>
      <c r="AG33" s="39"/>
    </row>
    <row r="34" spans="1:33" ht="15" customHeight="1">
      <c r="A34" s="277" t="str">
        <f t="shared" si="46"/>
        <v>Havenkantoor</v>
      </c>
      <c r="B34" s="53" t="e">
        <f>(J20+P20)*'6-Opbouw uurtarief productie'!$E$47</f>
        <v>#DIV/0!</v>
      </c>
      <c r="C34" s="53" t="e">
        <f>(K20+Q20)*'6-Opbouw uurtarief productie'!$E$47</f>
        <v>#DIV/0!</v>
      </c>
      <c r="D34" s="54" t="e">
        <f>(L20+R20)*'6-Opbouw uurtarief productie'!$E$51</f>
        <v>#DIV/0!</v>
      </c>
      <c r="E34" s="54" t="e">
        <f>(M20+S20)*'6-Opbouw uurtarief productie'!$E$51</f>
        <v>#DIV/0!</v>
      </c>
      <c r="F34" s="54" t="e">
        <f>(N20+T20)*'6-Opbouw uurtarief productie'!$E$53</f>
        <v>#DIV/0!</v>
      </c>
      <c r="G34" s="54" t="e">
        <f>(O20+U20)*'6-Opbouw uurtarief productie'!$E$53</f>
        <v>#DIV/0!</v>
      </c>
      <c r="H34" s="55" t="e">
        <f t="shared" si="47"/>
        <v>#DIV/0!</v>
      </c>
      <c r="I34" s="55" t="e">
        <f>V20*'7-Opbouw uurtarief toezicht'!$E$46</f>
        <v>#DIV/0!</v>
      </c>
      <c r="J34" s="55" t="e">
        <f>W20*'7-Opbouw uurtarief toezicht'!$E$46</f>
        <v>#DIV/0!</v>
      </c>
      <c r="K34" s="280" t="e">
        <f>X20*'7-Opbouw uurtarief toezicht'!$E$50</f>
        <v>#DIV/0!</v>
      </c>
      <c r="L34" s="280" t="e">
        <f>Y20*'7-Opbouw uurtarief toezicht'!$E$50</f>
        <v>#DIV/0!</v>
      </c>
      <c r="M34" s="212" t="e">
        <f>Z20*'7-Opbouw uurtarief toezicht'!$E$52</f>
        <v>#DIV/0!</v>
      </c>
      <c r="N34" s="212" t="e">
        <f>AA20*'7-Opbouw uurtarief toezicht'!$E$52</f>
        <v>#DIV/0!</v>
      </c>
      <c r="O34" s="213" t="e">
        <f t="shared" si="48"/>
        <v>#DIV/0!</v>
      </c>
      <c r="P34" s="280">
        <f>SUMIF('8-Additionele kosten'!A:A,'2-Kosten per locatie'!A34,'8-Additionele kosten'!H:H)</f>
        <v>0</v>
      </c>
      <c r="Q34" s="280">
        <f>SUMIF('10-Glasbewassing'!A:A,'2-Kosten per locatie'!A34,'10-Glasbewassing'!H:H)</f>
        <v>0</v>
      </c>
      <c r="R34" s="280" t="e">
        <f t="shared" si="40"/>
        <v>#DIV/0!</v>
      </c>
      <c r="S34" s="280" t="e">
        <f t="shared" si="49"/>
        <v>#DIV/0!</v>
      </c>
      <c r="U34" s="392"/>
      <c r="V34" s="392"/>
      <c r="AF34" s="52"/>
      <c r="AG34" s="39"/>
    </row>
    <row r="35" spans="1:33" ht="15" customHeight="1">
      <c r="A35" s="277" t="str">
        <f t="shared" si="46"/>
        <v>Kruitmolen Handhaving Toezicht</v>
      </c>
      <c r="B35" s="53" t="e">
        <f>(J21+P21)*'6-Opbouw uurtarief productie'!$E$47</f>
        <v>#DIV/0!</v>
      </c>
      <c r="C35" s="53" t="e">
        <f>(K21+Q21)*'6-Opbouw uurtarief productie'!$E$47</f>
        <v>#DIV/0!</v>
      </c>
      <c r="D35" s="54" t="e">
        <f>(L21+R21)*'6-Opbouw uurtarief productie'!$E$51</f>
        <v>#DIV/0!</v>
      </c>
      <c r="E35" s="54" t="e">
        <f>(M21+S21)*'6-Opbouw uurtarief productie'!$E$51</f>
        <v>#DIV/0!</v>
      </c>
      <c r="F35" s="54" t="e">
        <f>(N21+T21)*'6-Opbouw uurtarief productie'!$E$53</f>
        <v>#DIV/0!</v>
      </c>
      <c r="G35" s="54" t="e">
        <f>(O21+U21)*'6-Opbouw uurtarief productie'!$E$53</f>
        <v>#DIV/0!</v>
      </c>
      <c r="H35" s="55" t="e">
        <f t="shared" si="47"/>
        <v>#DIV/0!</v>
      </c>
      <c r="I35" s="55" t="e">
        <f>V21*'7-Opbouw uurtarief toezicht'!$E$46</f>
        <v>#DIV/0!</v>
      </c>
      <c r="J35" s="55" t="e">
        <f>W21*'7-Opbouw uurtarief toezicht'!$E$46</f>
        <v>#DIV/0!</v>
      </c>
      <c r="K35" s="280" t="e">
        <f>X21*'7-Opbouw uurtarief toezicht'!$E$50</f>
        <v>#DIV/0!</v>
      </c>
      <c r="L35" s="280" t="e">
        <f>Y21*'7-Opbouw uurtarief toezicht'!$E$50</f>
        <v>#DIV/0!</v>
      </c>
      <c r="M35" s="212" t="e">
        <f>Z21*'7-Opbouw uurtarief toezicht'!$E$52</f>
        <v>#DIV/0!</v>
      </c>
      <c r="N35" s="212" t="e">
        <f>AA21*'7-Opbouw uurtarief toezicht'!$E$52</f>
        <v>#DIV/0!</v>
      </c>
      <c r="O35" s="213" t="e">
        <f t="shared" si="48"/>
        <v>#DIV/0!</v>
      </c>
      <c r="P35" s="280">
        <f>SUMIF('8-Additionele kosten'!A:A,'2-Kosten per locatie'!A35,'8-Additionele kosten'!H:H)</f>
        <v>0</v>
      </c>
      <c r="Q35" s="280">
        <f>SUMIF('10-Glasbewassing'!A:A,'2-Kosten per locatie'!A35,'10-Glasbewassing'!H:H)</f>
        <v>0</v>
      </c>
      <c r="R35" s="280" t="e">
        <f t="shared" si="40"/>
        <v>#DIV/0!</v>
      </c>
      <c r="S35" s="280" t="e">
        <f t="shared" si="49"/>
        <v>#DIV/0!</v>
      </c>
      <c r="U35" s="392"/>
      <c r="V35" s="392"/>
      <c r="AF35" s="52"/>
      <c r="AG35" s="39"/>
    </row>
    <row r="36" spans="1:33" ht="15" customHeight="1">
      <c r="A36" s="277" t="str">
        <f t="shared" si="46"/>
        <v>Sportzaal de Sprong</v>
      </c>
      <c r="B36" s="53" t="e">
        <f>(J22+P22)*'6-Opbouw uurtarief productie'!$E$47</f>
        <v>#DIV/0!</v>
      </c>
      <c r="C36" s="53" t="e">
        <f>(K22+Q22)*'6-Opbouw uurtarief productie'!$E$47</f>
        <v>#DIV/0!</v>
      </c>
      <c r="D36" s="54" t="e">
        <f>(L22+R22)*'6-Opbouw uurtarief productie'!$E$51</f>
        <v>#DIV/0!</v>
      </c>
      <c r="E36" s="54" t="e">
        <f>(M22+S22)*'6-Opbouw uurtarief productie'!$E$51</f>
        <v>#DIV/0!</v>
      </c>
      <c r="F36" s="54" t="e">
        <f>(N22+T22)*'6-Opbouw uurtarief productie'!$E$53</f>
        <v>#DIV/0!</v>
      </c>
      <c r="G36" s="54" t="e">
        <f>(O22+U22)*'6-Opbouw uurtarief productie'!$E$53</f>
        <v>#DIV/0!</v>
      </c>
      <c r="H36" s="55" t="e">
        <f t="shared" si="47"/>
        <v>#DIV/0!</v>
      </c>
      <c r="I36" s="55" t="e">
        <f>V22*'7-Opbouw uurtarief toezicht'!$E$46</f>
        <v>#DIV/0!</v>
      </c>
      <c r="J36" s="55" t="e">
        <f>W22*'7-Opbouw uurtarief toezicht'!$E$46</f>
        <v>#DIV/0!</v>
      </c>
      <c r="K36" s="280" t="e">
        <f>X22*'7-Opbouw uurtarief toezicht'!$E$50</f>
        <v>#DIV/0!</v>
      </c>
      <c r="L36" s="280" t="e">
        <f>Y22*'7-Opbouw uurtarief toezicht'!$E$50</f>
        <v>#DIV/0!</v>
      </c>
      <c r="M36" s="212" t="e">
        <f>Z22*'7-Opbouw uurtarief toezicht'!$E$52</f>
        <v>#DIV/0!</v>
      </c>
      <c r="N36" s="212" t="e">
        <f>AA22*'7-Opbouw uurtarief toezicht'!$E$52</f>
        <v>#DIV/0!</v>
      </c>
      <c r="O36" s="213" t="e">
        <f t="shared" si="48"/>
        <v>#DIV/0!</v>
      </c>
      <c r="P36" s="280">
        <f>SUMIF('8-Additionele kosten'!A:A,'2-Kosten per locatie'!A36,'8-Additionele kosten'!H:H)</f>
        <v>0</v>
      </c>
      <c r="Q36" s="280">
        <f>SUMIF('10-Glasbewassing'!A:A,'2-Kosten per locatie'!A36,'10-Glasbewassing'!H:H)</f>
        <v>0</v>
      </c>
      <c r="R36" s="280" t="e">
        <f t="shared" si="40"/>
        <v>#DIV/0!</v>
      </c>
      <c r="S36" s="280" t="e">
        <f t="shared" si="49"/>
        <v>#DIV/0!</v>
      </c>
      <c r="U36" s="392"/>
      <c r="V36" s="392"/>
      <c r="AF36" s="52"/>
      <c r="AG36" s="39"/>
    </row>
    <row r="37" spans="1:33" ht="15" customHeight="1">
      <c r="A37" s="277" t="str">
        <f t="shared" si="46"/>
        <v>Stadhuis Enkhuizen</v>
      </c>
      <c r="B37" s="53" t="e">
        <f>(J23+P23)*'6-Opbouw uurtarief productie'!$E$47</f>
        <v>#DIV/0!</v>
      </c>
      <c r="C37" s="53" t="e">
        <f>(K23+Q23)*'6-Opbouw uurtarief productie'!$E$47</f>
        <v>#DIV/0!</v>
      </c>
      <c r="D37" s="54" t="e">
        <f>(L23+R23)*'6-Opbouw uurtarief productie'!$E$51</f>
        <v>#DIV/0!</v>
      </c>
      <c r="E37" s="54" t="e">
        <f>(M23+S23)*'6-Opbouw uurtarief productie'!$E$51</f>
        <v>#DIV/0!</v>
      </c>
      <c r="F37" s="54" t="e">
        <f>(N23+T23)*'6-Opbouw uurtarief productie'!$E$53</f>
        <v>#DIV/0!</v>
      </c>
      <c r="G37" s="54" t="e">
        <f>(O23+U23)*'6-Opbouw uurtarief productie'!$E$53</f>
        <v>#DIV/0!</v>
      </c>
      <c r="H37" s="55" t="e">
        <f t="shared" si="47"/>
        <v>#DIV/0!</v>
      </c>
      <c r="I37" s="55" t="e">
        <f>V23*'7-Opbouw uurtarief toezicht'!$E$46</f>
        <v>#DIV/0!</v>
      </c>
      <c r="J37" s="55" t="e">
        <f>W23*'7-Opbouw uurtarief toezicht'!$E$46</f>
        <v>#DIV/0!</v>
      </c>
      <c r="K37" s="280" t="e">
        <f>X23*'7-Opbouw uurtarief toezicht'!$E$50</f>
        <v>#DIV/0!</v>
      </c>
      <c r="L37" s="280" t="e">
        <f>Y23*'7-Opbouw uurtarief toezicht'!$E$50</f>
        <v>#DIV/0!</v>
      </c>
      <c r="M37" s="212" t="e">
        <f>Z23*'7-Opbouw uurtarief toezicht'!$E$52</f>
        <v>#DIV/0!</v>
      </c>
      <c r="N37" s="212" t="e">
        <f>AA23*'7-Opbouw uurtarief toezicht'!$E$52</f>
        <v>#DIV/0!</v>
      </c>
      <c r="O37" s="213" t="e">
        <f t="shared" si="48"/>
        <v>#DIV/0!</v>
      </c>
      <c r="P37" s="280">
        <f>SUMIF('8-Additionele kosten'!A:A,'2-Kosten per locatie'!A37,'8-Additionele kosten'!H:H)</f>
        <v>0</v>
      </c>
      <c r="Q37" s="280">
        <f>SUMIF('10-Glasbewassing'!A:A,'2-Kosten per locatie'!A37,'10-Glasbewassing'!H:H)</f>
        <v>0</v>
      </c>
      <c r="R37" s="280" t="e">
        <f t="shared" si="40"/>
        <v>#DIV/0!</v>
      </c>
      <c r="S37" s="280" t="e">
        <f t="shared" si="49"/>
        <v>#DIV/0!</v>
      </c>
      <c r="U37" s="392"/>
      <c r="V37" s="392"/>
      <c r="AB37" s="52"/>
      <c r="AC37" s="52"/>
      <c r="AD37" s="52"/>
      <c r="AE37" s="52"/>
      <c r="AF37" s="52"/>
      <c r="AG37" s="39"/>
    </row>
    <row r="38" spans="1:33" ht="15" customHeight="1">
      <c r="A38" s="277" t="str">
        <f t="shared" si="46"/>
        <v>Toiletgebouw Haven</v>
      </c>
      <c r="B38" s="53" t="e">
        <f>(J24+P24)*'6-Opbouw uurtarief productie'!$E$47</f>
        <v>#DIV/0!</v>
      </c>
      <c r="C38" s="53" t="e">
        <f>(K24+Q24)*'6-Opbouw uurtarief productie'!$E$47</f>
        <v>#DIV/0!</v>
      </c>
      <c r="D38" s="54" t="e">
        <f>(L24+R24)*'6-Opbouw uurtarief productie'!$E$51</f>
        <v>#DIV/0!</v>
      </c>
      <c r="E38" s="54" t="e">
        <f>(M24+S24)*'6-Opbouw uurtarief productie'!$E$51</f>
        <v>#DIV/0!</v>
      </c>
      <c r="F38" s="54" t="e">
        <f>(N24+T24)*'6-Opbouw uurtarief productie'!$E$53</f>
        <v>#DIV/0!</v>
      </c>
      <c r="G38" s="54" t="e">
        <f>(O24+U24)*'6-Opbouw uurtarief productie'!$E$53</f>
        <v>#DIV/0!</v>
      </c>
      <c r="H38" s="55" t="e">
        <f t="shared" si="47"/>
        <v>#DIV/0!</v>
      </c>
      <c r="I38" s="55" t="e">
        <f>V24*'7-Opbouw uurtarief toezicht'!$E$46</f>
        <v>#DIV/0!</v>
      </c>
      <c r="J38" s="55" t="e">
        <f>W24*'7-Opbouw uurtarief toezicht'!$E$46</f>
        <v>#DIV/0!</v>
      </c>
      <c r="K38" s="280" t="e">
        <f>X24*'7-Opbouw uurtarief toezicht'!$E$50</f>
        <v>#DIV/0!</v>
      </c>
      <c r="L38" s="280" t="e">
        <f>Y24*'7-Opbouw uurtarief toezicht'!$E$50</f>
        <v>#DIV/0!</v>
      </c>
      <c r="M38" s="212" t="e">
        <f>Z24*'7-Opbouw uurtarief toezicht'!$E$52</f>
        <v>#DIV/0!</v>
      </c>
      <c r="N38" s="212" t="e">
        <f>AA24*'7-Opbouw uurtarief toezicht'!$E$52</f>
        <v>#DIV/0!</v>
      </c>
      <c r="O38" s="213" t="e">
        <f t="shared" si="48"/>
        <v>#DIV/0!</v>
      </c>
      <c r="P38" s="280">
        <f>SUMIF('8-Additionele kosten'!A:A,'2-Kosten per locatie'!A38,'8-Additionele kosten'!H:H)</f>
        <v>0</v>
      </c>
      <c r="Q38" s="280">
        <f>SUMIF('10-Glasbewassing'!A:A,'2-Kosten per locatie'!A38,'10-Glasbewassing'!H:H)</f>
        <v>0</v>
      </c>
      <c r="R38" s="280" t="e">
        <f t="shared" si="40"/>
        <v>#DIV/0!</v>
      </c>
      <c r="S38" s="280" t="e">
        <f t="shared" si="49"/>
        <v>#DIV/0!</v>
      </c>
      <c r="U38" s="392"/>
      <c r="V38" s="392"/>
      <c r="AB38" s="52"/>
      <c r="AC38" s="52"/>
      <c r="AD38" s="52"/>
      <c r="AE38" s="52"/>
      <c r="AF38" s="52"/>
      <c r="AG38" s="39"/>
    </row>
    <row r="39" spans="1:33" ht="15" customHeight="1">
      <c r="A39" s="277" t="str">
        <f t="shared" si="46"/>
        <v>Algemeen</v>
      </c>
      <c r="B39" s="53" t="e">
        <f>(J25+P25)*'6-Opbouw uurtarief productie'!$E$47</f>
        <v>#DIV/0!</v>
      </c>
      <c r="C39" s="53" t="e">
        <f>(K25+Q25)*'6-Opbouw uurtarief productie'!$E$47</f>
        <v>#DIV/0!</v>
      </c>
      <c r="D39" s="54" t="e">
        <f>(L25+R25)*'6-Opbouw uurtarief productie'!$E$51</f>
        <v>#DIV/0!</v>
      </c>
      <c r="E39" s="54" t="e">
        <f>(M25+S25)*'6-Opbouw uurtarief productie'!$E$51</f>
        <v>#DIV/0!</v>
      </c>
      <c r="F39" s="54" t="e">
        <f>(N25+T25)*'6-Opbouw uurtarief productie'!$E$53</f>
        <v>#DIV/0!</v>
      </c>
      <c r="G39" s="54" t="e">
        <f>(O25+U25)*'6-Opbouw uurtarief productie'!$E$53</f>
        <v>#DIV/0!</v>
      </c>
      <c r="H39" s="55" t="e">
        <f t="shared" si="47"/>
        <v>#DIV/0!</v>
      </c>
      <c r="I39" s="55" t="e">
        <f>V25*'7-Opbouw uurtarief toezicht'!$E$46</f>
        <v>#DIV/0!</v>
      </c>
      <c r="J39" s="55" t="e">
        <f>W25*'7-Opbouw uurtarief toezicht'!$E$46</f>
        <v>#DIV/0!</v>
      </c>
      <c r="K39" s="280" t="e">
        <f>X25*'7-Opbouw uurtarief toezicht'!$E$50</f>
        <v>#DIV/0!</v>
      </c>
      <c r="L39" s="280" t="e">
        <f>Y25*'7-Opbouw uurtarief toezicht'!$E$50</f>
        <v>#DIV/0!</v>
      </c>
      <c r="M39" s="212" t="e">
        <f>Z25*'7-Opbouw uurtarief toezicht'!$E$52</f>
        <v>#DIV/0!</v>
      </c>
      <c r="N39" s="212" t="e">
        <f>AA25*'7-Opbouw uurtarief toezicht'!$E$52</f>
        <v>#DIV/0!</v>
      </c>
      <c r="O39" s="213" t="e">
        <f t="shared" si="48"/>
        <v>#DIV/0!</v>
      </c>
      <c r="P39" s="280">
        <f>SUMIF('8-Additionele kosten'!A:A,'2-Kosten per locatie'!A39,'8-Additionele kosten'!H:H)</f>
        <v>0</v>
      </c>
      <c r="Q39" s="280">
        <f>SUMIF('10-Glasbewassing'!A:A,'2-Kosten per locatie'!A39,'10-Glasbewassing'!H:H)</f>
        <v>0</v>
      </c>
      <c r="R39" s="280" t="e">
        <f t="shared" si="40"/>
        <v>#DIV/0!</v>
      </c>
      <c r="S39" s="280" t="e">
        <f t="shared" si="49"/>
        <v>#DIV/0!</v>
      </c>
      <c r="U39" s="392"/>
      <c r="V39" s="392"/>
      <c r="AB39" s="52"/>
      <c r="AC39" s="52"/>
      <c r="AD39" s="52"/>
      <c r="AE39" s="52"/>
      <c r="AF39" s="52"/>
      <c r="AG39" s="39"/>
    </row>
    <row r="40" spans="1:33" s="56" customFormat="1" ht="15" customHeight="1">
      <c r="A40" s="279" t="s">
        <v>63</v>
      </c>
      <c r="B40" s="281" t="e">
        <f>SUM(B29:B39)</f>
        <v>#DIV/0!</v>
      </c>
      <c r="C40" s="281" t="e">
        <f>SUM(C29:C39)</f>
        <v>#DIV/0!</v>
      </c>
      <c r="D40" s="384" t="e">
        <f>(L26+R26)*'6-Opbouw uurtarief productie'!$E$51</f>
        <v>#DIV/0!</v>
      </c>
      <c r="E40" s="281" t="e">
        <f t="shared" ref="E40:S40" si="50">SUM(E29:E39)</f>
        <v>#DIV/0!</v>
      </c>
      <c r="F40" s="281" t="e">
        <f t="shared" si="50"/>
        <v>#DIV/0!</v>
      </c>
      <c r="G40" s="281" t="e">
        <f t="shared" si="50"/>
        <v>#DIV/0!</v>
      </c>
      <c r="H40" s="281" t="e">
        <f t="shared" si="50"/>
        <v>#DIV/0!</v>
      </c>
      <c r="I40" s="281" t="e">
        <f t="shared" si="50"/>
        <v>#DIV/0!</v>
      </c>
      <c r="J40" s="281" t="e">
        <f t="shared" si="50"/>
        <v>#DIV/0!</v>
      </c>
      <c r="K40" s="282" t="e">
        <f t="shared" si="50"/>
        <v>#DIV/0!</v>
      </c>
      <c r="L40" s="282" t="e">
        <f t="shared" si="50"/>
        <v>#DIV/0!</v>
      </c>
      <c r="M40" s="282" t="e">
        <f t="shared" si="50"/>
        <v>#DIV/0!</v>
      </c>
      <c r="N40" s="282" t="e">
        <f t="shared" si="50"/>
        <v>#DIV/0!</v>
      </c>
      <c r="O40" s="282" t="e">
        <f t="shared" si="50"/>
        <v>#DIV/0!</v>
      </c>
      <c r="P40" s="282">
        <f t="shared" si="50"/>
        <v>0</v>
      </c>
      <c r="Q40" s="282">
        <f t="shared" si="50"/>
        <v>0</v>
      </c>
      <c r="R40" s="282" t="e">
        <f t="shared" si="50"/>
        <v>#DIV/0!</v>
      </c>
      <c r="S40" s="282" t="e">
        <f t="shared" si="50"/>
        <v>#DIV/0!</v>
      </c>
      <c r="U40" s="393">
        <f>SUM(U29:U39)</f>
        <v>0</v>
      </c>
      <c r="V40" s="393"/>
      <c r="AB40" s="52"/>
      <c r="AC40" s="52"/>
      <c r="AD40" s="52"/>
      <c r="AE40" s="52"/>
      <c r="AF40" s="52"/>
    </row>
    <row r="41" spans="1:33" ht="14.1" customHeight="1">
      <c r="U41" s="392"/>
      <c r="V41" s="392"/>
      <c r="AC41" s="52"/>
      <c r="AD41" s="52"/>
      <c r="AE41" s="52"/>
      <c r="AF41" s="52"/>
      <c r="AG41" s="52"/>
    </row>
    <row r="42" spans="1:33" ht="14.1" customHeight="1">
      <c r="B42" s="385"/>
    </row>
    <row r="43" spans="1:33" ht="14.1" customHeight="1">
      <c r="B43" s="385"/>
    </row>
  </sheetData>
  <mergeCells count="3">
    <mergeCell ref="P13:U13"/>
    <mergeCell ref="J13:O13"/>
    <mergeCell ref="V13:AA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1"/>
  <sheetViews>
    <sheetView showGridLines="0" zoomScale="85" zoomScaleNormal="85" workbookViewId="0">
      <pane ySplit="9" topLeftCell="A10" activePane="bottomLeft" state="frozen"/>
      <selection pane="bottomLeft" activeCell="R5" sqref="R5"/>
      <selection activeCell="B1" sqref="B1"/>
    </sheetView>
  </sheetViews>
  <sheetFormatPr defaultColWidth="9.140625" defaultRowHeight="13.15"/>
  <cols>
    <col min="1" max="1" width="29.7109375" style="57" customWidth="1"/>
    <col min="2" max="2" width="9.140625" style="57" customWidth="1"/>
    <col min="3" max="12" width="9.140625" style="57"/>
    <col min="13" max="13" width="10.7109375" style="57" customWidth="1"/>
    <col min="14" max="14" width="9.140625" style="57"/>
    <col min="15" max="15" width="2.140625" style="57" customWidth="1"/>
    <col min="16" max="16" width="9.140625" style="58"/>
    <col min="17" max="17" width="10.140625" style="57" customWidth="1"/>
    <col min="18" max="18" width="11.7109375" style="57" customWidth="1"/>
    <col min="19" max="19" width="11" style="57" customWidth="1"/>
    <col min="20" max="20" width="3" style="57" customWidth="1"/>
    <col min="21" max="21" width="9.140625" style="58"/>
    <col min="22" max="22" width="9.140625" style="2"/>
    <col min="23" max="23" width="30.42578125" style="2" customWidth="1"/>
    <col min="24" max="16384" width="9.140625" style="2"/>
  </cols>
  <sheetData>
    <row r="1" spans="1:21">
      <c r="A1" s="370" t="s">
        <v>4</v>
      </c>
    </row>
    <row r="2" spans="1:21">
      <c r="I2" s="74"/>
      <c r="J2" s="74"/>
      <c r="K2" s="74"/>
      <c r="L2" s="74"/>
    </row>
    <row r="3" spans="1:21" ht="15.6">
      <c r="A3" s="37" t="str">
        <f>'2-Kosten per locatie'!A3</f>
        <v>Naam opdrachtgever</v>
      </c>
      <c r="B3" s="45" t="str">
        <f>'2-Kosten per locatie'!B3</f>
        <v>SED organisatie</v>
      </c>
      <c r="C3" s="59"/>
      <c r="D3" s="59"/>
      <c r="E3" s="59"/>
      <c r="F3" s="59"/>
      <c r="G3" s="59"/>
      <c r="H3" s="59"/>
      <c r="I3" s="59"/>
    </row>
    <row r="4" spans="1:21" ht="15.6">
      <c r="A4" s="37" t="str">
        <f>'2-Kosten per locatie'!A4</f>
        <v>Calculatie onderdeel</v>
      </c>
      <c r="B4" s="45" t="e">
        <f ca="1">MID(CELL("bestandsnaam",$B$7),SEARCH("]",CELL("bestandsnaam",$B$7),1)+1,256)</f>
        <v>#VALUE!</v>
      </c>
      <c r="C4" s="45"/>
      <c r="D4" s="45"/>
      <c r="E4" s="45"/>
      <c r="F4" s="45"/>
      <c r="G4" s="45"/>
      <c r="H4" s="45"/>
      <c r="I4" s="45"/>
    </row>
    <row r="5" spans="1:21" ht="15.6">
      <c r="A5" s="37" t="str">
        <f>'2-Kosten per locatie'!A5</f>
        <v>Gebouw/plaats</v>
      </c>
      <c r="B5" s="45" t="str">
        <f>'2-Kosten per locatie'!B5</f>
        <v>Perceel 1</v>
      </c>
      <c r="C5" s="45"/>
      <c r="D5" s="45"/>
      <c r="E5" s="45"/>
      <c r="F5" s="45"/>
      <c r="G5" s="45"/>
      <c r="H5" s="45"/>
      <c r="I5" s="45"/>
    </row>
    <row r="6" spans="1:21" ht="15.6">
      <c r="A6" s="37" t="str">
        <f>'2-Kosten per locatie'!A6</f>
        <v>Referentie nummer</v>
      </c>
      <c r="B6" s="45">
        <f>'2-Kosten per locatie'!B6</f>
        <v>0</v>
      </c>
      <c r="C6" s="45"/>
      <c r="D6" s="45"/>
      <c r="E6" s="45"/>
      <c r="F6" s="45"/>
      <c r="G6" s="45"/>
      <c r="H6" s="45"/>
      <c r="I6" s="45"/>
      <c r="K6" s="441" t="s">
        <v>82</v>
      </c>
      <c r="L6" s="442"/>
      <c r="M6" s="443" t="e">
        <f>SUM('4-Basis ruimtestaat'!AE:AE)/SUM('4-Basis ruimtestaat'!Q:V)</f>
        <v>#DIV/0!</v>
      </c>
      <c r="N6" s="444" t="s">
        <v>83</v>
      </c>
    </row>
    <row r="7" spans="1:21">
      <c r="A7" s="60"/>
      <c r="B7" s="61"/>
      <c r="C7" s="61"/>
      <c r="D7" s="61"/>
      <c r="E7" s="61"/>
      <c r="F7" s="61"/>
      <c r="G7" s="61"/>
      <c r="H7" s="61"/>
      <c r="I7" s="61"/>
      <c r="J7" s="62"/>
      <c r="K7" s="63"/>
      <c r="L7" s="63"/>
      <c r="M7" s="64"/>
      <c r="N7" s="65"/>
      <c r="O7" s="66"/>
      <c r="Q7" s="67"/>
      <c r="R7" s="67"/>
      <c r="S7" s="66"/>
      <c r="T7" s="66"/>
      <c r="U7" s="68"/>
    </row>
    <row r="8" spans="1:21" ht="27.75" customHeight="1">
      <c r="A8" s="283" t="s">
        <v>84</v>
      </c>
      <c r="B8" s="284">
        <v>12</v>
      </c>
      <c r="C8" s="284">
        <v>40</v>
      </c>
      <c r="D8" s="284">
        <v>52</v>
      </c>
      <c r="E8" s="284">
        <v>80</v>
      </c>
      <c r="F8" s="284">
        <v>104</v>
      </c>
      <c r="G8" s="284">
        <v>120</v>
      </c>
      <c r="H8" s="284">
        <v>156</v>
      </c>
      <c r="I8" s="284">
        <v>190</v>
      </c>
      <c r="J8" s="284">
        <v>200</v>
      </c>
      <c r="K8" s="284">
        <v>204</v>
      </c>
      <c r="L8" s="284">
        <v>213</v>
      </c>
      <c r="M8" s="284">
        <v>237</v>
      </c>
      <c r="N8" s="284">
        <v>255</v>
      </c>
      <c r="O8" s="66"/>
      <c r="P8" s="190"/>
      <c r="Q8" s="411"/>
      <c r="R8" s="411"/>
      <c r="S8" s="411"/>
      <c r="T8" s="191"/>
      <c r="U8" s="68"/>
    </row>
    <row r="9" spans="1:21" ht="60.6" customHeight="1">
      <c r="A9" s="285" t="s">
        <v>85</v>
      </c>
      <c r="B9" s="445" t="s">
        <v>86</v>
      </c>
      <c r="C9" s="415"/>
      <c r="D9" s="415"/>
      <c r="E9" s="415"/>
      <c r="F9" s="415"/>
      <c r="G9" s="415"/>
      <c r="H9" s="415"/>
      <c r="I9" s="415"/>
      <c r="J9" s="415"/>
      <c r="K9" s="415"/>
      <c r="L9" s="415"/>
      <c r="M9" s="415"/>
      <c r="N9" s="446"/>
      <c r="O9" s="66"/>
      <c r="P9" s="286" t="s">
        <v>87</v>
      </c>
      <c r="Q9" s="287" t="s">
        <v>88</v>
      </c>
      <c r="R9" s="287" t="s">
        <v>89</v>
      </c>
      <c r="S9" s="287" t="s">
        <v>90</v>
      </c>
      <c r="T9" s="191"/>
      <c r="U9" s="286" t="s">
        <v>91</v>
      </c>
    </row>
    <row r="10" spans="1:21">
      <c r="A10" s="288" t="s">
        <v>92</v>
      </c>
      <c r="B10" s="289"/>
      <c r="C10" s="289"/>
      <c r="D10" s="289"/>
      <c r="E10" s="289"/>
      <c r="F10" s="289"/>
      <c r="G10" s="289"/>
      <c r="H10" s="289"/>
      <c r="I10" s="289"/>
      <c r="J10" s="289"/>
      <c r="K10" s="289"/>
      <c r="L10" s="289"/>
      <c r="M10" s="289"/>
      <c r="N10" s="289"/>
      <c r="O10" s="219"/>
      <c r="P10" s="290">
        <f>SUMIF('4-Basis ruimtestaat'!G:G,'3-Productie normen'!A10,'4-Basis ruimtestaat'!I:I)</f>
        <v>915.88999999999976</v>
      </c>
      <c r="Q10" s="69"/>
      <c r="S10" s="66"/>
      <c r="T10" s="66"/>
      <c r="U10" s="291" t="s">
        <v>93</v>
      </c>
    </row>
    <row r="11" spans="1:21">
      <c r="A11" s="288" t="s">
        <v>94</v>
      </c>
      <c r="B11" s="289"/>
      <c r="C11" s="289"/>
      <c r="D11" s="289"/>
      <c r="E11" s="289"/>
      <c r="F11" s="289"/>
      <c r="G11" s="289"/>
      <c r="H11" s="289"/>
      <c r="I11" s="289"/>
      <c r="J11" s="289"/>
      <c r="K11" s="289"/>
      <c r="L11" s="289"/>
      <c r="M11" s="289"/>
      <c r="N11" s="289"/>
      <c r="O11" s="219"/>
      <c r="P11" s="290">
        <f>SUMIF('4-Basis ruimtestaat'!G:G,'3-Productie normen'!A11,'4-Basis ruimtestaat'!I:I)</f>
        <v>76.59999999999998</v>
      </c>
      <c r="T11" s="66"/>
      <c r="U11" s="291" t="s">
        <v>95</v>
      </c>
    </row>
    <row r="12" spans="1:21">
      <c r="A12" s="288" t="s">
        <v>96</v>
      </c>
      <c r="B12" s="289"/>
      <c r="C12" s="289"/>
      <c r="D12" s="289"/>
      <c r="E12" s="289"/>
      <c r="F12" s="289"/>
      <c r="G12" s="289"/>
      <c r="H12" s="289"/>
      <c r="I12" s="289"/>
      <c r="J12" s="289"/>
      <c r="K12" s="289"/>
      <c r="L12" s="289"/>
      <c r="M12" s="289"/>
      <c r="N12" s="289"/>
      <c r="O12" s="219"/>
      <c r="P12" s="290">
        <f>SUMIF('4-Basis ruimtestaat'!G:G,'3-Productie normen'!A12,'4-Basis ruimtestaat'!I:I)</f>
        <v>84.322499999999991</v>
      </c>
      <c r="U12" s="291" t="s">
        <v>97</v>
      </c>
    </row>
    <row r="13" spans="1:21">
      <c r="A13" s="292" t="s">
        <v>98</v>
      </c>
      <c r="B13" s="289"/>
      <c r="C13" s="289"/>
      <c r="D13" s="289"/>
      <c r="E13" s="289"/>
      <c r="F13" s="289"/>
      <c r="G13" s="289"/>
      <c r="H13" s="289"/>
      <c r="I13" s="289"/>
      <c r="J13" s="289"/>
      <c r="K13" s="289"/>
      <c r="L13" s="289"/>
      <c r="M13" s="289"/>
      <c r="N13" s="289"/>
      <c r="O13" s="219"/>
      <c r="P13" s="290">
        <f>SUMIF('4-Basis ruimtestaat'!G:G,'3-Productie normen'!A13,'4-Basis ruimtestaat'!I:I)</f>
        <v>467.3</v>
      </c>
      <c r="U13" s="291" t="s">
        <v>97</v>
      </c>
    </row>
    <row r="14" spans="1:21">
      <c r="A14" s="288" t="s">
        <v>99</v>
      </c>
      <c r="B14" s="289"/>
      <c r="C14" s="289"/>
      <c r="D14" s="289"/>
      <c r="E14" s="289"/>
      <c r="F14" s="289"/>
      <c r="G14" s="289"/>
      <c r="H14" s="289"/>
      <c r="I14" s="289"/>
      <c r="J14" s="289"/>
      <c r="K14" s="289"/>
      <c r="L14" s="289"/>
      <c r="M14" s="289"/>
      <c r="N14" s="289"/>
      <c r="O14" s="219"/>
      <c r="P14" s="290">
        <f>SUMIF('4-Basis ruimtestaat'!G:G,'3-Productie normen'!A14,'4-Basis ruimtestaat'!I:I)</f>
        <v>98.211600000000004</v>
      </c>
      <c r="U14" s="291" t="s">
        <v>97</v>
      </c>
    </row>
    <row r="15" spans="1:21">
      <c r="A15" s="288" t="s">
        <v>100</v>
      </c>
      <c r="B15" s="289"/>
      <c r="C15" s="289"/>
      <c r="D15" s="289"/>
      <c r="E15" s="289"/>
      <c r="F15" s="289"/>
      <c r="G15" s="289"/>
      <c r="H15" s="289"/>
      <c r="I15" s="289"/>
      <c r="J15" s="289"/>
      <c r="K15" s="289"/>
      <c r="L15" s="289"/>
      <c r="M15" s="289"/>
      <c r="N15" s="289"/>
      <c r="O15" s="219"/>
      <c r="P15" s="290">
        <f>SUMIF('4-Basis ruimtestaat'!G:G,'3-Productie normen'!A15,'4-Basis ruimtestaat'!I:I)</f>
        <v>455.57899999999995</v>
      </c>
      <c r="U15" s="291" t="s">
        <v>95</v>
      </c>
    </row>
    <row r="16" spans="1:21">
      <c r="A16" s="288" t="s">
        <v>101</v>
      </c>
      <c r="B16" s="289"/>
      <c r="C16" s="289"/>
      <c r="D16" s="289"/>
      <c r="E16" s="289"/>
      <c r="F16" s="289"/>
      <c r="G16" s="289"/>
      <c r="H16" s="289"/>
      <c r="I16" s="289"/>
      <c r="J16" s="289"/>
      <c r="K16" s="289"/>
      <c r="L16" s="289"/>
      <c r="M16" s="289"/>
      <c r="N16" s="289"/>
      <c r="O16" s="219"/>
      <c r="P16" s="290">
        <f>SUMIF('4-Basis ruimtestaat'!G:G,'3-Productie normen'!A16,'4-Basis ruimtestaat'!I:I)</f>
        <v>4.3</v>
      </c>
      <c r="U16" s="291" t="s">
        <v>97</v>
      </c>
    </row>
    <row r="17" spans="1:21">
      <c r="A17" s="288" t="s">
        <v>102</v>
      </c>
      <c r="B17" s="289"/>
      <c r="C17" s="289"/>
      <c r="D17" s="289"/>
      <c r="E17" s="289"/>
      <c r="F17" s="289"/>
      <c r="G17" s="289"/>
      <c r="H17" s="289"/>
      <c r="I17" s="289"/>
      <c r="J17" s="289"/>
      <c r="K17" s="289"/>
      <c r="L17" s="289"/>
      <c r="M17" s="289"/>
      <c r="N17" s="289"/>
      <c r="O17" s="219"/>
      <c r="P17" s="290">
        <f>SUMIF('4-Basis ruimtestaat'!G:G,'3-Productie normen'!A17,'4-Basis ruimtestaat'!I:I)</f>
        <v>220.71499999999997</v>
      </c>
      <c r="U17" s="291" t="s">
        <v>97</v>
      </c>
    </row>
    <row r="18" spans="1:21">
      <c r="A18" s="288" t="s">
        <v>103</v>
      </c>
      <c r="B18" s="289"/>
      <c r="C18" s="289"/>
      <c r="D18" s="289"/>
      <c r="E18" s="289"/>
      <c r="F18" s="289"/>
      <c r="G18" s="289"/>
      <c r="H18" s="289"/>
      <c r="I18" s="289"/>
      <c r="J18" s="289"/>
      <c r="K18" s="289"/>
      <c r="L18" s="289"/>
      <c r="M18" s="289"/>
      <c r="N18" s="289"/>
      <c r="O18" s="219"/>
      <c r="P18" s="290">
        <f>SUMIF('4-Basis ruimtestaat'!G:G,'3-Productie normen'!A18,'4-Basis ruimtestaat'!I:I)</f>
        <v>198.56500000000014</v>
      </c>
      <c r="U18" s="291" t="s">
        <v>95</v>
      </c>
    </row>
    <row r="19" spans="1:21">
      <c r="A19" s="292" t="s">
        <v>104</v>
      </c>
      <c r="B19" s="289"/>
      <c r="C19" s="289"/>
      <c r="D19" s="289"/>
      <c r="E19" s="289"/>
      <c r="F19" s="289"/>
      <c r="G19" s="289"/>
      <c r="H19" s="289"/>
      <c r="I19" s="289"/>
      <c r="J19" s="289"/>
      <c r="K19" s="289"/>
      <c r="L19" s="289"/>
      <c r="M19" s="289"/>
      <c r="N19" s="289"/>
      <c r="O19" s="219"/>
      <c r="P19" s="290">
        <f>SUMIF('4-Basis ruimtestaat'!G:G,'3-Productie normen'!A19,'4-Basis ruimtestaat'!I:I)</f>
        <v>974.27</v>
      </c>
      <c r="U19" s="291" t="s">
        <v>97</v>
      </c>
    </row>
    <row r="20" spans="1:21">
      <c r="A20" s="292" t="s">
        <v>105</v>
      </c>
      <c r="B20" s="289"/>
      <c r="C20" s="289"/>
      <c r="D20" s="289"/>
      <c r="E20" s="289"/>
      <c r="F20" s="289"/>
      <c r="G20" s="289"/>
      <c r="H20" s="289"/>
      <c r="I20" s="289"/>
      <c r="J20" s="289"/>
      <c r="K20" s="289"/>
      <c r="L20" s="289"/>
      <c r="M20" s="289"/>
      <c r="N20" s="289"/>
      <c r="O20" s="219"/>
      <c r="P20" s="290">
        <f>SUMIF('4-Basis ruimtestaat'!G:G,'3-Productie normen'!A20,'4-Basis ruimtestaat'!I:I)</f>
        <v>75.828800000000015</v>
      </c>
      <c r="S20" s="70"/>
      <c r="U20" s="291" t="s">
        <v>97</v>
      </c>
    </row>
    <row r="21" spans="1:21">
      <c r="A21" s="292" t="s">
        <v>106</v>
      </c>
      <c r="B21" s="289"/>
      <c r="C21" s="289"/>
      <c r="D21" s="289"/>
      <c r="E21" s="289"/>
      <c r="F21" s="289"/>
      <c r="G21" s="289"/>
      <c r="H21" s="289"/>
      <c r="I21" s="289"/>
      <c r="J21" s="289"/>
      <c r="K21" s="289"/>
      <c r="L21" s="289"/>
      <c r="M21" s="289"/>
      <c r="N21" s="289"/>
      <c r="O21" s="219"/>
      <c r="P21" s="290">
        <f>SUMIF('4-Basis ruimtestaat'!G:G,'3-Productie normen'!A21,'4-Basis ruimtestaat'!I:I)</f>
        <v>262.43200000000002</v>
      </c>
      <c r="S21" s="70"/>
      <c r="U21" s="291" t="s">
        <v>97</v>
      </c>
    </row>
    <row r="22" spans="1:21">
      <c r="A22" s="292" t="s">
        <v>107</v>
      </c>
      <c r="B22" s="289"/>
      <c r="C22" s="289"/>
      <c r="D22" s="289"/>
      <c r="E22" s="289"/>
      <c r="F22" s="289"/>
      <c r="G22" s="289"/>
      <c r="H22" s="289"/>
      <c r="I22" s="289"/>
      <c r="J22" s="289"/>
      <c r="K22" s="289"/>
      <c r="L22" s="289"/>
      <c r="M22" s="289"/>
      <c r="N22" s="289"/>
      <c r="O22" s="219"/>
      <c r="P22" s="290">
        <f>SUMIF('4-Basis ruimtestaat'!G:G,'3-Productie normen'!A22,'4-Basis ruimtestaat'!I:I)</f>
        <v>479.64999999999992</v>
      </c>
      <c r="S22" s="70"/>
      <c r="U22" s="291" t="s">
        <v>93</v>
      </c>
    </row>
    <row r="23" spans="1:21">
      <c r="A23" s="292" t="s">
        <v>108</v>
      </c>
      <c r="B23" s="289"/>
      <c r="C23" s="289"/>
      <c r="D23" s="289"/>
      <c r="E23" s="289"/>
      <c r="F23" s="289"/>
      <c r="G23" s="289"/>
      <c r="H23" s="289"/>
      <c r="I23" s="289"/>
      <c r="J23" s="289"/>
      <c r="K23" s="289"/>
      <c r="L23" s="289"/>
      <c r="M23" s="289"/>
      <c r="N23" s="289"/>
      <c r="O23" s="219"/>
      <c r="P23" s="290">
        <f>SUMIF('4-Basis ruimtestaat'!G:G,'3-Productie normen'!A23,'4-Basis ruimtestaat'!I:I)</f>
        <v>162.09999999999997</v>
      </c>
      <c r="S23" s="66"/>
      <c r="U23" s="291" t="s">
        <v>97</v>
      </c>
    </row>
    <row r="24" spans="1:21">
      <c r="A24" s="293" t="s">
        <v>63</v>
      </c>
      <c r="B24" s="294"/>
      <c r="C24" s="294"/>
      <c r="D24" s="294"/>
      <c r="E24" s="294"/>
      <c r="F24" s="294"/>
      <c r="G24" s="294"/>
      <c r="H24" s="294"/>
      <c r="I24" s="294"/>
      <c r="J24" s="294"/>
      <c r="K24" s="294"/>
      <c r="L24" s="294"/>
      <c r="M24" s="294"/>
      <c r="N24" s="295"/>
      <c r="O24" s="220"/>
      <c r="P24" s="296">
        <f>SUM(P10:P23)</f>
        <v>4475.7638999999999</v>
      </c>
      <c r="S24" s="66"/>
      <c r="T24" s="66"/>
      <c r="U24" s="297"/>
    </row>
    <row r="25" spans="1:21">
      <c r="P25" s="57"/>
      <c r="S25" s="66"/>
      <c r="T25" s="66"/>
      <c r="U25" s="57"/>
    </row>
    <row r="26" spans="1:21" ht="16.149999999999999">
      <c r="A26" s="298" t="s">
        <v>109</v>
      </c>
      <c r="B26" s="299">
        <v>2</v>
      </c>
      <c r="C26" s="299">
        <v>3</v>
      </c>
      <c r="D26" s="299">
        <v>4</v>
      </c>
      <c r="E26" s="299">
        <v>5</v>
      </c>
      <c r="F26" s="299">
        <v>6</v>
      </c>
      <c r="G26" s="299">
        <v>7</v>
      </c>
      <c r="H26" s="299">
        <v>8</v>
      </c>
      <c r="I26" s="299">
        <v>9</v>
      </c>
      <c r="J26" s="299">
        <v>10</v>
      </c>
      <c r="K26" s="299">
        <v>11</v>
      </c>
      <c r="L26" s="299">
        <v>12</v>
      </c>
      <c r="M26" s="299">
        <v>13</v>
      </c>
      <c r="N26" s="299">
        <v>14</v>
      </c>
      <c r="O26" s="66"/>
      <c r="S26" s="66"/>
    </row>
    <row r="28" spans="1:21">
      <c r="A28" s="183" t="s">
        <v>110</v>
      </c>
      <c r="B28" s="183" t="s">
        <v>111</v>
      </c>
      <c r="C28" s="184" t="s">
        <v>112</v>
      </c>
    </row>
    <row r="29" spans="1:21">
      <c r="A29" s="71" t="s">
        <v>113</v>
      </c>
      <c r="B29" s="72">
        <v>12</v>
      </c>
      <c r="C29" s="192">
        <v>2</v>
      </c>
      <c r="D29" s="386"/>
      <c r="E29" s="386"/>
      <c r="F29" s="386"/>
      <c r="G29" s="386"/>
      <c r="H29" s="386"/>
      <c r="I29" s="386"/>
    </row>
    <row r="30" spans="1:21">
      <c r="A30" s="71" t="s">
        <v>114</v>
      </c>
      <c r="B30" s="72">
        <v>40</v>
      </c>
      <c r="C30" s="192">
        <v>3</v>
      </c>
      <c r="D30" s="386"/>
      <c r="E30" s="386"/>
      <c r="F30" s="386"/>
      <c r="G30" s="386"/>
      <c r="H30" s="386"/>
      <c r="I30" s="386"/>
    </row>
    <row r="31" spans="1:21">
      <c r="A31" s="71" t="s">
        <v>115</v>
      </c>
      <c r="B31" s="72">
        <v>52</v>
      </c>
      <c r="C31" s="192">
        <v>4</v>
      </c>
      <c r="D31" s="386"/>
      <c r="E31" s="386"/>
      <c r="F31" s="386"/>
      <c r="G31" s="386"/>
      <c r="H31" s="386"/>
      <c r="I31" s="386"/>
    </row>
    <row r="32" spans="1:21">
      <c r="A32" s="71" t="s">
        <v>116</v>
      </c>
      <c r="B32" s="72">
        <v>80</v>
      </c>
      <c r="C32" s="192">
        <v>5</v>
      </c>
      <c r="D32" s="386"/>
      <c r="E32" s="386"/>
      <c r="F32" s="386"/>
      <c r="G32" s="386"/>
      <c r="H32" s="386"/>
      <c r="I32" s="386"/>
    </row>
    <row r="33" spans="1:9">
      <c r="A33" s="71" t="s">
        <v>117</v>
      </c>
      <c r="B33" s="72">
        <v>104</v>
      </c>
      <c r="C33" s="192">
        <v>6</v>
      </c>
      <c r="D33" s="386"/>
      <c r="E33" s="386"/>
      <c r="F33" s="386"/>
      <c r="G33" s="386"/>
      <c r="H33" s="386"/>
      <c r="I33" s="386"/>
    </row>
    <row r="34" spans="1:9">
      <c r="A34" s="71" t="s">
        <v>118</v>
      </c>
      <c r="B34" s="72">
        <v>120</v>
      </c>
      <c r="C34" s="192">
        <v>7</v>
      </c>
      <c r="D34" s="386"/>
      <c r="E34" s="386"/>
      <c r="F34" s="386"/>
      <c r="G34" s="386"/>
      <c r="H34" s="386"/>
      <c r="I34" s="386"/>
    </row>
    <row r="35" spans="1:9">
      <c r="A35" s="71" t="s">
        <v>119</v>
      </c>
      <c r="B35" s="72">
        <v>156</v>
      </c>
      <c r="C35" s="192">
        <v>8</v>
      </c>
      <c r="D35" s="386"/>
      <c r="E35" s="386"/>
      <c r="F35" s="386"/>
      <c r="G35" s="386"/>
      <c r="H35" s="386"/>
      <c r="I35" s="386"/>
    </row>
    <row r="36" spans="1:9" ht="26.45">
      <c r="A36" s="387" t="s">
        <v>120</v>
      </c>
      <c r="B36" s="72">
        <v>190</v>
      </c>
      <c r="C36" s="192">
        <v>9</v>
      </c>
      <c r="D36" s="386"/>
      <c r="E36" s="386"/>
      <c r="F36" s="386"/>
      <c r="G36" s="386"/>
      <c r="H36" s="386"/>
      <c r="I36" s="386"/>
    </row>
    <row r="37" spans="1:9">
      <c r="A37" s="71" t="s">
        <v>121</v>
      </c>
      <c r="B37" s="72">
        <v>200</v>
      </c>
      <c r="C37" s="192">
        <v>10</v>
      </c>
      <c r="D37" s="386"/>
      <c r="E37" s="386"/>
      <c r="F37" s="386"/>
      <c r="G37" s="386"/>
      <c r="H37" s="386"/>
      <c r="I37" s="386"/>
    </row>
    <row r="38" spans="1:9">
      <c r="A38" s="71" t="s">
        <v>122</v>
      </c>
      <c r="B38" s="72">
        <v>204</v>
      </c>
      <c r="C38" s="192">
        <v>11</v>
      </c>
      <c r="D38" s="386"/>
      <c r="E38" s="386"/>
      <c r="F38" s="386"/>
      <c r="G38" s="386"/>
      <c r="H38" s="386"/>
      <c r="I38" s="386"/>
    </row>
    <row r="39" spans="1:9">
      <c r="A39" s="71" t="s">
        <v>123</v>
      </c>
      <c r="B39" s="72">
        <v>213</v>
      </c>
      <c r="C39" s="192">
        <v>12</v>
      </c>
      <c r="D39" s="386"/>
      <c r="E39" s="386"/>
      <c r="F39" s="386"/>
      <c r="G39" s="386"/>
      <c r="H39" s="386"/>
      <c r="I39" s="386"/>
    </row>
    <row r="40" spans="1:9">
      <c r="A40" s="71" t="s">
        <v>123</v>
      </c>
      <c r="B40" s="73">
        <v>237</v>
      </c>
      <c r="C40" s="192">
        <v>13</v>
      </c>
      <c r="D40" s="386"/>
      <c r="E40" s="386"/>
      <c r="F40" s="386"/>
      <c r="G40" s="386"/>
      <c r="H40" s="386"/>
      <c r="I40" s="386"/>
    </row>
    <row r="41" spans="1:9">
      <c r="A41" s="71" t="s">
        <v>124</v>
      </c>
      <c r="B41" s="73">
        <v>255</v>
      </c>
      <c r="C41" s="192">
        <v>14</v>
      </c>
      <c r="D41" s="386"/>
      <c r="E41" s="386"/>
      <c r="F41" s="386"/>
      <c r="G41" s="386"/>
      <c r="H41" s="386"/>
      <c r="I41" s="386"/>
    </row>
  </sheetData>
  <mergeCells count="1">
    <mergeCell ref="B9:N9"/>
  </mergeCells>
  <conditionalFormatting sqref="Q8:S8">
    <cfRule type="cellIs" dxfId="8" priority="1" operator="lessThan">
      <formula>1</formula>
    </cfRule>
  </conditionalFormatting>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pageSetUpPr fitToPage="1"/>
  </sheetPr>
  <dimension ref="A1:AF523"/>
  <sheetViews>
    <sheetView showGridLines="0" showZeros="0" zoomScale="80" zoomScaleNormal="80" zoomScalePageLayoutView="75" workbookViewId="0">
      <pane xSplit="1" ySplit="9" topLeftCell="C227" activePane="bottomRight" state="frozen"/>
      <selection pane="bottomRight" activeCell="S232" sqref="S232"/>
      <selection pane="bottomLeft" activeCell="B1" sqref="B1"/>
      <selection pane="topRight" activeCell="B1" sqref="B1"/>
    </sheetView>
  </sheetViews>
  <sheetFormatPr defaultColWidth="8.7109375" defaultRowHeight="14.1" customHeight="1"/>
  <cols>
    <col min="1" max="1" width="5" style="57" bestFit="1" customWidth="1"/>
    <col min="2" max="2" width="27.5703125" style="381" customWidth="1"/>
    <col min="3" max="3" width="35.42578125" style="57" customWidth="1"/>
    <col min="4" max="4" width="12" style="57" customWidth="1"/>
    <col min="5" max="5" width="20.28515625" style="222" bestFit="1" customWidth="1"/>
    <col min="6" max="7" width="23.42578125" style="57" customWidth="1"/>
    <col min="8" max="8" width="25.7109375" style="57" bestFit="1" customWidth="1"/>
    <col min="9" max="9" width="9" style="57" bestFit="1" customWidth="1"/>
    <col min="10" max="10" width="12.7109375" style="74" customWidth="1"/>
    <col min="11" max="16" width="9.140625" style="98" customWidth="1"/>
    <col min="17" max="18" width="12.5703125" style="57" bestFit="1" customWidth="1"/>
    <col min="19" max="22" width="9.85546875" style="57" customWidth="1"/>
    <col min="23" max="23" width="12" style="57" bestFit="1" customWidth="1"/>
    <col min="24" max="24" width="16.7109375" style="57" customWidth="1"/>
    <col min="25" max="25" width="13" style="57" customWidth="1"/>
    <col min="26" max="26" width="14.7109375" style="57" customWidth="1"/>
    <col min="27" max="28" width="9.28515625" style="57" customWidth="1"/>
    <col min="29" max="29" width="35.140625" style="57" customWidth="1"/>
    <col min="30" max="30" width="3" style="57" customWidth="1"/>
    <col min="31" max="31" width="11.140625" style="57" customWidth="1"/>
    <col min="32" max="32" width="15.5703125" style="2" bestFit="1" customWidth="1"/>
    <col min="33" max="16384" width="8.7109375" style="2"/>
  </cols>
  <sheetData>
    <row r="1" spans="1:31" ht="13.15">
      <c r="B1" s="57"/>
      <c r="K1" s="57"/>
      <c r="L1" s="58"/>
      <c r="M1" s="57"/>
      <c r="N1" s="57"/>
      <c r="O1" s="57"/>
      <c r="P1" s="57"/>
    </row>
    <row r="2" spans="1:31" ht="14.1" customHeight="1">
      <c r="A2" s="75">
        <v>2</v>
      </c>
      <c r="B2" s="193"/>
      <c r="C2" s="76"/>
      <c r="D2" s="77"/>
      <c r="E2" s="223"/>
      <c r="F2" s="78"/>
      <c r="G2" s="78"/>
      <c r="H2" s="79"/>
      <c r="I2" s="80"/>
      <c r="J2" s="81"/>
      <c r="K2" s="82"/>
      <c r="L2" s="82"/>
      <c r="M2" s="82"/>
      <c r="N2" s="82"/>
      <c r="O2" s="82"/>
      <c r="P2" s="82"/>
      <c r="Q2" s="79"/>
      <c r="R2" s="79"/>
      <c r="S2" s="83"/>
      <c r="T2" s="83"/>
      <c r="U2" s="83"/>
      <c r="V2" s="83"/>
      <c r="W2" s="83"/>
      <c r="X2" s="83"/>
      <c r="Y2" s="83"/>
      <c r="Z2" s="83"/>
      <c r="AA2" s="78"/>
      <c r="AB2" s="78"/>
      <c r="AC2" s="78"/>
    </row>
    <row r="3" spans="1:31" ht="14.1" customHeight="1">
      <c r="A3" s="75">
        <v>3</v>
      </c>
      <c r="B3" s="37" t="str">
        <f>'2-Kosten per locatie'!A3</f>
        <v>Naam opdrachtgever</v>
      </c>
      <c r="C3" s="45" t="str">
        <f>'2-Kosten per locatie'!B3</f>
        <v>SED organisatie</v>
      </c>
      <c r="E3" s="224"/>
      <c r="G3" s="396"/>
      <c r="H3" s="400"/>
      <c r="I3" s="401"/>
      <c r="J3" s="81"/>
      <c r="K3" s="82"/>
      <c r="L3" s="82"/>
      <c r="M3" s="82"/>
      <c r="N3" s="82"/>
      <c r="O3" s="82"/>
      <c r="P3" s="82"/>
      <c r="Q3" s="79"/>
      <c r="R3" s="79"/>
      <c r="S3" s="83"/>
      <c r="T3" s="83"/>
      <c r="U3" s="83"/>
      <c r="V3" s="83"/>
      <c r="W3" s="83"/>
      <c r="X3" s="83"/>
      <c r="Y3" s="83"/>
      <c r="Z3" s="83"/>
      <c r="AA3" s="78"/>
      <c r="AB3" s="78"/>
      <c r="AC3" s="78"/>
    </row>
    <row r="4" spans="1:31" ht="14.1" customHeight="1">
      <c r="A4" s="75">
        <v>4</v>
      </c>
      <c r="B4" s="37" t="str">
        <f>'2-Kosten per locatie'!A4</f>
        <v>Calculatie onderdeel</v>
      </c>
      <c r="C4" s="45" t="e">
        <f ca="1">MID(CELL("bestandsnaam",$D$9),SEARCH("]",CELL("bestandsnaam",$D$9),1)+1,256)</f>
        <v>#VALUE!</v>
      </c>
      <c r="E4" s="225"/>
      <c r="H4" s="79"/>
      <c r="I4" s="80"/>
      <c r="J4" s="81"/>
      <c r="K4" s="82"/>
      <c r="L4" s="82"/>
      <c r="M4" s="82"/>
      <c r="N4" s="82"/>
      <c r="O4" s="82"/>
      <c r="P4" s="82"/>
      <c r="Q4" s="79"/>
      <c r="R4" s="79"/>
      <c r="S4" s="83"/>
      <c r="T4" s="83"/>
      <c r="U4" s="83"/>
      <c r="V4" s="83"/>
      <c r="W4" s="83"/>
      <c r="X4" s="83"/>
      <c r="Y4" s="83"/>
      <c r="Z4" s="83"/>
      <c r="AA4" s="78"/>
      <c r="AB4" s="78"/>
      <c r="AC4" s="78"/>
    </row>
    <row r="5" spans="1:31" ht="14.1" customHeight="1">
      <c r="A5" s="75">
        <v>5</v>
      </c>
      <c r="B5" s="37" t="str">
        <f>'2-Kosten per locatie'!A5</f>
        <v>Gebouw/plaats</v>
      </c>
      <c r="C5" s="45" t="str">
        <f>'2-Kosten per locatie'!B5</f>
        <v>Perceel 1</v>
      </c>
      <c r="E5" s="224"/>
      <c r="H5" s="79"/>
      <c r="I5" s="80"/>
      <c r="J5" s="81"/>
      <c r="K5" s="82"/>
      <c r="L5" s="82"/>
      <c r="M5" s="82"/>
      <c r="N5" s="82"/>
      <c r="O5" s="82"/>
      <c r="P5" s="82"/>
      <c r="Q5" s="79"/>
      <c r="R5" s="79"/>
      <c r="S5" s="83"/>
      <c r="T5" s="83"/>
      <c r="U5" s="83"/>
      <c r="V5" s="83"/>
      <c r="W5" s="83"/>
      <c r="X5" s="83"/>
      <c r="Y5" s="83"/>
      <c r="Z5" s="83"/>
      <c r="AA5" s="78"/>
      <c r="AB5" s="78"/>
      <c r="AC5" s="78"/>
    </row>
    <row r="6" spans="1:31" ht="14.1" customHeight="1">
      <c r="A6" s="75">
        <v>6</v>
      </c>
      <c r="B6" s="37" t="str">
        <f>'2-Kosten per locatie'!A6</f>
        <v>Referentie nummer</v>
      </c>
      <c r="C6" s="45">
        <f>'2-Kosten per locatie'!B6</f>
        <v>0</v>
      </c>
      <c r="E6" s="224"/>
      <c r="H6" s="79"/>
      <c r="I6" s="80"/>
      <c r="J6" s="81"/>
      <c r="K6" s="82"/>
      <c r="L6" s="82"/>
      <c r="M6" s="82"/>
      <c r="N6" s="82"/>
      <c r="O6" s="82"/>
      <c r="P6" s="82"/>
      <c r="Q6" s="79"/>
      <c r="R6" s="79"/>
      <c r="S6" s="83"/>
      <c r="T6" s="83"/>
      <c r="U6" s="83"/>
      <c r="V6" s="83"/>
      <c r="W6" s="83"/>
      <c r="X6" s="416" t="s">
        <v>125</v>
      </c>
      <c r="Y6" s="417"/>
      <c r="Z6" s="418"/>
      <c r="AA6" s="78"/>
      <c r="AB6" s="78"/>
      <c r="AC6" s="78"/>
    </row>
    <row r="7" spans="1:31" ht="12.75" customHeight="1">
      <c r="A7" s="75">
        <v>7</v>
      </c>
      <c r="B7" s="37" t="str">
        <f>'2-Kosten per locatie'!A7</f>
        <v>Naam dienstverlener</v>
      </c>
      <c r="C7" s="45">
        <f>'2-Kosten per locatie'!B7</f>
        <v>0</v>
      </c>
      <c r="E7" s="224"/>
      <c r="H7" s="79"/>
      <c r="I7" s="80"/>
      <c r="J7" s="81"/>
      <c r="K7" s="82"/>
      <c r="L7" s="82"/>
      <c r="M7" s="82"/>
      <c r="N7" s="82"/>
      <c r="O7" s="82"/>
      <c r="P7" s="82"/>
      <c r="Q7" s="79"/>
      <c r="R7" s="79"/>
      <c r="S7" s="83"/>
      <c r="T7" s="83"/>
      <c r="U7" s="83"/>
      <c r="V7" s="83"/>
      <c r="W7" s="83"/>
      <c r="X7" s="419"/>
      <c r="Y7" s="420"/>
      <c r="Z7" s="421"/>
      <c r="AA7" s="78"/>
      <c r="AB7" s="78"/>
      <c r="AC7" s="78"/>
    </row>
    <row r="8" spans="1:31" ht="14.1" customHeight="1">
      <c r="A8" s="75">
        <v>8</v>
      </c>
      <c r="B8" s="78"/>
      <c r="C8" s="78"/>
      <c r="D8" s="77"/>
      <c r="E8" s="223"/>
      <c r="F8" s="78"/>
      <c r="G8" s="78"/>
      <c r="H8" s="79"/>
      <c r="I8" s="80"/>
      <c r="J8" s="81"/>
      <c r="K8" s="82"/>
      <c r="L8" s="82"/>
      <c r="M8" s="82"/>
      <c r="N8" s="82"/>
      <c r="O8" s="82"/>
      <c r="P8" s="82"/>
      <c r="Q8" s="79"/>
      <c r="R8" s="79"/>
      <c r="S8" s="79"/>
      <c r="T8" s="79"/>
      <c r="U8" s="79"/>
      <c r="V8" s="79"/>
      <c r="W8" s="79"/>
      <c r="X8" s="300">
        <f>'3-Productie normen'!Q8</f>
        <v>0</v>
      </c>
      <c r="Y8" s="300">
        <f>'3-Productie normen'!R8</f>
        <v>0</v>
      </c>
      <c r="Z8" s="300">
        <f>'3-Productie normen'!S8</f>
        <v>0</v>
      </c>
      <c r="AA8" s="78"/>
      <c r="AB8" s="78"/>
      <c r="AC8" s="78"/>
    </row>
    <row r="9" spans="1:31" ht="44.1" customHeight="1">
      <c r="A9" s="75">
        <v>9</v>
      </c>
      <c r="B9" s="201" t="s">
        <v>126</v>
      </c>
      <c r="C9" s="201" t="s">
        <v>127</v>
      </c>
      <c r="D9" s="201" t="s">
        <v>128</v>
      </c>
      <c r="E9" s="201" t="s">
        <v>129</v>
      </c>
      <c r="F9" s="201" t="s">
        <v>130</v>
      </c>
      <c r="G9" s="201" t="s">
        <v>131</v>
      </c>
      <c r="H9" s="301" t="s">
        <v>132</v>
      </c>
      <c r="I9" s="302" t="s">
        <v>133</v>
      </c>
      <c r="J9" s="303" t="s">
        <v>134</v>
      </c>
      <c r="K9" s="189" t="s">
        <v>135</v>
      </c>
      <c r="L9" s="189" t="s">
        <v>136</v>
      </c>
      <c r="M9" s="189" t="s">
        <v>137</v>
      </c>
      <c r="N9" s="189" t="s">
        <v>138</v>
      </c>
      <c r="O9" s="189" t="s">
        <v>139</v>
      </c>
      <c r="P9" s="189" t="s">
        <v>140</v>
      </c>
      <c r="Q9" s="303" t="s">
        <v>141</v>
      </c>
      <c r="R9" s="303" t="s">
        <v>142</v>
      </c>
      <c r="S9" s="303" t="s">
        <v>143</v>
      </c>
      <c r="T9" s="303" t="s">
        <v>144</v>
      </c>
      <c r="U9" s="303" t="s">
        <v>145</v>
      </c>
      <c r="V9" s="303" t="s">
        <v>146</v>
      </c>
      <c r="W9" s="303" t="s">
        <v>147</v>
      </c>
      <c r="X9" s="303" t="s">
        <v>88</v>
      </c>
      <c r="Y9" s="303" t="s">
        <v>89</v>
      </c>
      <c r="Z9" s="303" t="s">
        <v>90</v>
      </c>
      <c r="AA9" s="194" t="s">
        <v>148</v>
      </c>
      <c r="AB9" s="194" t="s">
        <v>149</v>
      </c>
      <c r="AC9" s="194" t="s">
        <v>150</v>
      </c>
      <c r="AD9" s="195"/>
      <c r="AE9" s="194" t="s">
        <v>151</v>
      </c>
    </row>
    <row r="10" spans="1:31" s="13" customFormat="1" ht="14.1" hidden="1" customHeight="1">
      <c r="A10" s="75">
        <v>10</v>
      </c>
      <c r="B10" s="380" t="s">
        <v>60</v>
      </c>
      <c r="C10" s="276" t="s">
        <v>152</v>
      </c>
      <c r="D10" s="304" t="s">
        <v>153</v>
      </c>
      <c r="E10" s="305" t="s">
        <v>154</v>
      </c>
      <c r="F10" s="276" t="s">
        <v>155</v>
      </c>
      <c r="G10" s="276" t="s">
        <v>96</v>
      </c>
      <c r="H10" s="71" t="s">
        <v>156</v>
      </c>
      <c r="I10" s="388">
        <v>5.3</v>
      </c>
      <c r="J10" s="306">
        <f>SUM(K10:P10)</f>
        <v>255</v>
      </c>
      <c r="K10" s="230">
        <v>255</v>
      </c>
      <c r="L10" s="230"/>
      <c r="M10" s="230"/>
      <c r="N10" s="230"/>
      <c r="O10" s="230"/>
      <c r="P10" s="230"/>
      <c r="Q10" s="229" t="e">
        <f>IF(K10="nio",0,IF(K10&gt;0,K10*I10/W10,0))*VLOOKUP(B10,'2-Kosten per locatie'!$A$14:$C$25,3,FALSE)</f>
        <v>#DIV/0!</v>
      </c>
      <c r="R10" s="229">
        <f>IF(L10&gt;0,L10*I10/X10,0)*VLOOKUP(B10,'2-Kosten per locatie'!$A$14:$C$25,3,FALSE)</f>
        <v>0</v>
      </c>
      <c r="S10" s="229">
        <f>IF(M10&gt;0,M10*I10/Y10,0)*VLOOKUP(B10,'2-Kosten per locatie'!$A$14:$C$25,3,FALSE)</f>
        <v>0</v>
      </c>
      <c r="T10" s="229">
        <f>IF(N10&gt;0,N10*I10/Z10,0)*VLOOKUP(B10,'2-Kosten per locatie'!$A$14:$C$25,3,FALSE)</f>
        <v>0</v>
      </c>
      <c r="U10" s="229">
        <f>IF(O10&gt;0,O10*I10/Y10,0)*VLOOKUP(B10,'2-Kosten per locatie'!$A$14:$C$25,3,FALSE)</f>
        <v>0</v>
      </c>
      <c r="V10" s="229">
        <f>IF(P10&gt;0,P10*I10/Z10,0)*VLOOKUP(B10,'2-Kosten per locatie'!$A$14:$C$25,3,FALSE)</f>
        <v>0</v>
      </c>
      <c r="W10" s="307">
        <f>IF(K10="nio",0,IF(K10&gt;0,VLOOKUP(G10,'3-Productie normen'!A:R,VLOOKUP(K10,'3-Productie normen'!$B$29:$C$41,2,FALSE),FALSE)))</f>
        <v>0</v>
      </c>
      <c r="X10" s="307">
        <f t="shared" ref="X10" si="0">IF(L10&gt;0,W10*$X$8,0)</f>
        <v>0</v>
      </c>
      <c r="Y10" s="307">
        <f>IF((OR(M10&gt;0,O10&gt;0)),W10*$Y$8,0)</f>
        <v>0</v>
      </c>
      <c r="Z10" s="307">
        <f>IF((OR(N10&gt;0,P10&gt;0)),W10*$Z$8,0)</f>
        <v>0</v>
      </c>
      <c r="AA10" s="308">
        <f>VLOOKUP(G10,'3-Productie normen'!A:U,15,FALSE)</f>
        <v>0</v>
      </c>
      <c r="AB10" s="309">
        <f>VLOOKUP(G10,'3-Productie normen'!A:U,16,FALSE)</f>
        <v>84.322499999999991</v>
      </c>
      <c r="AC10" s="308"/>
      <c r="AD10" s="57"/>
      <c r="AE10" s="310">
        <f t="shared" ref="AE10" si="1">J10*I10</f>
        <v>1351.5</v>
      </c>
    </row>
    <row r="11" spans="1:31" s="13" customFormat="1" ht="14.1" hidden="1" customHeight="1">
      <c r="A11" s="75"/>
      <c r="B11" s="380" t="s">
        <v>60</v>
      </c>
      <c r="C11" s="276" t="s">
        <v>152</v>
      </c>
      <c r="D11" s="304" t="s">
        <v>153</v>
      </c>
      <c r="E11" s="305" t="s">
        <v>154</v>
      </c>
      <c r="F11" s="276" t="s">
        <v>157</v>
      </c>
      <c r="G11" s="276" t="s">
        <v>108</v>
      </c>
      <c r="H11" s="71" t="s">
        <v>158</v>
      </c>
      <c r="I11" s="388">
        <v>130</v>
      </c>
      <c r="J11" s="306">
        <f t="shared" ref="J11:J41" si="2">SUM(K11:P11)</f>
        <v>156</v>
      </c>
      <c r="K11" s="230">
        <v>156</v>
      </c>
      <c r="L11" s="230"/>
      <c r="M11" s="230"/>
      <c r="N11" s="230"/>
      <c r="O11" s="230"/>
      <c r="P11" s="230"/>
      <c r="Q11" s="229" t="e">
        <f>IF(K11="nio",0,IF(K11&gt;0,K11*I11/W11,0))*VLOOKUP(B11,'2-Kosten per locatie'!$A$14:$C$25,3,FALSE)</f>
        <v>#DIV/0!</v>
      </c>
      <c r="R11" s="229">
        <f>IF(L11&gt;0,L11*I11/X11,0)*VLOOKUP(B11,'2-Kosten per locatie'!$A$14:$C$25,3,FALSE)</f>
        <v>0</v>
      </c>
      <c r="S11" s="229">
        <f>IF(M11&gt;0,M11*I11/Y11,0)*VLOOKUP(B11,'2-Kosten per locatie'!$A$14:$C$25,3,FALSE)</f>
        <v>0</v>
      </c>
      <c r="T11" s="229">
        <f>IF(N11&gt;0,N11*I11/Z11,0)*VLOOKUP(B11,'2-Kosten per locatie'!$A$14:$C$25,3,FALSE)</f>
        <v>0</v>
      </c>
      <c r="U11" s="229">
        <f>IF(O11&gt;0,O11*I11/Y11,0)*VLOOKUP(B11,'2-Kosten per locatie'!$A$14:$C$25,3,FALSE)</f>
        <v>0</v>
      </c>
      <c r="V11" s="229">
        <f>IF(P11&gt;0,P11*I11/Z11,0)*VLOOKUP(B11,'2-Kosten per locatie'!$A$14:$C$25,3,FALSE)</f>
        <v>0</v>
      </c>
      <c r="W11" s="307">
        <f>IF(K11="nio",0,IF(K11&gt;0,VLOOKUP(G11,'3-Productie normen'!A:R,VLOOKUP(K11,'3-Productie normen'!$B$29:$C$41,2,FALSE),FALSE)))</f>
        <v>0</v>
      </c>
      <c r="X11" s="307">
        <f t="shared" ref="X11" si="3">IF(L11&gt;0,W11*$X$8,0)</f>
        <v>0</v>
      </c>
      <c r="Y11" s="307">
        <f>IF((OR(M11&gt;0,O11&gt;0)),W11*$Y$8,0)</f>
        <v>0</v>
      </c>
      <c r="Z11" s="307">
        <f>IF((OR(N11&gt;0,P11&gt;0)),W11*$Z$8,0)</f>
        <v>0</v>
      </c>
      <c r="AA11" s="308">
        <f>VLOOKUP(G11,'3-Productie normen'!A:U,15,FALSE)</f>
        <v>0</v>
      </c>
      <c r="AB11" s="309">
        <f>VLOOKUP(G11,'3-Productie normen'!A:U,16,FALSE)</f>
        <v>162.09999999999997</v>
      </c>
      <c r="AC11" s="308"/>
      <c r="AD11" s="57"/>
      <c r="AE11" s="310">
        <f t="shared" ref="AE11" si="4">J11*I11</f>
        <v>20280</v>
      </c>
    </row>
    <row r="12" spans="1:31" ht="14.1" hidden="1" customHeight="1">
      <c r="A12" s="75">
        <v>11</v>
      </c>
      <c r="B12" s="380" t="s">
        <v>60</v>
      </c>
      <c r="C12" s="276" t="s">
        <v>152</v>
      </c>
      <c r="D12" s="304" t="s">
        <v>153</v>
      </c>
      <c r="E12" s="305" t="s">
        <v>154</v>
      </c>
      <c r="F12" s="276" t="s">
        <v>159</v>
      </c>
      <c r="G12" s="276" t="s">
        <v>92</v>
      </c>
      <c r="H12" s="71" t="s">
        <v>156</v>
      </c>
      <c r="I12" s="388">
        <v>50.8</v>
      </c>
      <c r="J12" s="306">
        <f t="shared" si="2"/>
        <v>104</v>
      </c>
      <c r="K12" s="230">
        <v>104</v>
      </c>
      <c r="L12" s="230"/>
      <c r="M12" s="230"/>
      <c r="N12" s="230"/>
      <c r="O12" s="230"/>
      <c r="P12" s="230"/>
      <c r="Q12" s="229" t="e">
        <f>IF(K12="nio",0,IF(K12&gt;0,K12*I12/W12,0))*VLOOKUP(B12,'2-Kosten per locatie'!$A$14:$C$25,3,FALSE)</f>
        <v>#DIV/0!</v>
      </c>
      <c r="R12" s="229">
        <f>IF(L12&gt;0,L12*I12/X12,0)*VLOOKUP(B12,'2-Kosten per locatie'!$A$14:$C$25,3,FALSE)</f>
        <v>0</v>
      </c>
      <c r="S12" s="229">
        <f>IF(M12&gt;0,M12*I12/Y12,0)*VLOOKUP(B12,'2-Kosten per locatie'!$A$14:$C$25,3,FALSE)</f>
        <v>0</v>
      </c>
      <c r="T12" s="229">
        <f>IF(N12&gt;0,N12*I12/Z12,0)*VLOOKUP(B12,'2-Kosten per locatie'!$A$14:$C$25,3,FALSE)</f>
        <v>0</v>
      </c>
      <c r="U12" s="229">
        <f>IF(O12&gt;0,O12*I12/Y12,0)*VLOOKUP(B12,'2-Kosten per locatie'!$A$14:$C$25,3,FALSE)</f>
        <v>0</v>
      </c>
      <c r="V12" s="229">
        <f>IF(P12&gt;0,P12*I12/Z12,0)*VLOOKUP(B12,'2-Kosten per locatie'!$A$14:$C$25,3,FALSE)</f>
        <v>0</v>
      </c>
      <c r="W12" s="307">
        <f>IF(K12="nio",0,IF(K12&gt;0,VLOOKUP(G12,'3-Productie normen'!A:R,VLOOKUP(K12,'3-Productie normen'!$B$29:$C$41,2,FALSE),FALSE)))</f>
        <v>0</v>
      </c>
      <c r="X12" s="307">
        <f t="shared" ref="X12:X78" si="5">IF(L12&gt;0,W12*$X$8,0)</f>
        <v>0</v>
      </c>
      <c r="Y12" s="307">
        <f t="shared" ref="Y12:Y78" si="6">IF((OR(M12&gt;0,O12&gt;0)),W12*$Y$8,0)</f>
        <v>0</v>
      </c>
      <c r="Z12" s="307">
        <f t="shared" ref="Z12:Z78" si="7">IF((OR(N12&gt;0,P12&gt;0)),W12*$Z$8,0)</f>
        <v>0</v>
      </c>
      <c r="AA12" s="308">
        <f>VLOOKUP(G12,'3-Productie normen'!A:U,15,FALSE)</f>
        <v>0</v>
      </c>
      <c r="AB12" s="309">
        <f>VLOOKUP(G12,'3-Productie normen'!A:U,16,FALSE)</f>
        <v>915.88999999999976</v>
      </c>
      <c r="AC12" s="308"/>
      <c r="AE12" s="310">
        <f t="shared" ref="AE12:AE78" si="8">J12*I12</f>
        <v>5283.2</v>
      </c>
    </row>
    <row r="13" spans="1:31" ht="14.1" hidden="1" customHeight="1">
      <c r="A13" s="75">
        <v>12</v>
      </c>
      <c r="B13" s="380" t="s">
        <v>60</v>
      </c>
      <c r="C13" s="276" t="s">
        <v>152</v>
      </c>
      <c r="D13" s="304" t="s">
        <v>153</v>
      </c>
      <c r="E13" s="305" t="s">
        <v>154</v>
      </c>
      <c r="F13" s="276" t="s">
        <v>160</v>
      </c>
      <c r="G13" s="276" t="s">
        <v>92</v>
      </c>
      <c r="H13" s="71" t="s">
        <v>156</v>
      </c>
      <c r="I13" s="388">
        <v>35.9</v>
      </c>
      <c r="J13" s="306">
        <f t="shared" si="2"/>
        <v>104</v>
      </c>
      <c r="K13" s="230">
        <v>104</v>
      </c>
      <c r="L13" s="230"/>
      <c r="M13" s="230"/>
      <c r="N13" s="230"/>
      <c r="O13" s="230"/>
      <c r="P13" s="230"/>
      <c r="Q13" s="229" t="e">
        <f>IF(K13="nio",0,IF(K13&gt;0,K13*I13/W13,0))*VLOOKUP(B13,'2-Kosten per locatie'!$A$14:$C$25,3,FALSE)</f>
        <v>#DIV/0!</v>
      </c>
      <c r="R13" s="229">
        <f>IF(L13&gt;0,L13*I13/X13,0)*VLOOKUP(B13,'2-Kosten per locatie'!$A$14:$C$25,3,FALSE)</f>
        <v>0</v>
      </c>
      <c r="S13" s="229">
        <f>IF(M13&gt;0,M13*I13/Y13,0)*VLOOKUP(B13,'2-Kosten per locatie'!$A$14:$C$25,3,FALSE)</f>
        <v>0</v>
      </c>
      <c r="T13" s="229">
        <f>IF(N13&gt;0,N13*I13/Z13,0)*VLOOKUP(B13,'2-Kosten per locatie'!$A$14:$C$25,3,FALSE)</f>
        <v>0</v>
      </c>
      <c r="U13" s="229">
        <f>IF(O13&gt;0,O13*I13/Y13,0)*VLOOKUP(B13,'2-Kosten per locatie'!$A$14:$C$25,3,FALSE)</f>
        <v>0</v>
      </c>
      <c r="V13" s="229">
        <f>IF(P13&gt;0,P13*I13/Z13,0)*VLOOKUP(B13,'2-Kosten per locatie'!$A$14:$C$25,3,FALSE)</f>
        <v>0</v>
      </c>
      <c r="W13" s="307">
        <f>IF(K13="nio",0,IF(K13&gt;0,VLOOKUP(G13,'3-Productie normen'!A:R,VLOOKUP(K13,'3-Productie normen'!$B$29:$C$41,2,FALSE),FALSE)))</f>
        <v>0</v>
      </c>
      <c r="X13" s="307">
        <f t="shared" si="5"/>
        <v>0</v>
      </c>
      <c r="Y13" s="307">
        <f t="shared" si="6"/>
        <v>0</v>
      </c>
      <c r="Z13" s="307">
        <f t="shared" si="7"/>
        <v>0</v>
      </c>
      <c r="AA13" s="308">
        <f>VLOOKUP(G13,'3-Productie normen'!A:U,15,FALSE)</f>
        <v>0</v>
      </c>
      <c r="AB13" s="309">
        <f>VLOOKUP(G13,'3-Productie normen'!A:U,16,FALSE)</f>
        <v>915.88999999999976</v>
      </c>
      <c r="AC13" s="308"/>
      <c r="AE13" s="310">
        <f t="shared" si="8"/>
        <v>3733.6</v>
      </c>
    </row>
    <row r="14" spans="1:31" ht="14.1" hidden="1" customHeight="1">
      <c r="A14" s="75">
        <v>13</v>
      </c>
      <c r="B14" s="380" t="s">
        <v>60</v>
      </c>
      <c r="C14" s="276" t="s">
        <v>152</v>
      </c>
      <c r="D14" s="304" t="s">
        <v>153</v>
      </c>
      <c r="E14" s="305" t="s">
        <v>154</v>
      </c>
      <c r="F14" s="71" t="s">
        <v>161</v>
      </c>
      <c r="G14" s="71" t="s">
        <v>92</v>
      </c>
      <c r="H14" s="71" t="s">
        <v>156</v>
      </c>
      <c r="I14" s="388">
        <v>34.6</v>
      </c>
      <c r="J14" s="306">
        <f t="shared" si="2"/>
        <v>104</v>
      </c>
      <c r="K14" s="230">
        <v>104</v>
      </c>
      <c r="L14" s="230"/>
      <c r="M14" s="230"/>
      <c r="N14" s="230"/>
      <c r="O14" s="230"/>
      <c r="P14" s="230"/>
      <c r="Q14" s="229" t="e">
        <f>IF(K14="nio",0,IF(K14&gt;0,K14*I14/W14,0))*VLOOKUP(B14,'2-Kosten per locatie'!$A$14:$C$25,3,FALSE)</f>
        <v>#DIV/0!</v>
      </c>
      <c r="R14" s="229">
        <f>IF(L14&gt;0,L14*I14/X14,0)*VLOOKUP(B14,'2-Kosten per locatie'!$A$14:$C$25,3,FALSE)</f>
        <v>0</v>
      </c>
      <c r="S14" s="229">
        <f>IF(M14&gt;0,M14*I14/Y14,0)*VLOOKUP(B14,'2-Kosten per locatie'!$A$14:$C$25,3,FALSE)</f>
        <v>0</v>
      </c>
      <c r="T14" s="229">
        <f>IF(N14&gt;0,N14*I14/Z14,0)*VLOOKUP(B14,'2-Kosten per locatie'!$A$14:$C$25,3,FALSE)</f>
        <v>0</v>
      </c>
      <c r="U14" s="229">
        <f>IF(O14&gt;0,O14*I14/Y14,0)*VLOOKUP(B14,'2-Kosten per locatie'!$A$14:$C$25,3,FALSE)</f>
        <v>0</v>
      </c>
      <c r="V14" s="229">
        <f>IF(P14&gt;0,P14*I14/Z14,0)*VLOOKUP(B14,'2-Kosten per locatie'!$A$14:$C$25,3,FALSE)</f>
        <v>0</v>
      </c>
      <c r="W14" s="307">
        <f>IF(K14="nio",0,IF(K14&gt;0,VLOOKUP(G14,'3-Productie normen'!A:R,VLOOKUP(K14,'3-Productie normen'!$B$29:$C$41,2,FALSE),FALSE)))</f>
        <v>0</v>
      </c>
      <c r="X14" s="307">
        <f t="shared" si="5"/>
        <v>0</v>
      </c>
      <c r="Y14" s="307">
        <f t="shared" si="6"/>
        <v>0</v>
      </c>
      <c r="Z14" s="307">
        <f t="shared" si="7"/>
        <v>0</v>
      </c>
      <c r="AA14" s="308">
        <f>VLOOKUP(G14,'3-Productie normen'!A:U,15,FALSE)</f>
        <v>0</v>
      </c>
      <c r="AB14" s="309">
        <f>VLOOKUP(G14,'3-Productie normen'!A:U,16,FALSE)</f>
        <v>915.88999999999976</v>
      </c>
      <c r="AC14" s="308"/>
      <c r="AE14" s="310">
        <f t="shared" si="8"/>
        <v>3598.4</v>
      </c>
    </row>
    <row r="15" spans="1:31" ht="14.1" hidden="1" customHeight="1">
      <c r="A15" s="75">
        <v>14</v>
      </c>
      <c r="B15" s="380" t="s">
        <v>60</v>
      </c>
      <c r="C15" s="276" t="s">
        <v>152</v>
      </c>
      <c r="D15" s="304" t="s">
        <v>153</v>
      </c>
      <c r="E15" s="226" t="s">
        <v>154</v>
      </c>
      <c r="F15" s="85" t="s">
        <v>162</v>
      </c>
      <c r="G15" s="288" t="s">
        <v>92</v>
      </c>
      <c r="H15" s="71" t="s">
        <v>156</v>
      </c>
      <c r="I15" s="388">
        <v>25.5</v>
      </c>
      <c r="J15" s="306">
        <f t="shared" si="2"/>
        <v>204</v>
      </c>
      <c r="K15" s="230">
        <v>204</v>
      </c>
      <c r="L15" s="230"/>
      <c r="M15" s="230"/>
      <c r="N15" s="230"/>
      <c r="O15" s="230"/>
      <c r="P15" s="230"/>
      <c r="Q15" s="229" t="e">
        <f>IF(K15="nio",0,IF(K15&gt;0,K15*I15/W15,0))*VLOOKUP(B15,'2-Kosten per locatie'!$A$14:$C$25,3,FALSE)</f>
        <v>#DIV/0!</v>
      </c>
      <c r="R15" s="229">
        <f>IF(L15&gt;0,L15*I15/X15,0)*VLOOKUP(B15,'2-Kosten per locatie'!$A$14:$C$25,3,FALSE)</f>
        <v>0</v>
      </c>
      <c r="S15" s="229">
        <f>IF(M15&gt;0,M15*I15/Y15,0)*VLOOKUP(B15,'2-Kosten per locatie'!$A$14:$C$25,3,FALSE)</f>
        <v>0</v>
      </c>
      <c r="T15" s="229">
        <f>IF(N15&gt;0,N15*I15/Z15,0)*VLOOKUP(B15,'2-Kosten per locatie'!$A$14:$C$25,3,FALSE)</f>
        <v>0</v>
      </c>
      <c r="U15" s="229">
        <f>IF(O15&gt;0,O15*I15/Y15,0)*VLOOKUP(B15,'2-Kosten per locatie'!$A$14:$C$25,3,FALSE)</f>
        <v>0</v>
      </c>
      <c r="V15" s="229">
        <f>IF(P15&gt;0,P15*I15/Z15,0)*VLOOKUP(B15,'2-Kosten per locatie'!$A$14:$C$25,3,FALSE)</f>
        <v>0</v>
      </c>
      <c r="W15" s="307">
        <f>IF(K15="nio",0,IF(K15&gt;0,VLOOKUP(G15,'3-Productie normen'!A:R,VLOOKUP(K15,'3-Productie normen'!$B$29:$C$41,2,FALSE),FALSE)))</f>
        <v>0</v>
      </c>
      <c r="X15" s="307">
        <f t="shared" si="5"/>
        <v>0</v>
      </c>
      <c r="Y15" s="307">
        <f t="shared" si="6"/>
        <v>0</v>
      </c>
      <c r="Z15" s="307">
        <f t="shared" si="7"/>
        <v>0</v>
      </c>
      <c r="AA15" s="308">
        <f>VLOOKUP(G15,'3-Productie normen'!A:U,15,FALSE)</f>
        <v>0</v>
      </c>
      <c r="AB15" s="309">
        <f>VLOOKUP(G15,'3-Productie normen'!A:U,16,FALSE)</f>
        <v>915.88999999999976</v>
      </c>
      <c r="AC15" s="308"/>
      <c r="AE15" s="310">
        <f t="shared" si="8"/>
        <v>5202</v>
      </c>
    </row>
    <row r="16" spans="1:31" ht="14.1" hidden="1" customHeight="1">
      <c r="A16" s="75">
        <v>15</v>
      </c>
      <c r="B16" s="380" t="s">
        <v>60</v>
      </c>
      <c r="C16" s="276" t="s">
        <v>152</v>
      </c>
      <c r="D16" s="304" t="s">
        <v>153</v>
      </c>
      <c r="E16" s="305" t="s">
        <v>154</v>
      </c>
      <c r="F16" s="276" t="s">
        <v>163</v>
      </c>
      <c r="G16" s="276" t="s">
        <v>92</v>
      </c>
      <c r="H16" s="71" t="s">
        <v>156</v>
      </c>
      <c r="I16" s="388">
        <v>16.8</v>
      </c>
      <c r="J16" s="306">
        <f t="shared" si="2"/>
        <v>104</v>
      </c>
      <c r="K16" s="230">
        <v>104</v>
      </c>
      <c r="L16" s="230"/>
      <c r="M16" s="230"/>
      <c r="N16" s="230"/>
      <c r="O16" s="230"/>
      <c r="P16" s="230"/>
      <c r="Q16" s="229" t="e">
        <f>IF(K16="nio",0,IF(K16&gt;0,K16*I16/W16,0))*VLOOKUP(B16,'2-Kosten per locatie'!$A$14:$C$25,3,FALSE)</f>
        <v>#DIV/0!</v>
      </c>
      <c r="R16" s="229">
        <f>IF(L16&gt;0,L16*I16/X16,0)*VLOOKUP(B16,'2-Kosten per locatie'!$A$14:$C$25,3,FALSE)</f>
        <v>0</v>
      </c>
      <c r="S16" s="229">
        <f>IF(M16&gt;0,M16*I16/Y16,0)*VLOOKUP(B16,'2-Kosten per locatie'!$A$14:$C$25,3,FALSE)</f>
        <v>0</v>
      </c>
      <c r="T16" s="229">
        <f>IF(N16&gt;0,N16*I16/Z16,0)*VLOOKUP(B16,'2-Kosten per locatie'!$A$14:$C$25,3,FALSE)</f>
        <v>0</v>
      </c>
      <c r="U16" s="229">
        <f>IF(O16&gt;0,O16*I16/Y16,0)*VLOOKUP(B16,'2-Kosten per locatie'!$A$14:$C$25,3,FALSE)</f>
        <v>0</v>
      </c>
      <c r="V16" s="229">
        <f>IF(P16&gt;0,P16*I16/Z16,0)*VLOOKUP(B16,'2-Kosten per locatie'!$A$14:$C$25,3,FALSE)</f>
        <v>0</v>
      </c>
      <c r="W16" s="307">
        <f>IF(K16="nio",0,IF(K16&gt;0,VLOOKUP(G16,'3-Productie normen'!A:R,VLOOKUP(K16,'3-Productie normen'!$B$29:$C$41,2,FALSE),FALSE)))</f>
        <v>0</v>
      </c>
      <c r="X16" s="307">
        <f t="shared" si="5"/>
        <v>0</v>
      </c>
      <c r="Y16" s="307">
        <f t="shared" si="6"/>
        <v>0</v>
      </c>
      <c r="Z16" s="307">
        <f t="shared" si="7"/>
        <v>0</v>
      </c>
      <c r="AA16" s="308">
        <f>VLOOKUP(G16,'3-Productie normen'!A:U,15,FALSE)</f>
        <v>0</v>
      </c>
      <c r="AB16" s="309">
        <f>VLOOKUP(G16,'3-Productie normen'!A:U,16,FALSE)</f>
        <v>915.88999999999976</v>
      </c>
      <c r="AC16" s="308"/>
      <c r="AE16" s="310">
        <f t="shared" si="8"/>
        <v>1747.2</v>
      </c>
    </row>
    <row r="17" spans="1:31" ht="14.1" hidden="1" customHeight="1">
      <c r="A17" s="75">
        <v>16</v>
      </c>
      <c r="B17" s="380" t="s">
        <v>60</v>
      </c>
      <c r="C17" s="276" t="s">
        <v>152</v>
      </c>
      <c r="D17" s="304" t="s">
        <v>153</v>
      </c>
      <c r="E17" s="305" t="s">
        <v>154</v>
      </c>
      <c r="F17" s="276" t="s">
        <v>163</v>
      </c>
      <c r="G17" s="276" t="s">
        <v>92</v>
      </c>
      <c r="H17" s="71" t="s">
        <v>156</v>
      </c>
      <c r="I17" s="388">
        <v>10</v>
      </c>
      <c r="J17" s="306">
        <f t="shared" si="2"/>
        <v>104</v>
      </c>
      <c r="K17" s="230">
        <v>104</v>
      </c>
      <c r="L17" s="230"/>
      <c r="M17" s="230"/>
      <c r="N17" s="230"/>
      <c r="O17" s="230"/>
      <c r="P17" s="230"/>
      <c r="Q17" s="229" t="e">
        <f>IF(K17="nio",0,IF(K17&gt;0,K17*I17/W17,0))*VLOOKUP(B17,'2-Kosten per locatie'!$A$14:$C$25,3,FALSE)</f>
        <v>#DIV/0!</v>
      </c>
      <c r="R17" s="229">
        <f>IF(L17&gt;0,L17*I17/X17,0)*VLOOKUP(B17,'2-Kosten per locatie'!$A$14:$C$25,3,FALSE)</f>
        <v>0</v>
      </c>
      <c r="S17" s="229">
        <f>IF(M17&gt;0,M17*I17/Y17,0)*VLOOKUP(B17,'2-Kosten per locatie'!$A$14:$C$25,3,FALSE)</f>
        <v>0</v>
      </c>
      <c r="T17" s="229">
        <f>IF(N17&gt;0,N17*I17/Z17,0)*VLOOKUP(B17,'2-Kosten per locatie'!$A$14:$C$25,3,FALSE)</f>
        <v>0</v>
      </c>
      <c r="U17" s="229">
        <f>IF(O17&gt;0,O17*I17/Y17,0)*VLOOKUP(B17,'2-Kosten per locatie'!$A$14:$C$25,3,FALSE)</f>
        <v>0</v>
      </c>
      <c r="V17" s="229">
        <f>IF(P17&gt;0,P17*I17/Z17,0)*VLOOKUP(B17,'2-Kosten per locatie'!$A$14:$C$25,3,FALSE)</f>
        <v>0</v>
      </c>
      <c r="W17" s="307">
        <f>IF(K17="nio",0,IF(K17&gt;0,VLOOKUP(G17,'3-Productie normen'!A:R,VLOOKUP(K17,'3-Productie normen'!$B$29:$C$41,2,FALSE),FALSE)))</f>
        <v>0</v>
      </c>
      <c r="X17" s="307">
        <f t="shared" si="5"/>
        <v>0</v>
      </c>
      <c r="Y17" s="307">
        <f t="shared" si="6"/>
        <v>0</v>
      </c>
      <c r="Z17" s="307">
        <f t="shared" si="7"/>
        <v>0</v>
      </c>
      <c r="AA17" s="308">
        <f>VLOOKUP(G17,'3-Productie normen'!A:U,15,FALSE)</f>
        <v>0</v>
      </c>
      <c r="AB17" s="309">
        <f>VLOOKUP(G17,'3-Productie normen'!A:U,16,FALSE)</f>
        <v>915.88999999999976</v>
      </c>
      <c r="AC17" s="308"/>
      <c r="AE17" s="310">
        <f t="shared" si="8"/>
        <v>1040</v>
      </c>
    </row>
    <row r="18" spans="1:31" ht="14.1" hidden="1" customHeight="1">
      <c r="A18" s="75">
        <v>17</v>
      </c>
      <c r="B18" s="380" t="s">
        <v>60</v>
      </c>
      <c r="C18" s="276" t="s">
        <v>152</v>
      </c>
      <c r="D18" s="304" t="s">
        <v>153</v>
      </c>
      <c r="E18" s="305" t="s">
        <v>154</v>
      </c>
      <c r="F18" s="276" t="s">
        <v>164</v>
      </c>
      <c r="G18" s="276" t="s">
        <v>103</v>
      </c>
      <c r="H18" s="71" t="s">
        <v>165</v>
      </c>
      <c r="I18" s="388">
        <v>2</v>
      </c>
      <c r="J18" s="306">
        <f t="shared" si="2"/>
        <v>255</v>
      </c>
      <c r="K18" s="230">
        <v>255</v>
      </c>
      <c r="L18" s="230"/>
      <c r="M18" s="230"/>
      <c r="N18" s="230"/>
      <c r="O18" s="230"/>
      <c r="P18" s="230"/>
      <c r="Q18" s="229" t="e">
        <f>IF(K18="nio",0,IF(K18&gt;0,K18*I18/W18,0))*VLOOKUP(B18,'2-Kosten per locatie'!$A$14:$C$25,3,FALSE)</f>
        <v>#DIV/0!</v>
      </c>
      <c r="R18" s="229">
        <f>IF(L18&gt;0,L18*I18/X18,0)*VLOOKUP(B18,'2-Kosten per locatie'!$A$14:$C$25,3,FALSE)</f>
        <v>0</v>
      </c>
      <c r="S18" s="229">
        <f>IF(M18&gt;0,M18*I18/Y18,0)*VLOOKUP(B18,'2-Kosten per locatie'!$A$14:$C$25,3,FALSE)</f>
        <v>0</v>
      </c>
      <c r="T18" s="229">
        <f>IF(N18&gt;0,N18*I18/Z18,0)*VLOOKUP(B18,'2-Kosten per locatie'!$A$14:$C$25,3,FALSE)</f>
        <v>0</v>
      </c>
      <c r="U18" s="229">
        <f>IF(O18&gt;0,O18*I18/Y18,0)*VLOOKUP(B18,'2-Kosten per locatie'!$A$14:$C$25,3,FALSE)</f>
        <v>0</v>
      </c>
      <c r="V18" s="229">
        <f>IF(P18&gt;0,P18*I18/Z18,0)*VLOOKUP(B18,'2-Kosten per locatie'!$A$14:$C$25,3,FALSE)</f>
        <v>0</v>
      </c>
      <c r="W18" s="307">
        <f>IF(K18="nio",0,IF(K18&gt;0,VLOOKUP(G18,'3-Productie normen'!A:R,VLOOKUP(K18,'3-Productie normen'!$B$29:$C$41,2,FALSE),FALSE)))</f>
        <v>0</v>
      </c>
      <c r="X18" s="307">
        <f t="shared" si="5"/>
        <v>0</v>
      </c>
      <c r="Y18" s="307">
        <f t="shared" si="6"/>
        <v>0</v>
      </c>
      <c r="Z18" s="307">
        <f t="shared" si="7"/>
        <v>0</v>
      </c>
      <c r="AA18" s="308">
        <f>VLOOKUP(G18,'3-Productie normen'!A:U,15,FALSE)</f>
        <v>0</v>
      </c>
      <c r="AB18" s="309">
        <f>VLOOKUP(G18,'3-Productie normen'!A:U,16,FALSE)</f>
        <v>198.56500000000014</v>
      </c>
      <c r="AC18" s="308"/>
      <c r="AE18" s="310">
        <f t="shared" si="8"/>
        <v>510</v>
      </c>
    </row>
    <row r="19" spans="1:31" ht="14.1" hidden="1" customHeight="1">
      <c r="A19" s="75">
        <v>18</v>
      </c>
      <c r="B19" s="380" t="s">
        <v>60</v>
      </c>
      <c r="C19" s="276" t="s">
        <v>152</v>
      </c>
      <c r="D19" s="304" t="s">
        <v>153</v>
      </c>
      <c r="E19" s="305" t="s">
        <v>154</v>
      </c>
      <c r="F19" s="71" t="s">
        <v>166</v>
      </c>
      <c r="G19" s="71" t="s">
        <v>108</v>
      </c>
      <c r="H19" s="71" t="s">
        <v>158</v>
      </c>
      <c r="I19" s="388">
        <v>12.7</v>
      </c>
      <c r="J19" s="306">
        <f t="shared" si="2"/>
        <v>52</v>
      </c>
      <c r="K19" s="230">
        <v>52</v>
      </c>
      <c r="L19" s="230"/>
      <c r="M19" s="230"/>
      <c r="N19" s="230"/>
      <c r="O19" s="230"/>
      <c r="P19" s="230"/>
      <c r="Q19" s="229" t="e">
        <f>IF(K19="nio",0,IF(K19&gt;0,K19*I19/W19,0))*VLOOKUP(B19,'2-Kosten per locatie'!$A$14:$C$25,3,FALSE)</f>
        <v>#DIV/0!</v>
      </c>
      <c r="R19" s="229">
        <f>IF(L19&gt;0,L19*I19/X19,0)*VLOOKUP(B19,'2-Kosten per locatie'!$A$14:$C$25,3,FALSE)</f>
        <v>0</v>
      </c>
      <c r="S19" s="229">
        <f>IF(M19&gt;0,M19*I19/Y19,0)*VLOOKUP(B19,'2-Kosten per locatie'!$A$14:$C$25,3,FALSE)</f>
        <v>0</v>
      </c>
      <c r="T19" s="229">
        <f>IF(N19&gt;0,N19*I19/Z19,0)*VLOOKUP(B19,'2-Kosten per locatie'!$A$14:$C$25,3,FALSE)</f>
        <v>0</v>
      </c>
      <c r="U19" s="229">
        <f>IF(O19&gt;0,O19*I19/Y19,0)*VLOOKUP(B19,'2-Kosten per locatie'!$A$14:$C$25,3,FALSE)</f>
        <v>0</v>
      </c>
      <c r="V19" s="229">
        <f>IF(P19&gt;0,P19*I19/Z19,0)*VLOOKUP(B19,'2-Kosten per locatie'!$A$14:$C$25,3,FALSE)</f>
        <v>0</v>
      </c>
      <c r="W19" s="307">
        <f>IF(K19="nio",0,IF(K19&gt;0,VLOOKUP(G19,'3-Productie normen'!A:R,VLOOKUP(K19,'3-Productie normen'!$B$29:$C$41,2,FALSE),FALSE)))</f>
        <v>0</v>
      </c>
      <c r="X19" s="307">
        <f t="shared" si="5"/>
        <v>0</v>
      </c>
      <c r="Y19" s="307">
        <f t="shared" si="6"/>
        <v>0</v>
      </c>
      <c r="Z19" s="307">
        <f t="shared" si="7"/>
        <v>0</v>
      </c>
      <c r="AA19" s="308">
        <f>VLOOKUP(G19,'3-Productie normen'!A:U,15,FALSE)</f>
        <v>0</v>
      </c>
      <c r="AB19" s="309">
        <f>VLOOKUP(G19,'3-Productie normen'!A:U,16,FALSE)</f>
        <v>162.09999999999997</v>
      </c>
      <c r="AC19" s="308"/>
      <c r="AE19" s="310">
        <f t="shared" si="8"/>
        <v>660.4</v>
      </c>
    </row>
    <row r="20" spans="1:31" ht="14.1" hidden="1" customHeight="1">
      <c r="A20" s="75">
        <v>19</v>
      </c>
      <c r="B20" s="380" t="s">
        <v>60</v>
      </c>
      <c r="C20" s="276" t="s">
        <v>152</v>
      </c>
      <c r="D20" s="304" t="s">
        <v>153</v>
      </c>
      <c r="E20" s="226" t="s">
        <v>154</v>
      </c>
      <c r="F20" s="85" t="s">
        <v>167</v>
      </c>
      <c r="G20" s="288" t="s">
        <v>103</v>
      </c>
      <c r="H20" s="71" t="s">
        <v>158</v>
      </c>
      <c r="I20" s="388">
        <v>8</v>
      </c>
      <c r="J20" s="306">
        <f t="shared" si="2"/>
        <v>255</v>
      </c>
      <c r="K20" s="230">
        <v>255</v>
      </c>
      <c r="L20" s="230"/>
      <c r="M20" s="230"/>
      <c r="N20" s="230"/>
      <c r="O20" s="230"/>
      <c r="P20" s="230"/>
      <c r="Q20" s="229" t="e">
        <f>IF(K20="nio",0,IF(K20&gt;0,K20*I20/W20,0))*VLOOKUP(B20,'2-Kosten per locatie'!$A$14:$C$25,3,FALSE)</f>
        <v>#DIV/0!</v>
      </c>
      <c r="R20" s="229">
        <f>IF(L20&gt;0,L20*I20/X20,0)*VLOOKUP(B20,'2-Kosten per locatie'!$A$14:$C$25,3,FALSE)</f>
        <v>0</v>
      </c>
      <c r="S20" s="229">
        <f>IF(M20&gt;0,M20*I20/Y20,0)*VLOOKUP(B20,'2-Kosten per locatie'!$A$14:$C$25,3,FALSE)</f>
        <v>0</v>
      </c>
      <c r="T20" s="229">
        <f>IF(N20&gt;0,N20*I20/Z20,0)*VLOOKUP(B20,'2-Kosten per locatie'!$A$14:$C$25,3,FALSE)</f>
        <v>0</v>
      </c>
      <c r="U20" s="229">
        <f>IF(O20&gt;0,O20*I20/Y20,0)*VLOOKUP(B20,'2-Kosten per locatie'!$A$14:$C$25,3,FALSE)</f>
        <v>0</v>
      </c>
      <c r="V20" s="229">
        <f>IF(P20&gt;0,P20*I20/Z20,0)*VLOOKUP(B20,'2-Kosten per locatie'!$A$14:$C$25,3,FALSE)</f>
        <v>0</v>
      </c>
      <c r="W20" s="307">
        <f>IF(K20="nio",0,IF(K20&gt;0,VLOOKUP(G20,'3-Productie normen'!A:R,VLOOKUP(K20,'3-Productie normen'!$B$29:$C$41,2,FALSE),FALSE)))</f>
        <v>0</v>
      </c>
      <c r="X20" s="307">
        <f t="shared" si="5"/>
        <v>0</v>
      </c>
      <c r="Y20" s="307">
        <f t="shared" si="6"/>
        <v>0</v>
      </c>
      <c r="Z20" s="307">
        <f t="shared" si="7"/>
        <v>0</v>
      </c>
      <c r="AA20" s="308">
        <f>VLOOKUP(G20,'3-Productie normen'!A:U,15,FALSE)</f>
        <v>0</v>
      </c>
      <c r="AB20" s="309">
        <f>VLOOKUP(G20,'3-Productie normen'!A:U,16,FALSE)</f>
        <v>198.56500000000014</v>
      </c>
      <c r="AC20" s="308"/>
      <c r="AE20" s="310">
        <f t="shared" si="8"/>
        <v>2040</v>
      </c>
    </row>
    <row r="21" spans="1:31" ht="14.1" hidden="1" customHeight="1">
      <c r="A21" s="75">
        <v>20</v>
      </c>
      <c r="B21" s="380" t="s">
        <v>60</v>
      </c>
      <c r="C21" s="276" t="s">
        <v>152</v>
      </c>
      <c r="D21" s="304" t="s">
        <v>153</v>
      </c>
      <c r="E21" s="305" t="s">
        <v>154</v>
      </c>
      <c r="F21" s="276" t="s">
        <v>168</v>
      </c>
      <c r="G21" s="276" t="s">
        <v>103</v>
      </c>
      <c r="H21" s="71" t="s">
        <v>158</v>
      </c>
      <c r="I21" s="388">
        <v>1.2</v>
      </c>
      <c r="J21" s="306">
        <f t="shared" si="2"/>
        <v>255</v>
      </c>
      <c r="K21" s="230">
        <v>255</v>
      </c>
      <c r="L21" s="230"/>
      <c r="M21" s="230"/>
      <c r="N21" s="230"/>
      <c r="O21" s="230"/>
      <c r="P21" s="230"/>
      <c r="Q21" s="229" t="e">
        <f>IF(K21="nio",0,IF(K21&gt;0,K21*I21/W21,0))*VLOOKUP(B21,'2-Kosten per locatie'!$A$14:$C$25,3,FALSE)</f>
        <v>#DIV/0!</v>
      </c>
      <c r="R21" s="229">
        <f>IF(L21&gt;0,L21*I21/X21,0)*VLOOKUP(B21,'2-Kosten per locatie'!$A$14:$C$25,3,FALSE)</f>
        <v>0</v>
      </c>
      <c r="S21" s="229">
        <f>IF(M21&gt;0,M21*I21/Y21,0)*VLOOKUP(B21,'2-Kosten per locatie'!$A$14:$C$25,3,FALSE)</f>
        <v>0</v>
      </c>
      <c r="T21" s="229">
        <f>IF(N21&gt;0,N21*I21/Z21,0)*VLOOKUP(B21,'2-Kosten per locatie'!$A$14:$C$25,3,FALSE)</f>
        <v>0</v>
      </c>
      <c r="U21" s="229">
        <f>IF(O21&gt;0,O21*I21/Y21,0)*VLOOKUP(B21,'2-Kosten per locatie'!$A$14:$C$25,3,FALSE)</f>
        <v>0</v>
      </c>
      <c r="V21" s="229">
        <f>IF(P21&gt;0,P21*I21/Z21,0)*VLOOKUP(B21,'2-Kosten per locatie'!$A$14:$C$25,3,FALSE)</f>
        <v>0</v>
      </c>
      <c r="W21" s="307">
        <f>IF(K21="nio",0,IF(K21&gt;0,VLOOKUP(G21,'3-Productie normen'!A:R,VLOOKUP(K21,'3-Productie normen'!$B$29:$C$41,2,FALSE),FALSE)))</f>
        <v>0</v>
      </c>
      <c r="X21" s="307">
        <f t="shared" si="5"/>
        <v>0</v>
      </c>
      <c r="Y21" s="307">
        <f t="shared" si="6"/>
        <v>0</v>
      </c>
      <c r="Z21" s="307">
        <f t="shared" si="7"/>
        <v>0</v>
      </c>
      <c r="AA21" s="308">
        <f>VLOOKUP(G21,'3-Productie normen'!A:U,15,FALSE)</f>
        <v>0</v>
      </c>
      <c r="AB21" s="309">
        <f>VLOOKUP(G21,'3-Productie normen'!A:U,16,FALSE)</f>
        <v>198.56500000000014</v>
      </c>
      <c r="AC21" s="308"/>
      <c r="AE21" s="310">
        <f t="shared" si="8"/>
        <v>306</v>
      </c>
    </row>
    <row r="22" spans="1:31" ht="14.1" hidden="1" customHeight="1">
      <c r="A22" s="75">
        <v>21</v>
      </c>
      <c r="B22" s="380" t="s">
        <v>60</v>
      </c>
      <c r="C22" s="276" t="s">
        <v>152</v>
      </c>
      <c r="D22" s="304" t="s">
        <v>153</v>
      </c>
      <c r="E22" s="305" t="s">
        <v>154</v>
      </c>
      <c r="F22" s="276" t="s">
        <v>169</v>
      </c>
      <c r="G22" s="276" t="s">
        <v>103</v>
      </c>
      <c r="H22" s="71" t="s">
        <v>158</v>
      </c>
      <c r="I22" s="388">
        <v>1.2</v>
      </c>
      <c r="J22" s="306">
        <f t="shared" si="2"/>
        <v>255</v>
      </c>
      <c r="K22" s="230">
        <v>255</v>
      </c>
      <c r="L22" s="230"/>
      <c r="M22" s="230"/>
      <c r="N22" s="230"/>
      <c r="O22" s="230"/>
      <c r="P22" s="230"/>
      <c r="Q22" s="229" t="e">
        <f>IF(K22="nio",0,IF(K22&gt;0,K22*I22/W22,0))*VLOOKUP(B22,'2-Kosten per locatie'!$A$14:$C$25,3,FALSE)</f>
        <v>#DIV/0!</v>
      </c>
      <c r="R22" s="229">
        <f>IF(L22&gt;0,L22*I22/X22,0)*VLOOKUP(B22,'2-Kosten per locatie'!$A$14:$C$25,3,FALSE)</f>
        <v>0</v>
      </c>
      <c r="S22" s="229">
        <f>IF(M22&gt;0,M22*I22/Y22,0)*VLOOKUP(B22,'2-Kosten per locatie'!$A$14:$C$25,3,FALSE)</f>
        <v>0</v>
      </c>
      <c r="T22" s="229">
        <f>IF(N22&gt;0,N22*I22/Z22,0)*VLOOKUP(B22,'2-Kosten per locatie'!$A$14:$C$25,3,FALSE)</f>
        <v>0</v>
      </c>
      <c r="U22" s="229">
        <f>IF(O22&gt;0,O22*I22/Y22,0)*VLOOKUP(B22,'2-Kosten per locatie'!$A$14:$C$25,3,FALSE)</f>
        <v>0</v>
      </c>
      <c r="V22" s="229">
        <f>IF(P22&gt;0,P22*I22/Z22,0)*VLOOKUP(B22,'2-Kosten per locatie'!$A$14:$C$25,3,FALSE)</f>
        <v>0</v>
      </c>
      <c r="W22" s="307">
        <f>IF(K22="nio",0,IF(K22&gt;0,VLOOKUP(G22,'3-Productie normen'!A:R,VLOOKUP(K22,'3-Productie normen'!$B$29:$C$41,2,FALSE),FALSE)))</f>
        <v>0</v>
      </c>
      <c r="X22" s="307">
        <f t="shared" si="5"/>
        <v>0</v>
      </c>
      <c r="Y22" s="307">
        <f t="shared" si="6"/>
        <v>0</v>
      </c>
      <c r="Z22" s="307">
        <f t="shared" si="7"/>
        <v>0</v>
      </c>
      <c r="AA22" s="308">
        <f>VLOOKUP(G22,'3-Productie normen'!A:U,15,FALSE)</f>
        <v>0</v>
      </c>
      <c r="AB22" s="309">
        <f>VLOOKUP(G22,'3-Productie normen'!A:U,16,FALSE)</f>
        <v>198.56500000000014</v>
      </c>
      <c r="AC22" s="308"/>
      <c r="AE22" s="310">
        <f t="shared" si="8"/>
        <v>306</v>
      </c>
    </row>
    <row r="23" spans="1:31" ht="14.1" hidden="1" customHeight="1">
      <c r="A23" s="75">
        <v>22</v>
      </c>
      <c r="B23" s="380" t="s">
        <v>60</v>
      </c>
      <c r="C23" s="276" t="s">
        <v>152</v>
      </c>
      <c r="D23" s="304" t="s">
        <v>153</v>
      </c>
      <c r="E23" s="305" t="s">
        <v>154</v>
      </c>
      <c r="F23" s="276" t="s">
        <v>170</v>
      </c>
      <c r="G23" s="276" t="s">
        <v>108</v>
      </c>
      <c r="H23" s="71" t="s">
        <v>158</v>
      </c>
      <c r="I23" s="388">
        <v>5.7</v>
      </c>
      <c r="J23" s="306">
        <f t="shared" si="2"/>
        <v>156</v>
      </c>
      <c r="K23" s="230">
        <v>156</v>
      </c>
      <c r="L23" s="230"/>
      <c r="M23" s="230"/>
      <c r="N23" s="230"/>
      <c r="O23" s="230"/>
      <c r="P23" s="230"/>
      <c r="Q23" s="229" t="e">
        <f>IF(K23="nio",0,IF(K23&gt;0,K23*I23/W23,0))*VLOOKUP(B23,'2-Kosten per locatie'!$A$14:$C$25,3,FALSE)</f>
        <v>#DIV/0!</v>
      </c>
      <c r="R23" s="229">
        <f>IF(L23&gt;0,L23*I23/X23,0)*VLOOKUP(B23,'2-Kosten per locatie'!$A$14:$C$25,3,FALSE)</f>
        <v>0</v>
      </c>
      <c r="S23" s="229">
        <f>IF(M23&gt;0,M23*I23/Y23,0)*VLOOKUP(B23,'2-Kosten per locatie'!$A$14:$C$25,3,FALSE)</f>
        <v>0</v>
      </c>
      <c r="T23" s="229">
        <f>IF(N23&gt;0,N23*I23/Z23,0)*VLOOKUP(B23,'2-Kosten per locatie'!$A$14:$C$25,3,FALSE)</f>
        <v>0</v>
      </c>
      <c r="U23" s="229">
        <f>IF(O23&gt;0,O23*I23/Y23,0)*VLOOKUP(B23,'2-Kosten per locatie'!$A$14:$C$25,3,FALSE)</f>
        <v>0</v>
      </c>
      <c r="V23" s="229">
        <f>IF(P23&gt;0,P23*I23/Z23,0)*VLOOKUP(B23,'2-Kosten per locatie'!$A$14:$C$25,3,FALSE)</f>
        <v>0</v>
      </c>
      <c r="W23" s="307">
        <f>IF(K23="nio",0,IF(K23&gt;0,VLOOKUP(G23,'3-Productie normen'!A:R,VLOOKUP(K23,'3-Productie normen'!$B$29:$C$41,2,FALSE),FALSE)))</f>
        <v>0</v>
      </c>
      <c r="X23" s="307">
        <f t="shared" si="5"/>
        <v>0</v>
      </c>
      <c r="Y23" s="307">
        <f t="shared" si="6"/>
        <v>0</v>
      </c>
      <c r="Z23" s="307">
        <f t="shared" si="7"/>
        <v>0</v>
      </c>
      <c r="AA23" s="308">
        <f>VLOOKUP(G23,'3-Productie normen'!A:U,15,FALSE)</f>
        <v>0</v>
      </c>
      <c r="AB23" s="309">
        <f>VLOOKUP(G23,'3-Productie normen'!A:U,16,FALSE)</f>
        <v>162.09999999999997</v>
      </c>
      <c r="AC23" s="308"/>
      <c r="AE23" s="310">
        <f t="shared" si="8"/>
        <v>889.2</v>
      </c>
    </row>
    <row r="24" spans="1:31" ht="14.1" hidden="1" customHeight="1">
      <c r="A24" s="75">
        <v>23</v>
      </c>
      <c r="B24" s="380" t="s">
        <v>60</v>
      </c>
      <c r="C24" s="276" t="s">
        <v>152</v>
      </c>
      <c r="D24" s="304" t="s">
        <v>153</v>
      </c>
      <c r="E24" s="305" t="s">
        <v>154</v>
      </c>
      <c r="F24" s="71" t="s">
        <v>171</v>
      </c>
      <c r="G24" s="71" t="s">
        <v>96</v>
      </c>
      <c r="H24" s="71" t="s">
        <v>172</v>
      </c>
      <c r="I24" s="388">
        <v>3.3</v>
      </c>
      <c r="J24" s="306">
        <f t="shared" si="2"/>
        <v>204</v>
      </c>
      <c r="K24" s="230">
        <v>204</v>
      </c>
      <c r="L24" s="230"/>
      <c r="M24" s="230"/>
      <c r="N24" s="230"/>
      <c r="O24" s="230"/>
      <c r="P24" s="230"/>
      <c r="Q24" s="229" t="e">
        <f>IF(K24="nio",0,IF(K24&gt;0,K24*I24/W24,0))*VLOOKUP(B24,'2-Kosten per locatie'!$A$14:$C$25,3,FALSE)</f>
        <v>#DIV/0!</v>
      </c>
      <c r="R24" s="229">
        <f>IF(L24&gt;0,L24*I24/X24,0)*VLOOKUP(B24,'2-Kosten per locatie'!$A$14:$C$25,3,FALSE)</f>
        <v>0</v>
      </c>
      <c r="S24" s="229">
        <f>IF(M24&gt;0,M24*I24/Y24,0)*VLOOKUP(B24,'2-Kosten per locatie'!$A$14:$C$25,3,FALSE)</f>
        <v>0</v>
      </c>
      <c r="T24" s="229">
        <f>IF(N24&gt;0,N24*I24/Z24,0)*VLOOKUP(B24,'2-Kosten per locatie'!$A$14:$C$25,3,FALSE)</f>
        <v>0</v>
      </c>
      <c r="U24" s="229">
        <f>IF(O24&gt;0,O24*I24/Y24,0)*VLOOKUP(B24,'2-Kosten per locatie'!$A$14:$C$25,3,FALSE)</f>
        <v>0</v>
      </c>
      <c r="V24" s="229">
        <f>IF(P24&gt;0,P24*I24/Z24,0)*VLOOKUP(B24,'2-Kosten per locatie'!$A$14:$C$25,3,FALSE)</f>
        <v>0</v>
      </c>
      <c r="W24" s="307">
        <f>IF(K24="nio",0,IF(K24&gt;0,VLOOKUP(G24,'3-Productie normen'!A:R,VLOOKUP(K24,'3-Productie normen'!$B$29:$C$41,2,FALSE),FALSE)))</f>
        <v>0</v>
      </c>
      <c r="X24" s="307">
        <f t="shared" si="5"/>
        <v>0</v>
      </c>
      <c r="Y24" s="307">
        <f t="shared" si="6"/>
        <v>0</v>
      </c>
      <c r="Z24" s="307">
        <f t="shared" si="7"/>
        <v>0</v>
      </c>
      <c r="AA24" s="308">
        <f>VLOOKUP(G24,'3-Productie normen'!A:U,15,FALSE)</f>
        <v>0</v>
      </c>
      <c r="AB24" s="309">
        <f>VLOOKUP(G24,'3-Productie normen'!A:U,16,FALSE)</f>
        <v>84.322499999999991</v>
      </c>
      <c r="AC24" s="308"/>
      <c r="AE24" s="310">
        <f t="shared" si="8"/>
        <v>673.19999999999993</v>
      </c>
    </row>
    <row r="25" spans="1:31" ht="14.1" hidden="1" customHeight="1">
      <c r="A25" s="75">
        <v>24</v>
      </c>
      <c r="B25" s="380" t="s">
        <v>60</v>
      </c>
      <c r="C25" s="276" t="s">
        <v>152</v>
      </c>
      <c r="D25" s="304" t="s">
        <v>153</v>
      </c>
      <c r="E25" s="305" t="s">
        <v>154</v>
      </c>
      <c r="F25" s="71" t="s">
        <v>101</v>
      </c>
      <c r="G25" s="71" t="s">
        <v>101</v>
      </c>
      <c r="H25" s="71" t="s">
        <v>173</v>
      </c>
      <c r="I25" s="388">
        <v>2</v>
      </c>
      <c r="J25" s="306">
        <f t="shared" si="2"/>
        <v>156</v>
      </c>
      <c r="K25" s="230">
        <v>156</v>
      </c>
      <c r="L25" s="230"/>
      <c r="M25" s="230"/>
      <c r="N25" s="230"/>
      <c r="O25" s="230"/>
      <c r="P25" s="230"/>
      <c r="Q25" s="229" t="e">
        <f>IF(K25="nio",0,IF(K25&gt;0,K25*I25/W25,0))*VLOOKUP(B25,'2-Kosten per locatie'!$A$14:$C$25,3,FALSE)</f>
        <v>#DIV/0!</v>
      </c>
      <c r="R25" s="229">
        <f>IF(L25&gt;0,L25*I25/X25,0)*VLOOKUP(B25,'2-Kosten per locatie'!$A$14:$C$25,3,FALSE)</f>
        <v>0</v>
      </c>
      <c r="S25" s="229">
        <f>IF(M25&gt;0,M25*I25/Y25,0)*VLOOKUP(B25,'2-Kosten per locatie'!$A$14:$C$25,3,FALSE)</f>
        <v>0</v>
      </c>
      <c r="T25" s="229">
        <f>IF(N25&gt;0,N25*I25/Z25,0)*VLOOKUP(B25,'2-Kosten per locatie'!$A$14:$C$25,3,FALSE)</f>
        <v>0</v>
      </c>
      <c r="U25" s="229">
        <f>IF(O25&gt;0,O25*I25/Y25,0)*VLOOKUP(B25,'2-Kosten per locatie'!$A$14:$C$25,3,FALSE)</f>
        <v>0</v>
      </c>
      <c r="V25" s="229">
        <f>IF(P25&gt;0,P25*I25/Z25,0)*VLOOKUP(B25,'2-Kosten per locatie'!$A$14:$C$25,3,FALSE)</f>
        <v>0</v>
      </c>
      <c r="W25" s="307">
        <f>IF(K25="nio",0,IF(K25&gt;0,VLOOKUP(G25,'3-Productie normen'!A:R,VLOOKUP(K25,'3-Productie normen'!$B$29:$C$41,2,FALSE),FALSE)))</f>
        <v>0</v>
      </c>
      <c r="X25" s="307">
        <f t="shared" ref="X25" si="9">IF(L25&gt;0,W25*$X$8,0)</f>
        <v>0</v>
      </c>
      <c r="Y25" s="307">
        <f t="shared" ref="Y25" si="10">IF((OR(M25&gt;0,O25&gt;0)),W25*$Y$8,0)</f>
        <v>0</v>
      </c>
      <c r="Z25" s="307">
        <f t="shared" ref="Z25" si="11">IF((OR(N25&gt;0,P25&gt;0)),W25*$Z$8,0)</f>
        <v>0</v>
      </c>
      <c r="AA25" s="308">
        <f>VLOOKUP(G25,'3-Productie normen'!A:U,15,FALSE)</f>
        <v>0</v>
      </c>
      <c r="AB25" s="309">
        <f>VLOOKUP(G25,'3-Productie normen'!A:U,16,FALSE)</f>
        <v>4.3</v>
      </c>
      <c r="AC25" s="308"/>
      <c r="AE25" s="310">
        <f t="shared" si="8"/>
        <v>312</v>
      </c>
    </row>
    <row r="26" spans="1:31" ht="14.1" hidden="1" customHeight="1">
      <c r="A26" s="75">
        <v>25</v>
      </c>
      <c r="B26" s="380" t="s">
        <v>60</v>
      </c>
      <c r="C26" s="276" t="s">
        <v>152</v>
      </c>
      <c r="D26" s="304" t="s">
        <v>153</v>
      </c>
      <c r="E26" s="226" t="s">
        <v>154</v>
      </c>
      <c r="F26" s="85" t="s">
        <v>174</v>
      </c>
      <c r="G26" s="288" t="s">
        <v>92</v>
      </c>
      <c r="H26" s="71" t="s">
        <v>173</v>
      </c>
      <c r="I26" s="388">
        <v>10</v>
      </c>
      <c r="J26" s="306">
        <f t="shared" si="2"/>
        <v>12</v>
      </c>
      <c r="K26" s="230">
        <v>12</v>
      </c>
      <c r="L26" s="230"/>
      <c r="M26" s="230"/>
      <c r="N26" s="230"/>
      <c r="O26" s="230"/>
      <c r="P26" s="230"/>
      <c r="Q26" s="229" t="e">
        <f>IF(K26="nio",0,IF(K26&gt;0,K26*I26/W26,0))*VLOOKUP(B26,'2-Kosten per locatie'!$A$14:$C$25,3,FALSE)</f>
        <v>#DIV/0!</v>
      </c>
      <c r="R26" s="229">
        <f>IF(L26&gt;0,L26*I26/X26,0)*VLOOKUP(B26,'2-Kosten per locatie'!$A$14:$C$25,3,FALSE)</f>
        <v>0</v>
      </c>
      <c r="S26" s="229">
        <f>IF(M26&gt;0,M26*I26/Y26,0)*VLOOKUP(B26,'2-Kosten per locatie'!$A$14:$C$25,3,FALSE)</f>
        <v>0</v>
      </c>
      <c r="T26" s="229">
        <f>IF(N26&gt;0,N26*I26/Z26,0)*VLOOKUP(B26,'2-Kosten per locatie'!$A$14:$C$25,3,FALSE)</f>
        <v>0</v>
      </c>
      <c r="U26" s="229">
        <f>IF(O26&gt;0,O26*I26/Y26,0)*VLOOKUP(B26,'2-Kosten per locatie'!$A$14:$C$25,3,FALSE)</f>
        <v>0</v>
      </c>
      <c r="V26" s="229">
        <f>IF(P26&gt;0,P26*I26/Z26,0)*VLOOKUP(B26,'2-Kosten per locatie'!$A$14:$C$25,3,FALSE)</f>
        <v>0</v>
      </c>
      <c r="W26" s="307">
        <f>IF(K26="nio",0,IF(K26&gt;0,VLOOKUP(G26,'3-Productie normen'!A:R,VLOOKUP(K26,'3-Productie normen'!$B$29:$C$41,2,FALSE),FALSE)))</f>
        <v>0</v>
      </c>
      <c r="X26" s="307">
        <f t="shared" si="5"/>
        <v>0</v>
      </c>
      <c r="Y26" s="307">
        <f t="shared" si="6"/>
        <v>0</v>
      </c>
      <c r="Z26" s="307">
        <f t="shared" si="7"/>
        <v>0</v>
      </c>
      <c r="AA26" s="308">
        <f>VLOOKUP(G26,'3-Productie normen'!A:U,15,FALSE)</f>
        <v>0</v>
      </c>
      <c r="AB26" s="309">
        <f>VLOOKUP(G26,'3-Productie normen'!A:U,16,FALSE)</f>
        <v>915.88999999999976</v>
      </c>
      <c r="AC26" s="308"/>
      <c r="AE26" s="310">
        <f t="shared" si="8"/>
        <v>120</v>
      </c>
    </row>
    <row r="27" spans="1:31" ht="14.1" hidden="1" customHeight="1">
      <c r="A27" s="75">
        <v>26</v>
      </c>
      <c r="B27" s="380" t="s">
        <v>60</v>
      </c>
      <c r="C27" s="276" t="s">
        <v>152</v>
      </c>
      <c r="D27" s="304" t="s">
        <v>153</v>
      </c>
      <c r="E27" s="226" t="s">
        <v>154</v>
      </c>
      <c r="F27" s="85" t="s">
        <v>175</v>
      </c>
      <c r="G27" s="288" t="s">
        <v>105</v>
      </c>
      <c r="H27" s="71" t="s">
        <v>173</v>
      </c>
      <c r="I27" s="388">
        <v>10</v>
      </c>
      <c r="J27" s="306">
        <f t="shared" si="2"/>
        <v>156</v>
      </c>
      <c r="K27" s="230">
        <v>156</v>
      </c>
      <c r="L27" s="230"/>
      <c r="M27" s="230"/>
      <c r="N27" s="230"/>
      <c r="O27" s="230"/>
      <c r="P27" s="230"/>
      <c r="Q27" s="229" t="e">
        <f>IF(K27="nio",0,IF(K27&gt;0,K27*I27/W27,0))*VLOOKUP(B27,'2-Kosten per locatie'!$A$14:$C$25,3,FALSE)</f>
        <v>#DIV/0!</v>
      </c>
      <c r="R27" s="229">
        <f>IF(L27&gt;0,L27*I27/X27,0)*VLOOKUP(B27,'2-Kosten per locatie'!$A$14:$C$25,3,FALSE)</f>
        <v>0</v>
      </c>
      <c r="S27" s="229">
        <f>IF(M27&gt;0,M27*I27/Y27,0)*VLOOKUP(B27,'2-Kosten per locatie'!$A$14:$C$25,3,FALSE)</f>
        <v>0</v>
      </c>
      <c r="T27" s="229">
        <f>IF(N27&gt;0,N27*I27/Z27,0)*VLOOKUP(B27,'2-Kosten per locatie'!$A$14:$C$25,3,FALSE)</f>
        <v>0</v>
      </c>
      <c r="U27" s="229">
        <f>IF(O27&gt;0,O27*I27/Y27,0)*VLOOKUP(B27,'2-Kosten per locatie'!$A$14:$C$25,3,FALSE)</f>
        <v>0</v>
      </c>
      <c r="V27" s="229">
        <f>IF(P27&gt;0,P27*I27/Z27,0)*VLOOKUP(B27,'2-Kosten per locatie'!$A$14:$C$25,3,FALSE)</f>
        <v>0</v>
      </c>
      <c r="W27" s="307">
        <f>IF(K27="nio",0,IF(K27&gt;0,VLOOKUP(G27,'3-Productie normen'!A:R,VLOOKUP(K27,'3-Productie normen'!$B$29:$C$41,2,FALSE),FALSE)))</f>
        <v>0</v>
      </c>
      <c r="X27" s="307">
        <f t="shared" ref="X27:X28" si="12">IF(L27&gt;0,W27*$X$8,0)</f>
        <v>0</v>
      </c>
      <c r="Y27" s="307">
        <f t="shared" ref="Y27:Y28" si="13">IF((OR(M27&gt;0,O27&gt;0)),W27*$Y$8,0)</f>
        <v>0</v>
      </c>
      <c r="Z27" s="307">
        <f t="shared" ref="Z27:Z28" si="14">IF((OR(N27&gt;0,P27&gt;0)),W27*$Z$8,0)</f>
        <v>0</v>
      </c>
      <c r="AA27" s="308">
        <f>VLOOKUP(G27,'3-Productie normen'!A:U,15,FALSE)</f>
        <v>0</v>
      </c>
      <c r="AB27" s="309">
        <f>VLOOKUP(G27,'3-Productie normen'!A:U,16,FALSE)</f>
        <v>75.828800000000015</v>
      </c>
      <c r="AC27" s="308"/>
      <c r="AE27" s="310"/>
    </row>
    <row r="28" spans="1:31" ht="14.1" hidden="1" customHeight="1">
      <c r="A28" s="75">
        <v>27</v>
      </c>
      <c r="B28" s="380" t="s">
        <v>60</v>
      </c>
      <c r="C28" s="276" t="s">
        <v>152</v>
      </c>
      <c r="D28" s="304" t="s">
        <v>176</v>
      </c>
      <c r="E28" s="226" t="s">
        <v>154</v>
      </c>
      <c r="F28" s="85" t="s">
        <v>177</v>
      </c>
      <c r="G28" s="288" t="s">
        <v>108</v>
      </c>
      <c r="H28" s="71" t="s">
        <v>158</v>
      </c>
      <c r="I28" s="388">
        <v>5</v>
      </c>
      <c r="J28" s="306">
        <f t="shared" si="2"/>
        <v>156</v>
      </c>
      <c r="K28" s="230">
        <v>156</v>
      </c>
      <c r="L28" s="230"/>
      <c r="M28" s="230"/>
      <c r="N28" s="230"/>
      <c r="O28" s="230"/>
      <c r="P28" s="230"/>
      <c r="Q28" s="229" t="e">
        <f>IF(K28="nio",0,IF(K28&gt;0,K28*I28/W28,0))*VLOOKUP(B28,'2-Kosten per locatie'!$A$14:$C$25,3,FALSE)</f>
        <v>#DIV/0!</v>
      </c>
      <c r="R28" s="229">
        <f>IF(L28&gt;0,L28*I28/X28,0)*VLOOKUP(B28,'2-Kosten per locatie'!$A$14:$C$25,3,FALSE)</f>
        <v>0</v>
      </c>
      <c r="S28" s="229">
        <f>IF(M28&gt;0,M28*I28/Y28,0)*VLOOKUP(B28,'2-Kosten per locatie'!$A$14:$C$25,3,FALSE)</f>
        <v>0</v>
      </c>
      <c r="T28" s="229">
        <f>IF(N28&gt;0,N28*I28/Z28,0)*VLOOKUP(B28,'2-Kosten per locatie'!$A$14:$C$25,3,FALSE)</f>
        <v>0</v>
      </c>
      <c r="U28" s="229">
        <f>IF(O28&gt;0,O28*I28/Y28,0)*VLOOKUP(B28,'2-Kosten per locatie'!$A$14:$C$25,3,FALSE)</f>
        <v>0</v>
      </c>
      <c r="V28" s="229">
        <f>IF(P28&gt;0,P28*I28/Z28,0)*VLOOKUP(B28,'2-Kosten per locatie'!$A$14:$C$25,3,FALSE)</f>
        <v>0</v>
      </c>
      <c r="W28" s="307">
        <f>IF(K28="nio",0,IF(K28&gt;0,VLOOKUP(G28,'3-Productie normen'!A:R,VLOOKUP(K28,'3-Productie normen'!$B$29:$C$41,2,FALSE),FALSE)))</f>
        <v>0</v>
      </c>
      <c r="X28" s="307">
        <f t="shared" si="12"/>
        <v>0</v>
      </c>
      <c r="Y28" s="307">
        <f t="shared" si="13"/>
        <v>0</v>
      </c>
      <c r="Z28" s="307">
        <f t="shared" si="14"/>
        <v>0</v>
      </c>
      <c r="AA28" s="308">
        <f>VLOOKUP(G28,'3-Productie normen'!A:U,15,FALSE)</f>
        <v>0</v>
      </c>
      <c r="AB28" s="309">
        <f>VLOOKUP(G28,'3-Productie normen'!A:U,16,FALSE)</f>
        <v>162.09999999999997</v>
      </c>
      <c r="AC28" s="308"/>
      <c r="AE28" s="310"/>
    </row>
    <row r="29" spans="1:31" ht="14.1" hidden="1" customHeight="1">
      <c r="A29" s="75">
        <v>28</v>
      </c>
      <c r="B29" s="380" t="s">
        <v>60</v>
      </c>
      <c r="C29" s="276" t="s">
        <v>152</v>
      </c>
      <c r="D29" s="304" t="s">
        <v>176</v>
      </c>
      <c r="E29" s="305" t="s">
        <v>154</v>
      </c>
      <c r="F29" s="276" t="s">
        <v>178</v>
      </c>
      <c r="G29" s="276" t="s">
        <v>107</v>
      </c>
      <c r="H29" s="71" t="s">
        <v>156</v>
      </c>
      <c r="I29" s="388">
        <v>67.099999999999994</v>
      </c>
      <c r="J29" s="306">
        <f t="shared" si="2"/>
        <v>104</v>
      </c>
      <c r="K29" s="230">
        <v>104</v>
      </c>
      <c r="L29" s="230"/>
      <c r="M29" s="230"/>
      <c r="N29" s="230"/>
      <c r="O29" s="230"/>
      <c r="P29" s="230"/>
      <c r="Q29" s="229" t="e">
        <f>IF(K29="nio",0,IF(K29&gt;0,K29*I29/W29,0))*VLOOKUP(B29,'2-Kosten per locatie'!$A$14:$C$25,3,FALSE)</f>
        <v>#DIV/0!</v>
      </c>
      <c r="R29" s="229">
        <f>IF(L29&gt;0,L29*I29/X29,0)*VLOOKUP(B29,'2-Kosten per locatie'!$A$14:$C$25,3,FALSE)</f>
        <v>0</v>
      </c>
      <c r="S29" s="229">
        <f>IF(M29&gt;0,M29*I29/Y29,0)*VLOOKUP(B29,'2-Kosten per locatie'!$A$14:$C$25,3,FALSE)</f>
        <v>0</v>
      </c>
      <c r="T29" s="229">
        <f>IF(N29&gt;0,N29*I29/Z29,0)*VLOOKUP(B29,'2-Kosten per locatie'!$A$14:$C$25,3,FALSE)</f>
        <v>0</v>
      </c>
      <c r="U29" s="229">
        <f>IF(O29&gt;0,O29*I29/Y29,0)*VLOOKUP(B29,'2-Kosten per locatie'!$A$14:$C$25,3,FALSE)</f>
        <v>0</v>
      </c>
      <c r="V29" s="229">
        <f>IF(P29&gt;0,P29*I29/Z29,0)*VLOOKUP(B29,'2-Kosten per locatie'!$A$14:$C$25,3,FALSE)</f>
        <v>0</v>
      </c>
      <c r="W29" s="307">
        <f>IF(K29="nio",0,IF(K29&gt;0,VLOOKUP(G29,'3-Productie normen'!A:R,VLOOKUP(K29,'3-Productie normen'!$B$29:$C$41,2,FALSE),FALSE)))</f>
        <v>0</v>
      </c>
      <c r="X29" s="307">
        <f t="shared" si="5"/>
        <v>0</v>
      </c>
      <c r="Y29" s="307">
        <f t="shared" si="6"/>
        <v>0</v>
      </c>
      <c r="Z29" s="307">
        <f t="shared" si="7"/>
        <v>0</v>
      </c>
      <c r="AA29" s="308">
        <f>VLOOKUP(G29,'3-Productie normen'!A:U,15,FALSE)</f>
        <v>0</v>
      </c>
      <c r="AB29" s="309">
        <f>VLOOKUP(G29,'3-Productie normen'!A:U,16,FALSE)</f>
        <v>479.64999999999992</v>
      </c>
      <c r="AC29" s="308"/>
      <c r="AE29" s="310">
        <f t="shared" si="8"/>
        <v>6978.4</v>
      </c>
    </row>
    <row r="30" spans="1:31" ht="14.1" hidden="1" customHeight="1">
      <c r="A30" s="75">
        <v>29</v>
      </c>
      <c r="B30" s="380" t="s">
        <v>60</v>
      </c>
      <c r="C30" s="276" t="s">
        <v>152</v>
      </c>
      <c r="D30" s="304" t="s">
        <v>176</v>
      </c>
      <c r="E30" s="305" t="s">
        <v>154</v>
      </c>
      <c r="F30" s="276" t="s">
        <v>179</v>
      </c>
      <c r="G30" s="276" t="s">
        <v>107</v>
      </c>
      <c r="H30" s="71" t="s">
        <v>156</v>
      </c>
      <c r="I30" s="388">
        <v>60.15</v>
      </c>
      <c r="J30" s="306">
        <f t="shared" si="2"/>
        <v>104</v>
      </c>
      <c r="K30" s="230">
        <v>104</v>
      </c>
      <c r="L30" s="230"/>
      <c r="M30" s="230"/>
      <c r="N30" s="230"/>
      <c r="O30" s="230"/>
      <c r="P30" s="230"/>
      <c r="Q30" s="229" t="e">
        <f>IF(K30="nio",0,IF(K30&gt;0,K30*I30/W30,0))*VLOOKUP(B30,'2-Kosten per locatie'!$A$14:$C$25,3,FALSE)</f>
        <v>#DIV/0!</v>
      </c>
      <c r="R30" s="229">
        <f>IF(L30&gt;0,L30*I30/X30,0)*VLOOKUP(B30,'2-Kosten per locatie'!$A$14:$C$25,3,FALSE)</f>
        <v>0</v>
      </c>
      <c r="S30" s="229">
        <f>IF(M30&gt;0,M30*I30/Y30,0)*VLOOKUP(B30,'2-Kosten per locatie'!$A$14:$C$25,3,FALSE)</f>
        <v>0</v>
      </c>
      <c r="T30" s="229">
        <f>IF(N30&gt;0,N30*I30/Z30,0)*VLOOKUP(B30,'2-Kosten per locatie'!$A$14:$C$25,3,FALSE)</f>
        <v>0</v>
      </c>
      <c r="U30" s="229">
        <f>IF(O30&gt;0,O30*I30/Y30,0)*VLOOKUP(B30,'2-Kosten per locatie'!$A$14:$C$25,3,FALSE)</f>
        <v>0</v>
      </c>
      <c r="V30" s="229">
        <f>IF(P30&gt;0,P30*I30/Z30,0)*VLOOKUP(B30,'2-Kosten per locatie'!$A$14:$C$25,3,FALSE)</f>
        <v>0</v>
      </c>
      <c r="W30" s="307">
        <f>IF(K30="nio",0,IF(K30&gt;0,VLOOKUP(G30,'3-Productie normen'!A:R,VLOOKUP(K30,'3-Productie normen'!$B$29:$C$41,2,FALSE),FALSE)))</f>
        <v>0</v>
      </c>
      <c r="X30" s="307">
        <f t="shared" si="5"/>
        <v>0</v>
      </c>
      <c r="Y30" s="307">
        <f t="shared" si="6"/>
        <v>0</v>
      </c>
      <c r="Z30" s="307">
        <f t="shared" si="7"/>
        <v>0</v>
      </c>
      <c r="AA30" s="308">
        <f>VLOOKUP(G30,'3-Productie normen'!A:U,15,FALSE)</f>
        <v>0</v>
      </c>
      <c r="AB30" s="309">
        <f>VLOOKUP(G30,'3-Productie normen'!A:U,16,FALSE)</f>
        <v>479.64999999999992</v>
      </c>
      <c r="AC30" s="308"/>
      <c r="AE30" s="310">
        <f t="shared" si="8"/>
        <v>6255.5999999999995</v>
      </c>
    </row>
    <row r="31" spans="1:31" ht="14.1" hidden="1" customHeight="1">
      <c r="A31" s="75">
        <v>30</v>
      </c>
      <c r="B31" s="380" t="s">
        <v>60</v>
      </c>
      <c r="C31" s="276" t="s">
        <v>152</v>
      </c>
      <c r="D31" s="304" t="s">
        <v>176</v>
      </c>
      <c r="E31" s="305" t="s">
        <v>154</v>
      </c>
      <c r="F31" s="276" t="s">
        <v>180</v>
      </c>
      <c r="G31" s="276" t="s">
        <v>107</v>
      </c>
      <c r="H31" s="71" t="s">
        <v>158</v>
      </c>
      <c r="I31" s="388">
        <v>95.7</v>
      </c>
      <c r="J31" s="306">
        <f t="shared" si="2"/>
        <v>104</v>
      </c>
      <c r="K31" s="230">
        <v>104</v>
      </c>
      <c r="L31" s="230"/>
      <c r="M31" s="230"/>
      <c r="N31" s="230"/>
      <c r="O31" s="230"/>
      <c r="P31" s="230"/>
      <c r="Q31" s="229" t="e">
        <f>IF(K31="nio",0,IF(K31&gt;0,K31*I31/W31,0))*VLOOKUP(B31,'2-Kosten per locatie'!$A$14:$C$25,3,FALSE)</f>
        <v>#DIV/0!</v>
      </c>
      <c r="R31" s="229">
        <f>IF(L31&gt;0,L31*I31/X31,0)*VLOOKUP(B31,'2-Kosten per locatie'!$A$14:$C$25,3,FALSE)</f>
        <v>0</v>
      </c>
      <c r="S31" s="229">
        <f>IF(M31&gt;0,M31*I31/Y31,0)*VLOOKUP(B31,'2-Kosten per locatie'!$A$14:$C$25,3,FALSE)</f>
        <v>0</v>
      </c>
      <c r="T31" s="229">
        <f>IF(N31&gt;0,N31*I31/Z31,0)*VLOOKUP(B31,'2-Kosten per locatie'!$A$14:$C$25,3,FALSE)</f>
        <v>0</v>
      </c>
      <c r="U31" s="229">
        <f>IF(O31&gt;0,O31*I31/Y31,0)*VLOOKUP(B31,'2-Kosten per locatie'!$A$14:$C$25,3,FALSE)</f>
        <v>0</v>
      </c>
      <c r="V31" s="229">
        <f>IF(P31&gt;0,P31*I31/Z31,0)*VLOOKUP(B31,'2-Kosten per locatie'!$A$14:$C$25,3,FALSE)</f>
        <v>0</v>
      </c>
      <c r="W31" s="307">
        <f>IF(K31="nio",0,IF(K31&gt;0,VLOOKUP(G31,'3-Productie normen'!A:R,VLOOKUP(K31,'3-Productie normen'!$B$29:$C$41,2,FALSE),FALSE)))</f>
        <v>0</v>
      </c>
      <c r="X31" s="307">
        <f t="shared" si="5"/>
        <v>0</v>
      </c>
      <c r="Y31" s="307">
        <f t="shared" si="6"/>
        <v>0</v>
      </c>
      <c r="Z31" s="307">
        <f t="shared" si="7"/>
        <v>0</v>
      </c>
      <c r="AA31" s="308">
        <f>VLOOKUP(G31,'3-Productie normen'!A:U,15,FALSE)</f>
        <v>0</v>
      </c>
      <c r="AB31" s="309">
        <f>VLOOKUP(G31,'3-Productie normen'!A:U,16,FALSE)</f>
        <v>479.64999999999992</v>
      </c>
      <c r="AC31" s="308"/>
      <c r="AE31" s="310">
        <f t="shared" si="8"/>
        <v>9952.8000000000011</v>
      </c>
    </row>
    <row r="32" spans="1:31" ht="14.1" hidden="1" customHeight="1">
      <c r="A32" s="75">
        <v>31</v>
      </c>
      <c r="B32" s="380" t="s">
        <v>60</v>
      </c>
      <c r="C32" s="276" t="s">
        <v>152</v>
      </c>
      <c r="D32" s="304" t="s">
        <v>176</v>
      </c>
      <c r="E32" s="305" t="s">
        <v>154</v>
      </c>
      <c r="F32" s="71" t="s">
        <v>181</v>
      </c>
      <c r="G32" s="71" t="s">
        <v>107</v>
      </c>
      <c r="H32" s="71" t="s">
        <v>156</v>
      </c>
      <c r="I32" s="388">
        <v>31.7</v>
      </c>
      <c r="J32" s="306">
        <f t="shared" si="2"/>
        <v>104</v>
      </c>
      <c r="K32" s="230">
        <v>104</v>
      </c>
      <c r="L32" s="230"/>
      <c r="M32" s="230"/>
      <c r="N32" s="230"/>
      <c r="O32" s="230"/>
      <c r="P32" s="230"/>
      <c r="Q32" s="229" t="e">
        <f>IF(K32="nio",0,IF(K32&gt;0,K32*I32/W32,0))*VLOOKUP(B32,'2-Kosten per locatie'!$A$14:$C$25,3,FALSE)</f>
        <v>#DIV/0!</v>
      </c>
      <c r="R32" s="229">
        <f>IF(L32&gt;0,L32*I32/X32,0)*VLOOKUP(B32,'2-Kosten per locatie'!$A$14:$C$25,3,FALSE)</f>
        <v>0</v>
      </c>
      <c r="S32" s="229">
        <f>IF(M32&gt;0,M32*I32/Y32,0)*VLOOKUP(B32,'2-Kosten per locatie'!$A$14:$C$25,3,FALSE)</f>
        <v>0</v>
      </c>
      <c r="T32" s="229">
        <f>IF(N32&gt;0,N32*I32/Z32,0)*VLOOKUP(B32,'2-Kosten per locatie'!$A$14:$C$25,3,FALSE)</f>
        <v>0</v>
      </c>
      <c r="U32" s="229">
        <f>IF(O32&gt;0,O32*I32/Y32,0)*VLOOKUP(B32,'2-Kosten per locatie'!$A$14:$C$25,3,FALSE)</f>
        <v>0</v>
      </c>
      <c r="V32" s="229">
        <f>IF(P32&gt;0,P32*I32/Z32,0)*VLOOKUP(B32,'2-Kosten per locatie'!$A$14:$C$25,3,FALSE)</f>
        <v>0</v>
      </c>
      <c r="W32" s="307">
        <f>IF(K32="nio",0,IF(K32&gt;0,VLOOKUP(G32,'3-Productie normen'!A:R,VLOOKUP(K32,'3-Productie normen'!$B$29:$C$41,2,FALSE),FALSE)))</f>
        <v>0</v>
      </c>
      <c r="X32" s="307">
        <f t="shared" si="5"/>
        <v>0</v>
      </c>
      <c r="Y32" s="307">
        <f t="shared" si="6"/>
        <v>0</v>
      </c>
      <c r="Z32" s="307">
        <f t="shared" si="7"/>
        <v>0</v>
      </c>
      <c r="AA32" s="308">
        <f>VLOOKUP(G32,'3-Productie normen'!A:U,15,FALSE)</f>
        <v>0</v>
      </c>
      <c r="AB32" s="309">
        <f>VLOOKUP(G32,'3-Productie normen'!A:U,16,FALSE)</f>
        <v>479.64999999999992</v>
      </c>
      <c r="AC32" s="308"/>
      <c r="AE32" s="310">
        <f t="shared" si="8"/>
        <v>3296.7999999999997</v>
      </c>
    </row>
    <row r="33" spans="1:31" ht="14.1" hidden="1" customHeight="1">
      <c r="A33" s="75">
        <v>32</v>
      </c>
      <c r="B33" s="380" t="s">
        <v>60</v>
      </c>
      <c r="C33" s="276" t="s">
        <v>152</v>
      </c>
      <c r="D33" s="304" t="s">
        <v>176</v>
      </c>
      <c r="E33" s="226" t="s">
        <v>154</v>
      </c>
      <c r="F33" s="85" t="s">
        <v>182</v>
      </c>
      <c r="G33" s="85" t="s">
        <v>92</v>
      </c>
      <c r="H33" s="71" t="s">
        <v>156</v>
      </c>
      <c r="I33" s="388">
        <v>32.799999999999997</v>
      </c>
      <c r="J33" s="306">
        <f t="shared" si="2"/>
        <v>104</v>
      </c>
      <c r="K33" s="230">
        <v>104</v>
      </c>
      <c r="L33" s="230"/>
      <c r="M33" s="230"/>
      <c r="N33" s="230"/>
      <c r="O33" s="230"/>
      <c r="P33" s="230"/>
      <c r="Q33" s="229" t="e">
        <f>IF(K33="nio",0,IF(K33&gt;0,K33*I33/W33,0))*VLOOKUP(B33,'2-Kosten per locatie'!$A$14:$C$25,3,FALSE)</f>
        <v>#DIV/0!</v>
      </c>
      <c r="R33" s="229">
        <f>IF(L33&gt;0,L33*I33/X33,0)*VLOOKUP(B33,'2-Kosten per locatie'!$A$14:$C$25,3,FALSE)</f>
        <v>0</v>
      </c>
      <c r="S33" s="229">
        <f>IF(M33&gt;0,M33*I33/Y33,0)*VLOOKUP(B33,'2-Kosten per locatie'!$A$14:$C$25,3,FALSE)</f>
        <v>0</v>
      </c>
      <c r="T33" s="229">
        <f>IF(N33&gt;0,N33*I33/Z33,0)*VLOOKUP(B33,'2-Kosten per locatie'!$A$14:$C$25,3,FALSE)</f>
        <v>0</v>
      </c>
      <c r="U33" s="229">
        <f>IF(O33&gt;0,O33*I33/Y33,0)*VLOOKUP(B33,'2-Kosten per locatie'!$A$14:$C$25,3,FALSE)</f>
        <v>0</v>
      </c>
      <c r="V33" s="229">
        <f>IF(P33&gt;0,P33*I33/Z33,0)*VLOOKUP(B33,'2-Kosten per locatie'!$A$14:$C$25,3,FALSE)</f>
        <v>0</v>
      </c>
      <c r="W33" s="307">
        <f>IF(K33="nio",0,IF(K33&gt;0,VLOOKUP(G33,'3-Productie normen'!A:R,VLOOKUP(K33,'3-Productie normen'!$B$29:$C$41,2,FALSE),FALSE)))</f>
        <v>0</v>
      </c>
      <c r="X33" s="307">
        <f t="shared" si="5"/>
        <v>0</v>
      </c>
      <c r="Y33" s="307">
        <f t="shared" si="6"/>
        <v>0</v>
      </c>
      <c r="Z33" s="307">
        <f t="shared" si="7"/>
        <v>0</v>
      </c>
      <c r="AA33" s="308">
        <f>VLOOKUP(G33,'3-Productie normen'!A:U,15,FALSE)</f>
        <v>0</v>
      </c>
      <c r="AB33" s="309">
        <f>VLOOKUP(G33,'3-Productie normen'!A:U,16,FALSE)</f>
        <v>915.88999999999976</v>
      </c>
      <c r="AC33" s="308"/>
      <c r="AE33" s="310">
        <f t="shared" si="8"/>
        <v>3411.2</v>
      </c>
    </row>
    <row r="34" spans="1:31" ht="14.1" hidden="1" customHeight="1">
      <c r="A34" s="75">
        <v>33</v>
      </c>
      <c r="B34" s="380" t="s">
        <v>60</v>
      </c>
      <c r="C34" s="276" t="s">
        <v>152</v>
      </c>
      <c r="D34" s="304" t="s">
        <v>176</v>
      </c>
      <c r="E34" s="305" t="s">
        <v>154</v>
      </c>
      <c r="F34" s="71" t="s">
        <v>183</v>
      </c>
      <c r="G34" s="71" t="s">
        <v>92</v>
      </c>
      <c r="H34" s="71" t="s">
        <v>156</v>
      </c>
      <c r="I34" s="388">
        <v>44.5</v>
      </c>
      <c r="J34" s="306">
        <f t="shared" si="2"/>
        <v>104</v>
      </c>
      <c r="K34" s="230">
        <v>104</v>
      </c>
      <c r="L34" s="230"/>
      <c r="M34" s="230"/>
      <c r="N34" s="230"/>
      <c r="O34" s="230"/>
      <c r="P34" s="230"/>
      <c r="Q34" s="229" t="e">
        <f>IF(K34="nio",0,IF(K34&gt;0,K34*I34/W34,0))*VLOOKUP(B34,'2-Kosten per locatie'!$A$14:$C$25,3,FALSE)</f>
        <v>#DIV/0!</v>
      </c>
      <c r="R34" s="229">
        <f>IF(L34&gt;0,L34*I34/X34,0)*VLOOKUP(B34,'2-Kosten per locatie'!$A$14:$C$25,3,FALSE)</f>
        <v>0</v>
      </c>
      <c r="S34" s="229">
        <f>IF(M34&gt;0,M34*I34/Y34,0)*VLOOKUP(B34,'2-Kosten per locatie'!$A$14:$C$25,3,FALSE)</f>
        <v>0</v>
      </c>
      <c r="T34" s="229">
        <f>IF(N34&gt;0,N34*I34/Z34,0)*VLOOKUP(B34,'2-Kosten per locatie'!$A$14:$C$25,3,FALSE)</f>
        <v>0</v>
      </c>
      <c r="U34" s="229">
        <f>IF(O34&gt;0,O34*I34/Y34,0)*VLOOKUP(B34,'2-Kosten per locatie'!$A$14:$C$25,3,FALSE)</f>
        <v>0</v>
      </c>
      <c r="V34" s="229">
        <f>IF(P34&gt;0,P34*I34/Z34,0)*VLOOKUP(B34,'2-Kosten per locatie'!$A$14:$C$25,3,FALSE)</f>
        <v>0</v>
      </c>
      <c r="W34" s="307">
        <f>IF(K34="nio",0,IF(K34&gt;0,VLOOKUP(G34,'3-Productie normen'!A:R,VLOOKUP(K34,'3-Productie normen'!$B$29:$C$41,2,FALSE),FALSE)))</f>
        <v>0</v>
      </c>
      <c r="X34" s="307">
        <f t="shared" si="5"/>
        <v>0</v>
      </c>
      <c r="Y34" s="307">
        <f t="shared" si="6"/>
        <v>0</v>
      </c>
      <c r="Z34" s="307">
        <f t="shared" si="7"/>
        <v>0</v>
      </c>
      <c r="AA34" s="308">
        <f>VLOOKUP(G34,'3-Productie normen'!A:U,15,FALSE)</f>
        <v>0</v>
      </c>
      <c r="AB34" s="309">
        <f>VLOOKUP(G34,'3-Productie normen'!A:U,16,FALSE)</f>
        <v>915.88999999999976</v>
      </c>
      <c r="AC34" s="308"/>
      <c r="AE34" s="310">
        <f t="shared" si="8"/>
        <v>4628</v>
      </c>
    </row>
    <row r="35" spans="1:31" ht="14.1" hidden="1" customHeight="1">
      <c r="A35" s="75">
        <v>34</v>
      </c>
      <c r="B35" s="380" t="s">
        <v>60</v>
      </c>
      <c r="C35" s="276" t="s">
        <v>152</v>
      </c>
      <c r="D35" s="86" t="s">
        <v>176</v>
      </c>
      <c r="E35" s="226" t="s">
        <v>154</v>
      </c>
      <c r="F35" s="85" t="s">
        <v>184</v>
      </c>
      <c r="G35" s="85" t="s">
        <v>99</v>
      </c>
      <c r="H35" s="71" t="s">
        <v>185</v>
      </c>
      <c r="I35" s="388">
        <v>30.6</v>
      </c>
      <c r="J35" s="306">
        <f t="shared" si="2"/>
        <v>204</v>
      </c>
      <c r="K35" s="230">
        <v>204</v>
      </c>
      <c r="L35" s="230"/>
      <c r="M35" s="230"/>
      <c r="N35" s="230"/>
      <c r="O35" s="230"/>
      <c r="P35" s="230"/>
      <c r="Q35" s="229" t="e">
        <f>IF(K35="nio",0,IF(K35&gt;0,K35*I35/W35,0))*VLOOKUP(B35,'2-Kosten per locatie'!$A$14:$C$25,3,FALSE)</f>
        <v>#DIV/0!</v>
      </c>
      <c r="R35" s="229">
        <f>IF(L35&gt;0,L35*I35/X35,0)*VLOOKUP(B35,'2-Kosten per locatie'!$A$14:$C$25,3,FALSE)</f>
        <v>0</v>
      </c>
      <c r="S35" s="229">
        <f>IF(M35&gt;0,M35*I35/Y35,0)*VLOOKUP(B35,'2-Kosten per locatie'!$A$14:$C$25,3,FALSE)</f>
        <v>0</v>
      </c>
      <c r="T35" s="229">
        <f>IF(N35&gt;0,N35*I35/Z35,0)*VLOOKUP(B35,'2-Kosten per locatie'!$A$14:$C$25,3,FALSE)</f>
        <v>0</v>
      </c>
      <c r="U35" s="229">
        <f>IF(O35&gt;0,O35*I35/Y35,0)*VLOOKUP(B35,'2-Kosten per locatie'!$A$14:$C$25,3,FALSE)</f>
        <v>0</v>
      </c>
      <c r="V35" s="229">
        <f>IF(P35&gt;0,P35*I35/Z35,0)*VLOOKUP(B35,'2-Kosten per locatie'!$A$14:$C$25,3,FALSE)</f>
        <v>0</v>
      </c>
      <c r="W35" s="307">
        <f>IF(K35="nio",0,IF(K35&gt;0,VLOOKUP(G35,'3-Productie normen'!A:R,VLOOKUP(K35,'3-Productie normen'!$B$29:$C$41,2,FALSE),FALSE)))</f>
        <v>0</v>
      </c>
      <c r="X35" s="307">
        <f t="shared" si="5"/>
        <v>0</v>
      </c>
      <c r="Y35" s="307">
        <f t="shared" si="6"/>
        <v>0</v>
      </c>
      <c r="Z35" s="307">
        <f t="shared" si="7"/>
        <v>0</v>
      </c>
      <c r="AA35" s="308">
        <f>VLOOKUP(G35,'3-Productie normen'!A:U,15,FALSE)</f>
        <v>0</v>
      </c>
      <c r="AB35" s="309">
        <f>VLOOKUP(G35,'3-Productie normen'!A:U,16,FALSE)</f>
        <v>98.211600000000004</v>
      </c>
      <c r="AC35" s="308"/>
      <c r="AE35" s="310">
        <f t="shared" si="8"/>
        <v>6242.4000000000005</v>
      </c>
    </row>
    <row r="36" spans="1:31" ht="14.1" hidden="1" customHeight="1">
      <c r="A36" s="75">
        <v>35</v>
      </c>
      <c r="B36" s="380" t="s">
        <v>60</v>
      </c>
      <c r="C36" s="276" t="s">
        <v>152</v>
      </c>
      <c r="D36" s="304" t="s">
        <v>176</v>
      </c>
      <c r="E36" s="305" t="s">
        <v>154</v>
      </c>
      <c r="F36" s="71" t="s">
        <v>105</v>
      </c>
      <c r="G36" s="71" t="s">
        <v>105</v>
      </c>
      <c r="H36" s="71" t="s">
        <v>158</v>
      </c>
      <c r="I36" s="388">
        <v>15.5</v>
      </c>
      <c r="J36" s="306">
        <f t="shared" si="2"/>
        <v>156</v>
      </c>
      <c r="K36" s="230">
        <v>156</v>
      </c>
      <c r="L36" s="230"/>
      <c r="M36" s="230"/>
      <c r="N36" s="230"/>
      <c r="O36" s="230"/>
      <c r="P36" s="230"/>
      <c r="Q36" s="229" t="e">
        <f>IF(K36="nio",0,IF(K36&gt;0,K36*I36/W36,0))*VLOOKUP(B36,'2-Kosten per locatie'!$A$14:$C$25,3,FALSE)</f>
        <v>#DIV/0!</v>
      </c>
      <c r="R36" s="229">
        <f>IF(L36&gt;0,L36*I36/X36,0)*VLOOKUP(B36,'2-Kosten per locatie'!$A$14:$C$25,3,FALSE)</f>
        <v>0</v>
      </c>
      <c r="S36" s="229">
        <f>IF(M36&gt;0,M36*I36/Y36,0)*VLOOKUP(B36,'2-Kosten per locatie'!$A$14:$C$25,3,FALSE)</f>
        <v>0</v>
      </c>
      <c r="T36" s="229">
        <f>IF(N36&gt;0,N36*I36/Z36,0)*VLOOKUP(B36,'2-Kosten per locatie'!$A$14:$C$25,3,FALSE)</f>
        <v>0</v>
      </c>
      <c r="U36" s="229">
        <f>IF(O36&gt;0,O36*I36/Y36,0)*VLOOKUP(B36,'2-Kosten per locatie'!$A$14:$C$25,3,FALSE)</f>
        <v>0</v>
      </c>
      <c r="V36" s="229">
        <f>IF(P36&gt;0,P36*I36/Z36,0)*VLOOKUP(B36,'2-Kosten per locatie'!$A$14:$C$25,3,FALSE)</f>
        <v>0</v>
      </c>
      <c r="W36" s="307">
        <f>IF(K36="nio",0,IF(K36&gt;0,VLOOKUP(G36,'3-Productie normen'!A:R,VLOOKUP(K36,'3-Productie normen'!$B$29:$C$41,2,FALSE),FALSE)))</f>
        <v>0</v>
      </c>
      <c r="X36" s="307">
        <f t="shared" si="5"/>
        <v>0</v>
      </c>
      <c r="Y36" s="307">
        <f t="shared" si="6"/>
        <v>0</v>
      </c>
      <c r="Z36" s="307">
        <f t="shared" si="7"/>
        <v>0</v>
      </c>
      <c r="AA36" s="308">
        <f>VLOOKUP(G36,'3-Productie normen'!A:U,15,FALSE)</f>
        <v>0</v>
      </c>
      <c r="AB36" s="309">
        <f>VLOOKUP(G36,'3-Productie normen'!A:U,16,FALSE)</f>
        <v>75.828800000000015</v>
      </c>
      <c r="AC36" s="308"/>
      <c r="AE36" s="310">
        <f t="shared" si="8"/>
        <v>2418</v>
      </c>
    </row>
    <row r="37" spans="1:31" ht="14.1" hidden="1" customHeight="1">
      <c r="A37" s="75">
        <v>36</v>
      </c>
      <c r="B37" s="380" t="s">
        <v>60</v>
      </c>
      <c r="C37" s="276" t="s">
        <v>152</v>
      </c>
      <c r="D37" s="304" t="s">
        <v>186</v>
      </c>
      <c r="E37" s="305" t="s">
        <v>154</v>
      </c>
      <c r="F37" s="71" t="s">
        <v>187</v>
      </c>
      <c r="G37" s="71" t="s">
        <v>92</v>
      </c>
      <c r="H37" s="71" t="s">
        <v>156</v>
      </c>
      <c r="I37" s="388">
        <v>103</v>
      </c>
      <c r="J37" s="306">
        <f t="shared" si="2"/>
        <v>104</v>
      </c>
      <c r="K37" s="230">
        <v>104</v>
      </c>
      <c r="L37" s="230"/>
      <c r="M37" s="230"/>
      <c r="N37" s="230"/>
      <c r="O37" s="230"/>
      <c r="P37" s="230"/>
      <c r="Q37" s="229" t="e">
        <f>IF(K37="nio",0,IF(K37&gt;0,K37*I37/W37,0))*VLOOKUP(B37,'2-Kosten per locatie'!$A$14:$C$25,3,FALSE)</f>
        <v>#DIV/0!</v>
      </c>
      <c r="R37" s="229">
        <f>IF(L37&gt;0,L37*I37/X37,0)*VLOOKUP(B37,'2-Kosten per locatie'!$A$14:$C$25,3,FALSE)</f>
        <v>0</v>
      </c>
      <c r="S37" s="229">
        <f>IF(M37&gt;0,M37*I37/Y37,0)*VLOOKUP(B37,'2-Kosten per locatie'!$A$14:$C$25,3,FALSE)</f>
        <v>0</v>
      </c>
      <c r="T37" s="229">
        <f>IF(N37&gt;0,N37*I37/Z37,0)*VLOOKUP(B37,'2-Kosten per locatie'!$A$14:$C$25,3,FALSE)</f>
        <v>0</v>
      </c>
      <c r="U37" s="229">
        <f>IF(O37&gt;0,O37*I37/Y37,0)*VLOOKUP(B37,'2-Kosten per locatie'!$A$14:$C$25,3,FALSE)</f>
        <v>0</v>
      </c>
      <c r="V37" s="229">
        <f>IF(P37&gt;0,P37*I37/Z37,0)*VLOOKUP(B37,'2-Kosten per locatie'!$A$14:$C$25,3,FALSE)</f>
        <v>0</v>
      </c>
      <c r="W37" s="307">
        <f>IF(K37="nio",0,IF(K37&gt;0,VLOOKUP(G37,'3-Productie normen'!A:R,VLOOKUP(K37,'3-Productie normen'!$B$29:$C$41,2,FALSE),FALSE)))</f>
        <v>0</v>
      </c>
      <c r="X37" s="307">
        <f t="shared" si="5"/>
        <v>0</v>
      </c>
      <c r="Y37" s="307">
        <f t="shared" si="6"/>
        <v>0</v>
      </c>
      <c r="Z37" s="307">
        <f t="shared" si="7"/>
        <v>0</v>
      </c>
      <c r="AA37" s="308">
        <f>VLOOKUP(G37,'3-Productie normen'!A:U,15,FALSE)</f>
        <v>0</v>
      </c>
      <c r="AB37" s="309">
        <f>VLOOKUP(G37,'3-Productie normen'!A:U,16,FALSE)</f>
        <v>915.88999999999976</v>
      </c>
      <c r="AC37" s="308"/>
      <c r="AE37" s="310">
        <f t="shared" si="8"/>
        <v>10712</v>
      </c>
    </row>
    <row r="38" spans="1:31" ht="14.1" hidden="1" customHeight="1">
      <c r="A38" s="75">
        <v>37</v>
      </c>
      <c r="B38" s="380" t="s">
        <v>60</v>
      </c>
      <c r="C38" s="276" t="s">
        <v>152</v>
      </c>
      <c r="D38" s="304" t="s">
        <v>186</v>
      </c>
      <c r="E38" s="305" t="s">
        <v>154</v>
      </c>
      <c r="F38" s="71" t="s">
        <v>163</v>
      </c>
      <c r="G38" s="71" t="s">
        <v>92</v>
      </c>
      <c r="H38" s="71" t="s">
        <v>156</v>
      </c>
      <c r="I38" s="388">
        <v>45.1</v>
      </c>
      <c r="J38" s="306">
        <f t="shared" si="2"/>
        <v>104</v>
      </c>
      <c r="K38" s="230">
        <v>104</v>
      </c>
      <c r="L38" s="230"/>
      <c r="M38" s="230"/>
      <c r="N38" s="230"/>
      <c r="O38" s="230"/>
      <c r="P38" s="230"/>
      <c r="Q38" s="229" t="e">
        <f>IF(K38="nio",0,IF(K38&gt;0,K38*I38/W38,0))*VLOOKUP(B38,'2-Kosten per locatie'!$A$14:$C$25,3,FALSE)</f>
        <v>#DIV/0!</v>
      </c>
      <c r="R38" s="229">
        <f>IF(L38&gt;0,L38*I38/X38,0)*VLOOKUP(B38,'2-Kosten per locatie'!$A$14:$C$25,3,FALSE)</f>
        <v>0</v>
      </c>
      <c r="S38" s="229">
        <f>IF(M38&gt;0,M38*I38/Y38,0)*VLOOKUP(B38,'2-Kosten per locatie'!$A$14:$C$25,3,FALSE)</f>
        <v>0</v>
      </c>
      <c r="T38" s="229">
        <f>IF(N38&gt;0,N38*I38/Z38,0)*VLOOKUP(B38,'2-Kosten per locatie'!$A$14:$C$25,3,FALSE)</f>
        <v>0</v>
      </c>
      <c r="U38" s="229">
        <f>IF(O38&gt;0,O38*I38/Y38,0)*VLOOKUP(B38,'2-Kosten per locatie'!$A$14:$C$25,3,FALSE)</f>
        <v>0</v>
      </c>
      <c r="V38" s="229">
        <f>IF(P38&gt;0,P38*I38/Z38,0)*VLOOKUP(B38,'2-Kosten per locatie'!$A$14:$C$25,3,FALSE)</f>
        <v>0</v>
      </c>
      <c r="W38" s="307">
        <f>IF(K38="nio",0,IF(K38&gt;0,VLOOKUP(G38,'3-Productie normen'!A:R,VLOOKUP(K38,'3-Productie normen'!$B$29:$C$41,2,FALSE),FALSE)))</f>
        <v>0</v>
      </c>
      <c r="X38" s="307">
        <f t="shared" si="5"/>
        <v>0</v>
      </c>
      <c r="Y38" s="307">
        <f t="shared" si="6"/>
        <v>0</v>
      </c>
      <c r="Z38" s="307">
        <f t="shared" si="7"/>
        <v>0</v>
      </c>
      <c r="AA38" s="308">
        <f>VLOOKUP(G38,'3-Productie normen'!A:U,15,FALSE)</f>
        <v>0</v>
      </c>
      <c r="AB38" s="309">
        <f>VLOOKUP(G38,'3-Productie normen'!A:U,16,FALSE)</f>
        <v>915.88999999999976</v>
      </c>
      <c r="AC38" s="308"/>
      <c r="AE38" s="310">
        <f t="shared" si="8"/>
        <v>4690.4000000000005</v>
      </c>
    </row>
    <row r="39" spans="1:31" ht="14.1" hidden="1" customHeight="1">
      <c r="A39" s="75">
        <v>38</v>
      </c>
      <c r="B39" s="380" t="s">
        <v>60</v>
      </c>
      <c r="C39" s="276" t="s">
        <v>152</v>
      </c>
      <c r="D39" s="304" t="s">
        <v>186</v>
      </c>
      <c r="E39" s="305" t="s">
        <v>154</v>
      </c>
      <c r="F39" s="71" t="s">
        <v>163</v>
      </c>
      <c r="G39" s="71" t="s">
        <v>92</v>
      </c>
      <c r="H39" s="71" t="s">
        <v>156</v>
      </c>
      <c r="I39" s="388">
        <v>63.1</v>
      </c>
      <c r="J39" s="306">
        <f t="shared" si="2"/>
        <v>104</v>
      </c>
      <c r="K39" s="230">
        <v>104</v>
      </c>
      <c r="L39" s="230"/>
      <c r="M39" s="230"/>
      <c r="N39" s="230"/>
      <c r="O39" s="230"/>
      <c r="P39" s="230"/>
      <c r="Q39" s="229" t="e">
        <f>IF(K39="nio",0,IF(K39&gt;0,K39*I39/W39,0))*VLOOKUP(B39,'2-Kosten per locatie'!$A$14:$C$25,3,FALSE)</f>
        <v>#DIV/0!</v>
      </c>
      <c r="R39" s="229">
        <f>IF(L39&gt;0,L39*I39/X39,0)*VLOOKUP(B39,'2-Kosten per locatie'!$A$14:$C$25,3,FALSE)</f>
        <v>0</v>
      </c>
      <c r="S39" s="229">
        <f>IF(M39&gt;0,M39*I39/Y39,0)*VLOOKUP(B39,'2-Kosten per locatie'!$A$14:$C$25,3,FALSE)</f>
        <v>0</v>
      </c>
      <c r="T39" s="229">
        <f>IF(N39&gt;0,N39*I39/Z39,0)*VLOOKUP(B39,'2-Kosten per locatie'!$A$14:$C$25,3,FALSE)</f>
        <v>0</v>
      </c>
      <c r="U39" s="229">
        <f>IF(O39&gt;0,O39*I39/Y39,0)*VLOOKUP(B39,'2-Kosten per locatie'!$A$14:$C$25,3,FALSE)</f>
        <v>0</v>
      </c>
      <c r="V39" s="229">
        <f>IF(P39&gt;0,P39*I39/Z39,0)*VLOOKUP(B39,'2-Kosten per locatie'!$A$14:$C$25,3,FALSE)</f>
        <v>0</v>
      </c>
      <c r="W39" s="307">
        <f>IF(K39="nio",0,IF(K39&gt;0,VLOOKUP(G39,'3-Productie normen'!A:R,VLOOKUP(K39,'3-Productie normen'!$B$29:$C$41,2,FALSE),FALSE)))</f>
        <v>0</v>
      </c>
      <c r="X39" s="307">
        <f t="shared" si="5"/>
        <v>0</v>
      </c>
      <c r="Y39" s="307">
        <f t="shared" si="6"/>
        <v>0</v>
      </c>
      <c r="Z39" s="307">
        <f t="shared" si="7"/>
        <v>0</v>
      </c>
      <c r="AA39" s="308">
        <f>VLOOKUP(G39,'3-Productie normen'!A:U,15,FALSE)</f>
        <v>0</v>
      </c>
      <c r="AB39" s="309">
        <f>VLOOKUP(G39,'3-Productie normen'!A:U,16,FALSE)</f>
        <v>915.88999999999976</v>
      </c>
      <c r="AC39" s="308"/>
      <c r="AE39" s="310">
        <f t="shared" si="8"/>
        <v>6562.4000000000005</v>
      </c>
    </row>
    <row r="40" spans="1:31" ht="14.1" hidden="1" customHeight="1">
      <c r="A40" s="75">
        <v>39</v>
      </c>
      <c r="B40" s="380" t="s">
        <v>60</v>
      </c>
      <c r="C40" s="276" t="s">
        <v>152</v>
      </c>
      <c r="D40" s="304" t="s">
        <v>186</v>
      </c>
      <c r="E40" s="305" t="s">
        <v>154</v>
      </c>
      <c r="F40" s="71" t="s">
        <v>163</v>
      </c>
      <c r="G40" s="71" t="s">
        <v>92</v>
      </c>
      <c r="H40" s="71" t="s">
        <v>156</v>
      </c>
      <c r="I40" s="388">
        <v>34.200000000000003</v>
      </c>
      <c r="J40" s="306">
        <f t="shared" si="2"/>
        <v>104</v>
      </c>
      <c r="K40" s="230">
        <v>104</v>
      </c>
      <c r="L40" s="230"/>
      <c r="M40" s="230"/>
      <c r="N40" s="230"/>
      <c r="O40" s="230"/>
      <c r="P40" s="230"/>
      <c r="Q40" s="229" t="e">
        <f>IF(K40="nio",0,IF(K40&gt;0,K40*I40/W40,0))*VLOOKUP(B40,'2-Kosten per locatie'!$A$14:$C$25,3,FALSE)</f>
        <v>#DIV/0!</v>
      </c>
      <c r="R40" s="229">
        <f>IF(L40&gt;0,L40*I40/X40,0)*VLOOKUP(B40,'2-Kosten per locatie'!$A$14:$C$25,3,FALSE)</f>
        <v>0</v>
      </c>
      <c r="S40" s="229">
        <f>IF(M40&gt;0,M40*I40/Y40,0)*VLOOKUP(B40,'2-Kosten per locatie'!$A$14:$C$25,3,FALSE)</f>
        <v>0</v>
      </c>
      <c r="T40" s="229">
        <f>IF(N40&gt;0,N40*I40/Z40,0)*VLOOKUP(B40,'2-Kosten per locatie'!$A$14:$C$25,3,FALSE)</f>
        <v>0</v>
      </c>
      <c r="U40" s="229">
        <f>IF(O40&gt;0,O40*I40/Y40,0)*VLOOKUP(B40,'2-Kosten per locatie'!$A$14:$C$25,3,FALSE)</f>
        <v>0</v>
      </c>
      <c r="V40" s="229">
        <f>IF(P40&gt;0,P40*I40/Z40,0)*VLOOKUP(B40,'2-Kosten per locatie'!$A$14:$C$25,3,FALSE)</f>
        <v>0</v>
      </c>
      <c r="W40" s="307">
        <f>IF(K40="nio",0,IF(K40&gt;0,VLOOKUP(G40,'3-Productie normen'!A:R,VLOOKUP(K40,'3-Productie normen'!$B$29:$C$41,2,FALSE),FALSE)))</f>
        <v>0</v>
      </c>
      <c r="X40" s="307">
        <f t="shared" si="5"/>
        <v>0</v>
      </c>
      <c r="Y40" s="307">
        <f t="shared" si="6"/>
        <v>0</v>
      </c>
      <c r="Z40" s="307">
        <f t="shared" si="7"/>
        <v>0</v>
      </c>
      <c r="AA40" s="308">
        <f>VLOOKUP(G40,'3-Productie normen'!A:U,15,FALSE)</f>
        <v>0</v>
      </c>
      <c r="AB40" s="309">
        <f>VLOOKUP(G40,'3-Productie normen'!A:U,16,FALSE)</f>
        <v>915.88999999999976</v>
      </c>
      <c r="AC40" s="308"/>
      <c r="AE40" s="310">
        <f t="shared" si="8"/>
        <v>3556.8</v>
      </c>
    </row>
    <row r="41" spans="1:31" ht="14.1" hidden="1" customHeight="1">
      <c r="A41" s="75">
        <v>40</v>
      </c>
      <c r="B41" s="380" t="s">
        <v>60</v>
      </c>
      <c r="C41" s="276" t="s">
        <v>152</v>
      </c>
      <c r="D41" s="304" t="s">
        <v>186</v>
      </c>
      <c r="E41" s="305" t="s">
        <v>154</v>
      </c>
      <c r="F41" s="71" t="s">
        <v>105</v>
      </c>
      <c r="G41" s="71" t="s">
        <v>105</v>
      </c>
      <c r="H41" s="71" t="s">
        <v>158</v>
      </c>
      <c r="I41" s="388">
        <v>8.6999999999999993</v>
      </c>
      <c r="J41" s="306">
        <f t="shared" si="2"/>
        <v>156</v>
      </c>
      <c r="K41" s="230">
        <v>156</v>
      </c>
      <c r="L41" s="230"/>
      <c r="M41" s="230"/>
      <c r="N41" s="230"/>
      <c r="O41" s="230"/>
      <c r="P41" s="230"/>
      <c r="Q41" s="229" t="e">
        <f>IF(K41="nio",0,IF(K41&gt;0,K41*I41/W41,0))*VLOOKUP(B41,'2-Kosten per locatie'!$A$14:$C$25,3,FALSE)</f>
        <v>#DIV/0!</v>
      </c>
      <c r="R41" s="229">
        <f>IF(L41&gt;0,L41*I41/X41,0)*VLOOKUP(B41,'2-Kosten per locatie'!$A$14:$C$25,3,FALSE)</f>
        <v>0</v>
      </c>
      <c r="S41" s="229">
        <f>IF(M41&gt;0,M41*I41/Y41,0)*VLOOKUP(B41,'2-Kosten per locatie'!$A$14:$C$25,3,FALSE)</f>
        <v>0</v>
      </c>
      <c r="T41" s="229">
        <f>IF(N41&gt;0,N41*I41/Z41,0)*VLOOKUP(B41,'2-Kosten per locatie'!$A$14:$C$25,3,FALSE)</f>
        <v>0</v>
      </c>
      <c r="U41" s="229">
        <f>IF(O41&gt;0,O41*I41/Y41,0)*VLOOKUP(B41,'2-Kosten per locatie'!$A$14:$C$25,3,FALSE)</f>
        <v>0</v>
      </c>
      <c r="V41" s="229">
        <f>IF(P41&gt;0,P41*I41/Z41,0)*VLOOKUP(B41,'2-Kosten per locatie'!$A$14:$C$25,3,FALSE)</f>
        <v>0</v>
      </c>
      <c r="W41" s="307">
        <f>IF(K41="nio",0,IF(K41&gt;0,VLOOKUP(G41,'3-Productie normen'!A:R,VLOOKUP(K41,'3-Productie normen'!$B$29:$C$41,2,FALSE),FALSE)))</f>
        <v>0</v>
      </c>
      <c r="X41" s="307">
        <f t="shared" si="5"/>
        <v>0</v>
      </c>
      <c r="Y41" s="307">
        <f t="shared" si="6"/>
        <v>0</v>
      </c>
      <c r="Z41" s="307">
        <f t="shared" si="7"/>
        <v>0</v>
      </c>
      <c r="AA41" s="308">
        <f>VLOOKUP(G41,'3-Productie normen'!A:U,15,FALSE)</f>
        <v>0</v>
      </c>
      <c r="AB41" s="309">
        <f>VLOOKUP(G41,'3-Productie normen'!A:U,16,FALSE)</f>
        <v>75.828800000000015</v>
      </c>
      <c r="AC41" s="308"/>
      <c r="AE41" s="310">
        <f t="shared" si="8"/>
        <v>1357.1999999999998</v>
      </c>
    </row>
    <row r="42" spans="1:31" ht="14.1" hidden="1" customHeight="1">
      <c r="A42" s="75">
        <v>38</v>
      </c>
      <c r="B42" s="380" t="s">
        <v>54</v>
      </c>
      <c r="C42" s="276" t="s">
        <v>188</v>
      </c>
      <c r="D42" s="304" t="s">
        <v>189</v>
      </c>
      <c r="E42" s="305" t="s">
        <v>190</v>
      </c>
      <c r="F42" s="71" t="s">
        <v>191</v>
      </c>
      <c r="G42" s="71" t="s">
        <v>96</v>
      </c>
      <c r="H42" s="71" t="s">
        <v>192</v>
      </c>
      <c r="I42" s="388">
        <v>12</v>
      </c>
      <c r="J42" s="306">
        <f t="shared" ref="J42:J78" si="15">SUM(K42:P42)</f>
        <v>80</v>
      </c>
      <c r="K42" s="230">
        <v>80</v>
      </c>
      <c r="L42" s="230"/>
      <c r="M42" s="230"/>
      <c r="N42" s="230"/>
      <c r="O42" s="230"/>
      <c r="P42" s="230"/>
      <c r="Q42" s="229" t="e">
        <f>IF(K42="nio",0,IF(K42&gt;0,K42*I42/W42,0))*VLOOKUP(B42,'2-Kosten per locatie'!$A$14:$C$25,3,FALSE)</f>
        <v>#DIV/0!</v>
      </c>
      <c r="R42" s="229">
        <f>IF(L42&gt;0,L42*I42/X42,0)*VLOOKUP(B42,'2-Kosten per locatie'!$A$14:$C$25,3,FALSE)</f>
        <v>0</v>
      </c>
      <c r="S42" s="229">
        <f>IF(M42&gt;0,M42*I42/Y42,0)*VLOOKUP(B42,'2-Kosten per locatie'!$A$14:$C$25,3,FALSE)</f>
        <v>0</v>
      </c>
      <c r="T42" s="229">
        <f>IF(N42&gt;0,N42*I42/Z42,0)*VLOOKUP(B42,'2-Kosten per locatie'!$A$14:$C$25,3,FALSE)</f>
        <v>0</v>
      </c>
      <c r="U42" s="229">
        <f>IF(O42&gt;0,O42*I42/Y42,0)*VLOOKUP(B42,'2-Kosten per locatie'!$A$14:$C$25,3,FALSE)</f>
        <v>0</v>
      </c>
      <c r="V42" s="229">
        <f>IF(P42&gt;0,P42*I42/Z42,0)*VLOOKUP(B42,'2-Kosten per locatie'!$A$14:$C$25,3,FALSE)</f>
        <v>0</v>
      </c>
      <c r="W42" s="307">
        <f>IF(K42="nio",0,IF(K42&gt;0,VLOOKUP(G42,'3-Productie normen'!A:R,VLOOKUP(K42,'3-Productie normen'!$B$29:$C$41,2,FALSE),FALSE)))</f>
        <v>0</v>
      </c>
      <c r="X42" s="307">
        <f t="shared" si="5"/>
        <v>0</v>
      </c>
      <c r="Y42" s="307">
        <f t="shared" si="6"/>
        <v>0</v>
      </c>
      <c r="Z42" s="307">
        <f t="shared" si="7"/>
        <v>0</v>
      </c>
      <c r="AA42" s="308">
        <f>VLOOKUP(G42,'3-Productie normen'!A:U,15,FALSE)</f>
        <v>0</v>
      </c>
      <c r="AB42" s="309">
        <f>VLOOKUP(G42,'3-Productie normen'!A:U,16,FALSE)</f>
        <v>84.322499999999991</v>
      </c>
      <c r="AC42" s="308"/>
      <c r="AE42" s="310">
        <f t="shared" si="8"/>
        <v>960</v>
      </c>
    </row>
    <row r="43" spans="1:31" ht="14.1" hidden="1" customHeight="1">
      <c r="A43" s="75">
        <v>39</v>
      </c>
      <c r="B43" s="380" t="s">
        <v>54</v>
      </c>
      <c r="C43" s="276" t="s">
        <v>188</v>
      </c>
      <c r="D43" s="304" t="s">
        <v>189</v>
      </c>
      <c r="E43" s="305" t="s">
        <v>193</v>
      </c>
      <c r="F43" s="71" t="s">
        <v>164</v>
      </c>
      <c r="G43" s="71" t="s">
        <v>103</v>
      </c>
      <c r="H43" s="71" t="s">
        <v>192</v>
      </c>
      <c r="I43" s="388">
        <v>1</v>
      </c>
      <c r="J43" s="306">
        <f t="shared" si="15"/>
        <v>200</v>
      </c>
      <c r="K43" s="230">
        <v>200</v>
      </c>
      <c r="L43" s="230"/>
      <c r="M43" s="230"/>
      <c r="N43" s="230"/>
      <c r="O43" s="230"/>
      <c r="P43" s="230"/>
      <c r="Q43" s="229" t="e">
        <f>IF(K43="nio",0,IF(K43&gt;0,K43*I43/W43,0))*VLOOKUP(B43,'2-Kosten per locatie'!$A$14:$C$25,3,FALSE)</f>
        <v>#DIV/0!</v>
      </c>
      <c r="R43" s="229">
        <f>IF(L43&gt;0,L43*I43/X43,0)*VLOOKUP(B43,'2-Kosten per locatie'!$A$14:$C$25,3,FALSE)</f>
        <v>0</v>
      </c>
      <c r="S43" s="229">
        <f>IF(M43&gt;0,M43*I43/Y43,0)*VLOOKUP(B43,'2-Kosten per locatie'!$A$14:$C$25,3,FALSE)</f>
        <v>0</v>
      </c>
      <c r="T43" s="229">
        <f>IF(N43&gt;0,N43*I43/Z43,0)*VLOOKUP(B43,'2-Kosten per locatie'!$A$14:$C$25,3,FALSE)</f>
        <v>0</v>
      </c>
      <c r="U43" s="229">
        <f>IF(O43&gt;0,O43*I43/Y43,0)*VLOOKUP(B43,'2-Kosten per locatie'!$A$14:$C$25,3,FALSE)</f>
        <v>0</v>
      </c>
      <c r="V43" s="229">
        <f>IF(P43&gt;0,P43*I43/Z43,0)*VLOOKUP(B43,'2-Kosten per locatie'!$A$14:$C$25,3,FALSE)</f>
        <v>0</v>
      </c>
      <c r="W43" s="307">
        <f>IF(K43="nio",0,IF(K43&gt;0,VLOOKUP(G43,'3-Productie normen'!A:R,VLOOKUP(K43,'3-Productie normen'!$B$29:$C$41,2,FALSE),FALSE)))</f>
        <v>0</v>
      </c>
      <c r="X43" s="307">
        <f t="shared" si="5"/>
        <v>0</v>
      </c>
      <c r="Y43" s="307">
        <f t="shared" si="6"/>
        <v>0</v>
      </c>
      <c r="Z43" s="307">
        <f t="shared" si="7"/>
        <v>0</v>
      </c>
      <c r="AA43" s="308">
        <f>VLOOKUP(G43,'3-Productie normen'!A:U,15,FALSE)</f>
        <v>0</v>
      </c>
      <c r="AB43" s="309">
        <f>VLOOKUP(G43,'3-Productie normen'!A:U,16,FALSE)</f>
        <v>198.56500000000014</v>
      </c>
      <c r="AC43" s="308"/>
      <c r="AE43" s="310">
        <f t="shared" si="8"/>
        <v>200</v>
      </c>
    </row>
    <row r="44" spans="1:31" ht="14.1" hidden="1" customHeight="1">
      <c r="A44" s="75">
        <v>40</v>
      </c>
      <c r="B44" s="380" t="s">
        <v>54</v>
      </c>
      <c r="C44" s="276" t="s">
        <v>188</v>
      </c>
      <c r="D44" s="304" t="s">
        <v>189</v>
      </c>
      <c r="E44" s="305" t="s">
        <v>194</v>
      </c>
      <c r="F44" s="71" t="s">
        <v>195</v>
      </c>
      <c r="G44" s="71" t="s">
        <v>196</v>
      </c>
      <c r="H44" s="71" t="s">
        <v>192</v>
      </c>
      <c r="I44" s="388">
        <v>1.5</v>
      </c>
      <c r="J44" s="306">
        <f t="shared" si="15"/>
        <v>0</v>
      </c>
      <c r="K44" s="230" t="s">
        <v>197</v>
      </c>
      <c r="L44" s="230"/>
      <c r="M44" s="230"/>
      <c r="N44" s="230"/>
      <c r="O44" s="230"/>
      <c r="P44" s="230"/>
      <c r="Q44" s="229">
        <f>IF(K44="nio",0,IF(K44&gt;0,K44*I44/W44,0))*VLOOKUP(B44,'2-Kosten per locatie'!$A$14:$C$25,3,FALSE)</f>
        <v>0</v>
      </c>
      <c r="R44" s="229">
        <f>IF(L44&gt;0,L44*I44/X44,0)*VLOOKUP(B44,'2-Kosten per locatie'!$A$14:$C$25,3,FALSE)</f>
        <v>0</v>
      </c>
      <c r="S44" s="229">
        <f>IF(M44&gt;0,M44*I44/Y44,0)*VLOOKUP(B44,'2-Kosten per locatie'!$A$14:$C$25,3,FALSE)</f>
        <v>0</v>
      </c>
      <c r="T44" s="229">
        <f>IF(N44&gt;0,N44*I44/Z44,0)*VLOOKUP(B44,'2-Kosten per locatie'!$A$14:$C$25,3,FALSE)</f>
        <v>0</v>
      </c>
      <c r="U44" s="229">
        <f>IF(O44&gt;0,O44*I44/Y44,0)*VLOOKUP(B44,'2-Kosten per locatie'!$A$14:$C$25,3,FALSE)</f>
        <v>0</v>
      </c>
      <c r="V44" s="229">
        <f>IF(P44&gt;0,P44*I44/Z44,0)*VLOOKUP(B44,'2-Kosten per locatie'!$A$14:$C$25,3,FALSE)</f>
        <v>0</v>
      </c>
      <c r="W44" s="307">
        <f>IF(K44="nio",0,IF(K44&gt;0,VLOOKUP(G44,'3-Productie normen'!A:R,VLOOKUP(K44,'3-Productie normen'!$B$29:$C$41,2,FALSE),FALSE)))</f>
        <v>0</v>
      </c>
      <c r="X44" s="307">
        <f t="shared" si="5"/>
        <v>0</v>
      </c>
      <c r="Y44" s="307">
        <f t="shared" si="6"/>
        <v>0</v>
      </c>
      <c r="Z44" s="307">
        <f t="shared" si="7"/>
        <v>0</v>
      </c>
      <c r="AA44" s="308" t="e">
        <f>VLOOKUP(G44,'3-Productie normen'!A:U,15,FALSE)</f>
        <v>#N/A</v>
      </c>
      <c r="AB44" s="309" t="e">
        <f>VLOOKUP(G44,'3-Productie normen'!A:U,16,FALSE)</f>
        <v>#N/A</v>
      </c>
      <c r="AC44" s="308"/>
      <c r="AE44" s="310">
        <f t="shared" si="8"/>
        <v>0</v>
      </c>
    </row>
    <row r="45" spans="1:31" ht="14.1" hidden="1" customHeight="1">
      <c r="A45" s="75">
        <v>41</v>
      </c>
      <c r="B45" s="380" t="s">
        <v>54</v>
      </c>
      <c r="C45" s="276" t="s">
        <v>188</v>
      </c>
      <c r="D45" s="304" t="s">
        <v>189</v>
      </c>
      <c r="E45" s="305" t="s">
        <v>198</v>
      </c>
      <c r="F45" s="71" t="s">
        <v>199</v>
      </c>
      <c r="G45" s="71" t="s">
        <v>100</v>
      </c>
      <c r="H45" s="71" t="s">
        <v>192</v>
      </c>
      <c r="I45" s="388">
        <v>30</v>
      </c>
      <c r="J45" s="306">
        <f t="shared" si="15"/>
        <v>200</v>
      </c>
      <c r="K45" s="230">
        <v>200</v>
      </c>
      <c r="L45" s="230"/>
      <c r="M45" s="230"/>
      <c r="N45" s="230"/>
      <c r="O45" s="230"/>
      <c r="P45" s="230"/>
      <c r="Q45" s="229" t="e">
        <f>IF(K45="nio",0,IF(K45&gt;0,K45*I45/W45,0))*VLOOKUP(B45,'2-Kosten per locatie'!$A$14:$C$25,3,FALSE)</f>
        <v>#DIV/0!</v>
      </c>
      <c r="R45" s="229">
        <f>IF(L45&gt;0,L45*I45/X45,0)*VLOOKUP(B45,'2-Kosten per locatie'!$A$14:$C$25,3,FALSE)</f>
        <v>0</v>
      </c>
      <c r="S45" s="229">
        <f>IF(M45&gt;0,M45*I45/Y45,0)*VLOOKUP(B45,'2-Kosten per locatie'!$A$14:$C$25,3,FALSE)</f>
        <v>0</v>
      </c>
      <c r="T45" s="229">
        <f>IF(N45&gt;0,N45*I45/Z45,0)*VLOOKUP(B45,'2-Kosten per locatie'!$A$14:$C$25,3,FALSE)</f>
        <v>0</v>
      </c>
      <c r="U45" s="229">
        <f>IF(O45&gt;0,O45*I45/Y45,0)*VLOOKUP(B45,'2-Kosten per locatie'!$A$14:$C$25,3,FALSE)</f>
        <v>0</v>
      </c>
      <c r="V45" s="229">
        <f>IF(P45&gt;0,P45*I45/Z45,0)*VLOOKUP(B45,'2-Kosten per locatie'!$A$14:$C$25,3,FALSE)</f>
        <v>0</v>
      </c>
      <c r="W45" s="307">
        <f>IF(K45="nio",0,IF(K45&gt;0,VLOOKUP(G45,'3-Productie normen'!A:R,VLOOKUP(K45,'3-Productie normen'!$B$29:$C$41,2,FALSE),FALSE)))</f>
        <v>0</v>
      </c>
      <c r="X45" s="307">
        <f t="shared" si="5"/>
        <v>0</v>
      </c>
      <c r="Y45" s="307">
        <f t="shared" si="6"/>
        <v>0</v>
      </c>
      <c r="Z45" s="307">
        <f t="shared" si="7"/>
        <v>0</v>
      </c>
      <c r="AA45" s="308">
        <f>VLOOKUP(G45,'3-Productie normen'!A:U,15,FALSE)</f>
        <v>0</v>
      </c>
      <c r="AB45" s="309">
        <f>VLOOKUP(G45,'3-Productie normen'!A:U,16,FALSE)</f>
        <v>455.57899999999995</v>
      </c>
      <c r="AC45" s="308"/>
      <c r="AE45" s="310">
        <f t="shared" si="8"/>
        <v>6000</v>
      </c>
    </row>
    <row r="46" spans="1:31" ht="14.1" hidden="1" customHeight="1">
      <c r="A46" s="75">
        <v>42</v>
      </c>
      <c r="B46" s="380" t="s">
        <v>54</v>
      </c>
      <c r="C46" s="276" t="s">
        <v>188</v>
      </c>
      <c r="D46" s="304" t="s">
        <v>189</v>
      </c>
      <c r="E46" s="305" t="s">
        <v>200</v>
      </c>
      <c r="F46" s="71" t="s">
        <v>201</v>
      </c>
      <c r="G46" s="71" t="s">
        <v>100</v>
      </c>
      <c r="H46" s="71" t="s">
        <v>192</v>
      </c>
      <c r="I46" s="388">
        <v>30</v>
      </c>
      <c r="J46" s="306">
        <f t="shared" si="15"/>
        <v>200</v>
      </c>
      <c r="K46" s="230">
        <v>200</v>
      </c>
      <c r="L46" s="230"/>
      <c r="M46" s="230"/>
      <c r="N46" s="230"/>
      <c r="O46" s="230"/>
      <c r="P46" s="230"/>
      <c r="Q46" s="229" t="e">
        <f>IF(K46="nio",0,IF(K46&gt;0,K46*I46/W46,0))*VLOOKUP(B46,'2-Kosten per locatie'!$A$14:$C$25,3,FALSE)</f>
        <v>#DIV/0!</v>
      </c>
      <c r="R46" s="229">
        <f>IF(L46&gt;0,L46*I46/X46,0)*VLOOKUP(B46,'2-Kosten per locatie'!$A$14:$C$25,3,FALSE)</f>
        <v>0</v>
      </c>
      <c r="S46" s="229">
        <f>IF(M46&gt;0,M46*I46/Y46,0)*VLOOKUP(B46,'2-Kosten per locatie'!$A$14:$C$25,3,FALSE)</f>
        <v>0</v>
      </c>
      <c r="T46" s="229">
        <f>IF(N46&gt;0,N46*I46/Z46,0)*VLOOKUP(B46,'2-Kosten per locatie'!$A$14:$C$25,3,FALSE)</f>
        <v>0</v>
      </c>
      <c r="U46" s="229">
        <f>IF(O46&gt;0,O46*I46/Y46,0)*VLOOKUP(B46,'2-Kosten per locatie'!$A$14:$C$25,3,FALSE)</f>
        <v>0</v>
      </c>
      <c r="V46" s="229">
        <f>IF(P46&gt;0,P46*I46/Z46,0)*VLOOKUP(B46,'2-Kosten per locatie'!$A$14:$C$25,3,FALSE)</f>
        <v>0</v>
      </c>
      <c r="W46" s="307">
        <f>IF(K46="nio",0,IF(K46&gt;0,VLOOKUP(G46,'3-Productie normen'!A:R,VLOOKUP(K46,'3-Productie normen'!$B$29:$C$41,2,FALSE),FALSE)))</f>
        <v>0</v>
      </c>
      <c r="X46" s="307">
        <f t="shared" si="5"/>
        <v>0</v>
      </c>
      <c r="Y46" s="307">
        <f t="shared" si="6"/>
        <v>0</v>
      </c>
      <c r="Z46" s="307">
        <f t="shared" si="7"/>
        <v>0</v>
      </c>
      <c r="AA46" s="308">
        <f>VLOOKUP(G46,'3-Productie normen'!A:U,15,FALSE)</f>
        <v>0</v>
      </c>
      <c r="AB46" s="309">
        <f>VLOOKUP(G46,'3-Productie normen'!A:U,16,FALSE)</f>
        <v>455.57899999999995</v>
      </c>
      <c r="AC46" s="308"/>
      <c r="AE46" s="310">
        <f t="shared" si="8"/>
        <v>6000</v>
      </c>
    </row>
    <row r="47" spans="1:31" ht="14.1" hidden="1" customHeight="1">
      <c r="A47" s="75">
        <v>43</v>
      </c>
      <c r="B47" s="380" t="s">
        <v>54</v>
      </c>
      <c r="C47" s="276" t="s">
        <v>188</v>
      </c>
      <c r="D47" s="304" t="s">
        <v>189</v>
      </c>
      <c r="E47" s="305" t="s">
        <v>202</v>
      </c>
      <c r="F47" s="71" t="s">
        <v>203</v>
      </c>
      <c r="G47" s="71" t="s">
        <v>100</v>
      </c>
      <c r="H47" s="71" t="s">
        <v>192</v>
      </c>
      <c r="I47" s="388">
        <v>15</v>
      </c>
      <c r="J47" s="306">
        <f t="shared" si="15"/>
        <v>200</v>
      </c>
      <c r="K47" s="230">
        <v>200</v>
      </c>
      <c r="L47" s="230"/>
      <c r="M47" s="230"/>
      <c r="N47" s="230"/>
      <c r="O47" s="230"/>
      <c r="P47" s="230"/>
      <c r="Q47" s="229" t="e">
        <f>IF(K47="nio",0,IF(K47&gt;0,K47*I47/W47,0))*VLOOKUP(B47,'2-Kosten per locatie'!$A$14:$C$25,3,FALSE)</f>
        <v>#DIV/0!</v>
      </c>
      <c r="R47" s="229">
        <f>IF(L47&gt;0,L47*I47/X47,0)*VLOOKUP(B47,'2-Kosten per locatie'!$A$14:$C$25,3,FALSE)</f>
        <v>0</v>
      </c>
      <c r="S47" s="229">
        <f>IF(M47&gt;0,M47*I47/Y47,0)*VLOOKUP(B47,'2-Kosten per locatie'!$A$14:$C$25,3,FALSE)</f>
        <v>0</v>
      </c>
      <c r="T47" s="229">
        <f>IF(N47&gt;0,N47*I47/Z47,0)*VLOOKUP(B47,'2-Kosten per locatie'!$A$14:$C$25,3,FALSE)</f>
        <v>0</v>
      </c>
      <c r="U47" s="229">
        <f>IF(O47&gt;0,O47*I47/Y47,0)*VLOOKUP(B47,'2-Kosten per locatie'!$A$14:$C$25,3,FALSE)</f>
        <v>0</v>
      </c>
      <c r="V47" s="229">
        <f>IF(P47&gt;0,P47*I47/Z47,0)*VLOOKUP(B47,'2-Kosten per locatie'!$A$14:$C$25,3,FALSE)</f>
        <v>0</v>
      </c>
      <c r="W47" s="307">
        <f>IF(K47="nio",0,IF(K47&gt;0,VLOOKUP(G47,'3-Productie normen'!A:R,VLOOKUP(K47,'3-Productie normen'!$B$29:$C$41,2,FALSE),FALSE)))</f>
        <v>0</v>
      </c>
      <c r="X47" s="307">
        <f t="shared" si="5"/>
        <v>0</v>
      </c>
      <c r="Y47" s="307">
        <f t="shared" si="6"/>
        <v>0</v>
      </c>
      <c r="Z47" s="307">
        <f t="shared" si="7"/>
        <v>0</v>
      </c>
      <c r="AA47" s="308">
        <f>VLOOKUP(G47,'3-Productie normen'!A:U,15,FALSE)</f>
        <v>0</v>
      </c>
      <c r="AB47" s="309">
        <f>VLOOKUP(G47,'3-Productie normen'!A:U,16,FALSE)</f>
        <v>455.57899999999995</v>
      </c>
      <c r="AC47" s="308"/>
      <c r="AE47" s="310">
        <f t="shared" si="8"/>
        <v>3000</v>
      </c>
    </row>
    <row r="48" spans="1:31" ht="14.1" hidden="1" customHeight="1">
      <c r="A48" s="75">
        <v>44</v>
      </c>
      <c r="B48" s="380" t="s">
        <v>54</v>
      </c>
      <c r="C48" s="276" t="s">
        <v>188</v>
      </c>
      <c r="D48" s="304" t="s">
        <v>189</v>
      </c>
      <c r="E48" s="305" t="s">
        <v>204</v>
      </c>
      <c r="F48" s="71" t="s">
        <v>205</v>
      </c>
      <c r="G48" s="71" t="s">
        <v>103</v>
      </c>
      <c r="H48" s="71" t="s">
        <v>192</v>
      </c>
      <c r="I48" s="388">
        <v>1.2</v>
      </c>
      <c r="J48" s="306">
        <f t="shared" si="15"/>
        <v>200</v>
      </c>
      <c r="K48" s="230">
        <v>200</v>
      </c>
      <c r="L48" s="230"/>
      <c r="M48" s="230"/>
      <c r="N48" s="230"/>
      <c r="O48" s="230"/>
      <c r="P48" s="230"/>
      <c r="Q48" s="229" t="e">
        <f>IF(K48="nio",0,IF(K48&gt;0,K48*I48/W48,0))*VLOOKUP(B48,'2-Kosten per locatie'!$A$14:$C$25,3,FALSE)</f>
        <v>#DIV/0!</v>
      </c>
      <c r="R48" s="229">
        <f>IF(L48&gt;0,L48*I48/X48,0)*VLOOKUP(B48,'2-Kosten per locatie'!$A$14:$C$25,3,FALSE)</f>
        <v>0</v>
      </c>
      <c r="S48" s="229">
        <f>IF(M48&gt;0,M48*I48/Y48,0)*VLOOKUP(B48,'2-Kosten per locatie'!$A$14:$C$25,3,FALSE)</f>
        <v>0</v>
      </c>
      <c r="T48" s="229">
        <f>IF(N48&gt;0,N48*I48/Z48,0)*VLOOKUP(B48,'2-Kosten per locatie'!$A$14:$C$25,3,FALSE)</f>
        <v>0</v>
      </c>
      <c r="U48" s="229">
        <f>IF(O48&gt;0,O48*I48/Y48,0)*VLOOKUP(B48,'2-Kosten per locatie'!$A$14:$C$25,3,FALSE)</f>
        <v>0</v>
      </c>
      <c r="V48" s="229">
        <f>IF(P48&gt;0,P48*I48/Z48,0)*VLOOKUP(B48,'2-Kosten per locatie'!$A$14:$C$25,3,FALSE)</f>
        <v>0</v>
      </c>
      <c r="W48" s="307">
        <f>IF(K48="nio",0,IF(K48&gt;0,VLOOKUP(G48,'3-Productie normen'!A:R,VLOOKUP(K48,'3-Productie normen'!$B$29:$C$41,2,FALSE),FALSE)))</f>
        <v>0</v>
      </c>
      <c r="X48" s="307">
        <f t="shared" si="5"/>
        <v>0</v>
      </c>
      <c r="Y48" s="307">
        <f t="shared" si="6"/>
        <v>0</v>
      </c>
      <c r="Z48" s="307">
        <f t="shared" si="7"/>
        <v>0</v>
      </c>
      <c r="AA48" s="308">
        <f>VLOOKUP(G48,'3-Productie normen'!A:U,15,FALSE)</f>
        <v>0</v>
      </c>
      <c r="AB48" s="309">
        <f>VLOOKUP(G48,'3-Productie normen'!A:U,16,FALSE)</f>
        <v>198.56500000000014</v>
      </c>
      <c r="AC48" s="308"/>
      <c r="AE48" s="310">
        <f t="shared" si="8"/>
        <v>240</v>
      </c>
    </row>
    <row r="49" spans="1:31" ht="14.1" hidden="1" customHeight="1">
      <c r="A49" s="75">
        <v>45</v>
      </c>
      <c r="B49" s="380" t="s">
        <v>54</v>
      </c>
      <c r="C49" s="276" t="s">
        <v>188</v>
      </c>
      <c r="D49" s="304" t="s">
        <v>189</v>
      </c>
      <c r="E49" s="305" t="s">
        <v>206</v>
      </c>
      <c r="F49" s="276" t="s">
        <v>207</v>
      </c>
      <c r="G49" s="276" t="s">
        <v>100</v>
      </c>
      <c r="H49" s="71" t="s">
        <v>192</v>
      </c>
      <c r="I49" s="388">
        <v>15</v>
      </c>
      <c r="J49" s="306">
        <f t="shared" si="15"/>
        <v>200</v>
      </c>
      <c r="K49" s="230">
        <v>200</v>
      </c>
      <c r="L49" s="230"/>
      <c r="M49" s="230"/>
      <c r="N49" s="230"/>
      <c r="O49" s="230"/>
      <c r="P49" s="230"/>
      <c r="Q49" s="229" t="e">
        <f>IF(K49="nio",0,IF(K49&gt;0,K49*I49/W49,0))*VLOOKUP(B49,'2-Kosten per locatie'!$A$14:$C$25,3,FALSE)</f>
        <v>#DIV/0!</v>
      </c>
      <c r="R49" s="229">
        <f>IF(L49&gt;0,L49*I49/X49,0)*VLOOKUP(B49,'2-Kosten per locatie'!$A$14:$C$25,3,FALSE)</f>
        <v>0</v>
      </c>
      <c r="S49" s="229">
        <f>IF(M49&gt;0,M49*I49/Y49,0)*VLOOKUP(B49,'2-Kosten per locatie'!$A$14:$C$25,3,FALSE)</f>
        <v>0</v>
      </c>
      <c r="T49" s="229">
        <f>IF(N49&gt;0,N49*I49/Z49,0)*VLOOKUP(B49,'2-Kosten per locatie'!$A$14:$C$25,3,FALSE)</f>
        <v>0</v>
      </c>
      <c r="U49" s="229">
        <f>IF(O49&gt;0,O49*I49/Y49,0)*VLOOKUP(B49,'2-Kosten per locatie'!$A$14:$C$25,3,FALSE)</f>
        <v>0</v>
      </c>
      <c r="V49" s="229">
        <f>IF(P49&gt;0,P49*I49/Z49,0)*VLOOKUP(B49,'2-Kosten per locatie'!$A$14:$C$25,3,FALSE)</f>
        <v>0</v>
      </c>
      <c r="W49" s="307">
        <f>IF(K49="nio",0,IF(K49&gt;0,VLOOKUP(G49,'3-Productie normen'!A:R,VLOOKUP(K49,'3-Productie normen'!$B$29:$C$41,2,FALSE),FALSE)))</f>
        <v>0</v>
      </c>
      <c r="X49" s="307">
        <f t="shared" si="5"/>
        <v>0</v>
      </c>
      <c r="Y49" s="307">
        <f t="shared" si="6"/>
        <v>0</v>
      </c>
      <c r="Z49" s="307">
        <f t="shared" si="7"/>
        <v>0</v>
      </c>
      <c r="AA49" s="308">
        <f>VLOOKUP(G49,'3-Productie normen'!A:U,15,FALSE)</f>
        <v>0</v>
      </c>
      <c r="AB49" s="309">
        <f>VLOOKUP(G49,'3-Productie normen'!A:U,16,FALSE)</f>
        <v>455.57899999999995</v>
      </c>
      <c r="AC49" s="308"/>
      <c r="AE49" s="310">
        <f t="shared" si="8"/>
        <v>3000</v>
      </c>
    </row>
    <row r="50" spans="1:31" ht="14.1" hidden="1" customHeight="1">
      <c r="A50" s="75">
        <v>46</v>
      </c>
      <c r="B50" s="380" t="s">
        <v>54</v>
      </c>
      <c r="C50" s="276" t="s">
        <v>188</v>
      </c>
      <c r="D50" s="304" t="s">
        <v>189</v>
      </c>
      <c r="E50" s="305" t="s">
        <v>208</v>
      </c>
      <c r="F50" s="276" t="s">
        <v>209</v>
      </c>
      <c r="G50" s="276" t="s">
        <v>103</v>
      </c>
      <c r="H50" s="71" t="s">
        <v>192</v>
      </c>
      <c r="I50" s="388">
        <v>1.2</v>
      </c>
      <c r="J50" s="306">
        <f t="shared" si="15"/>
        <v>200</v>
      </c>
      <c r="K50" s="230">
        <v>200</v>
      </c>
      <c r="L50" s="230"/>
      <c r="M50" s="230"/>
      <c r="N50" s="230"/>
      <c r="O50" s="230"/>
      <c r="P50" s="230"/>
      <c r="Q50" s="229" t="e">
        <f>IF(K50="nio",0,IF(K50&gt;0,K50*I50/W50,0))*VLOOKUP(B50,'2-Kosten per locatie'!$A$14:$C$25,3,FALSE)</f>
        <v>#DIV/0!</v>
      </c>
      <c r="R50" s="229">
        <f>IF(L50&gt;0,L50*I50/X50,0)*VLOOKUP(B50,'2-Kosten per locatie'!$A$14:$C$25,3,FALSE)</f>
        <v>0</v>
      </c>
      <c r="S50" s="229">
        <f>IF(M50&gt;0,M50*I50/Y50,0)*VLOOKUP(B50,'2-Kosten per locatie'!$A$14:$C$25,3,FALSE)</f>
        <v>0</v>
      </c>
      <c r="T50" s="229">
        <f>IF(N50&gt;0,N50*I50/Z50,0)*VLOOKUP(B50,'2-Kosten per locatie'!$A$14:$C$25,3,FALSE)</f>
        <v>0</v>
      </c>
      <c r="U50" s="229">
        <f>IF(O50&gt;0,O50*I50/Y50,0)*VLOOKUP(B50,'2-Kosten per locatie'!$A$14:$C$25,3,FALSE)</f>
        <v>0</v>
      </c>
      <c r="V50" s="229">
        <f>IF(P50&gt;0,P50*I50/Z50,0)*VLOOKUP(B50,'2-Kosten per locatie'!$A$14:$C$25,3,FALSE)</f>
        <v>0</v>
      </c>
      <c r="W50" s="307">
        <f>IF(K50="nio",0,IF(K50&gt;0,VLOOKUP(G50,'3-Productie normen'!A:R,VLOOKUP(K50,'3-Productie normen'!$B$29:$C$41,2,FALSE),FALSE)))</f>
        <v>0</v>
      </c>
      <c r="X50" s="307">
        <f t="shared" si="5"/>
        <v>0</v>
      </c>
      <c r="Y50" s="307">
        <f t="shared" si="6"/>
        <v>0</v>
      </c>
      <c r="Z50" s="307">
        <f t="shared" si="7"/>
        <v>0</v>
      </c>
      <c r="AA50" s="308">
        <f>VLOOKUP(G50,'3-Productie normen'!A:U,15,FALSE)</f>
        <v>0</v>
      </c>
      <c r="AB50" s="309">
        <f>VLOOKUP(G50,'3-Productie normen'!A:U,16,FALSE)</f>
        <v>198.56500000000014</v>
      </c>
      <c r="AC50" s="308"/>
      <c r="AE50" s="310">
        <f t="shared" si="8"/>
        <v>240</v>
      </c>
    </row>
    <row r="51" spans="1:31" ht="14.1" hidden="1" customHeight="1">
      <c r="A51" s="75">
        <v>47</v>
      </c>
      <c r="B51" s="380" t="s">
        <v>54</v>
      </c>
      <c r="C51" s="276" t="s">
        <v>188</v>
      </c>
      <c r="D51" s="304" t="s">
        <v>189</v>
      </c>
      <c r="E51" s="305" t="s">
        <v>210</v>
      </c>
      <c r="F51" s="276" t="s">
        <v>211</v>
      </c>
      <c r="G51" s="276" t="s">
        <v>103</v>
      </c>
      <c r="H51" s="71" t="s">
        <v>192</v>
      </c>
      <c r="I51" s="388">
        <v>1.5</v>
      </c>
      <c r="J51" s="306">
        <f t="shared" si="15"/>
        <v>40</v>
      </c>
      <c r="K51" s="230">
        <v>40</v>
      </c>
      <c r="L51" s="230"/>
      <c r="M51" s="230"/>
      <c r="N51" s="230"/>
      <c r="O51" s="230"/>
      <c r="P51" s="230"/>
      <c r="Q51" s="229" t="e">
        <f>IF(K51="nio",0,IF(K51&gt;0,K51*I51/W51,0))*VLOOKUP(B51,'2-Kosten per locatie'!$A$14:$C$25,3,FALSE)</f>
        <v>#DIV/0!</v>
      </c>
      <c r="R51" s="229">
        <f>IF(L51&gt;0,L51*I51/X51,0)*VLOOKUP(B51,'2-Kosten per locatie'!$A$14:$C$25,3,FALSE)</f>
        <v>0</v>
      </c>
      <c r="S51" s="229">
        <f>IF(M51&gt;0,M51*I51/Y51,0)*VLOOKUP(B51,'2-Kosten per locatie'!$A$14:$C$25,3,FALSE)</f>
        <v>0</v>
      </c>
      <c r="T51" s="229">
        <f>IF(N51&gt;0,N51*I51/Z51,0)*VLOOKUP(B51,'2-Kosten per locatie'!$A$14:$C$25,3,FALSE)</f>
        <v>0</v>
      </c>
      <c r="U51" s="229">
        <f>IF(O51&gt;0,O51*I51/Y51,0)*VLOOKUP(B51,'2-Kosten per locatie'!$A$14:$C$25,3,FALSE)</f>
        <v>0</v>
      </c>
      <c r="V51" s="229">
        <f>IF(P51&gt;0,P51*I51/Z51,0)*VLOOKUP(B51,'2-Kosten per locatie'!$A$14:$C$25,3,FALSE)</f>
        <v>0</v>
      </c>
      <c r="W51" s="307">
        <f>IF(K51="nio",0,IF(K51&gt;0,VLOOKUP(G51,'3-Productie normen'!A:R,VLOOKUP(K51,'3-Productie normen'!$B$29:$C$41,2,FALSE),FALSE)))</f>
        <v>0</v>
      </c>
      <c r="X51" s="307">
        <f t="shared" si="5"/>
        <v>0</v>
      </c>
      <c r="Y51" s="307">
        <f t="shared" si="6"/>
        <v>0</v>
      </c>
      <c r="Z51" s="307">
        <f t="shared" si="7"/>
        <v>0</v>
      </c>
      <c r="AA51" s="308">
        <f>VLOOKUP(G51,'3-Productie normen'!A:U,15,FALSE)</f>
        <v>0</v>
      </c>
      <c r="AB51" s="309">
        <f>VLOOKUP(G51,'3-Productie normen'!A:U,16,FALSE)</f>
        <v>198.56500000000014</v>
      </c>
      <c r="AC51" s="308"/>
      <c r="AE51" s="310">
        <f t="shared" si="8"/>
        <v>60</v>
      </c>
    </row>
    <row r="52" spans="1:31" ht="14.1" hidden="1" customHeight="1">
      <c r="A52" s="75">
        <v>48</v>
      </c>
      <c r="B52" s="380" t="s">
        <v>54</v>
      </c>
      <c r="C52" s="276" t="s">
        <v>188</v>
      </c>
      <c r="D52" s="304" t="s">
        <v>189</v>
      </c>
      <c r="E52" s="305" t="s">
        <v>212</v>
      </c>
      <c r="F52" s="71" t="s">
        <v>213</v>
      </c>
      <c r="G52" s="71" t="s">
        <v>103</v>
      </c>
      <c r="H52" s="71" t="s">
        <v>192</v>
      </c>
      <c r="I52" s="388">
        <v>1.5</v>
      </c>
      <c r="J52" s="306">
        <f t="shared" si="15"/>
        <v>40</v>
      </c>
      <c r="K52" s="230">
        <v>40</v>
      </c>
      <c r="L52" s="230"/>
      <c r="M52" s="230"/>
      <c r="N52" s="230"/>
      <c r="O52" s="230"/>
      <c r="P52" s="230"/>
      <c r="Q52" s="229" t="e">
        <f>IF(K52="nio",0,IF(K52&gt;0,K52*I52/W52,0))*VLOOKUP(B52,'2-Kosten per locatie'!$A$14:$C$25,3,FALSE)</f>
        <v>#DIV/0!</v>
      </c>
      <c r="R52" s="229">
        <f>IF(L52&gt;0,L52*I52/X52,0)*VLOOKUP(B52,'2-Kosten per locatie'!$A$14:$C$25,3,FALSE)</f>
        <v>0</v>
      </c>
      <c r="S52" s="229">
        <f>IF(M52&gt;0,M52*I52/Y52,0)*VLOOKUP(B52,'2-Kosten per locatie'!$A$14:$C$25,3,FALSE)</f>
        <v>0</v>
      </c>
      <c r="T52" s="229">
        <f>IF(N52&gt;0,N52*I52/Z52,0)*VLOOKUP(B52,'2-Kosten per locatie'!$A$14:$C$25,3,FALSE)</f>
        <v>0</v>
      </c>
      <c r="U52" s="229">
        <f>IF(O52&gt;0,O52*I52/Y52,0)*VLOOKUP(B52,'2-Kosten per locatie'!$A$14:$C$25,3,FALSE)</f>
        <v>0</v>
      </c>
      <c r="V52" s="229">
        <f>IF(P52&gt;0,P52*I52/Z52,0)*VLOOKUP(B52,'2-Kosten per locatie'!$A$14:$C$25,3,FALSE)</f>
        <v>0</v>
      </c>
      <c r="W52" s="307">
        <f>IF(K52="nio",0,IF(K52&gt;0,VLOOKUP(G52,'3-Productie normen'!A:R,VLOOKUP(K52,'3-Productie normen'!$B$29:$C$41,2,FALSE),FALSE)))</f>
        <v>0</v>
      </c>
      <c r="X52" s="307">
        <f t="shared" si="5"/>
        <v>0</v>
      </c>
      <c r="Y52" s="307">
        <f t="shared" si="6"/>
        <v>0</v>
      </c>
      <c r="Z52" s="307">
        <f t="shared" si="7"/>
        <v>0</v>
      </c>
      <c r="AA52" s="308">
        <f>VLOOKUP(G52,'3-Productie normen'!A:U,15,FALSE)</f>
        <v>0</v>
      </c>
      <c r="AB52" s="309">
        <f>VLOOKUP(G52,'3-Productie normen'!A:U,16,FALSE)</f>
        <v>198.56500000000014</v>
      </c>
      <c r="AC52" s="308"/>
      <c r="AE52" s="310">
        <f t="shared" si="8"/>
        <v>60</v>
      </c>
    </row>
    <row r="53" spans="1:31" ht="14.1" hidden="1" customHeight="1">
      <c r="A53" s="75">
        <v>49</v>
      </c>
      <c r="B53" s="380" t="s">
        <v>54</v>
      </c>
      <c r="C53" s="276" t="s">
        <v>188</v>
      </c>
      <c r="D53" s="304" t="s">
        <v>189</v>
      </c>
      <c r="E53" s="305" t="s">
        <v>214</v>
      </c>
      <c r="F53" s="71" t="s">
        <v>215</v>
      </c>
      <c r="G53" s="71" t="s">
        <v>100</v>
      </c>
      <c r="H53" s="71" t="s">
        <v>192</v>
      </c>
      <c r="I53" s="388">
        <v>6</v>
      </c>
      <c r="J53" s="306">
        <f t="shared" si="15"/>
        <v>80</v>
      </c>
      <c r="K53" s="230">
        <v>80</v>
      </c>
      <c r="L53" s="230"/>
      <c r="M53" s="230"/>
      <c r="N53" s="230"/>
      <c r="O53" s="230"/>
      <c r="P53" s="230"/>
      <c r="Q53" s="229" t="e">
        <f>IF(K53="nio",0,IF(K53&gt;0,K53*I53/W53,0))*VLOOKUP(B53,'2-Kosten per locatie'!$A$14:$C$25,3,FALSE)</f>
        <v>#DIV/0!</v>
      </c>
      <c r="R53" s="229">
        <f>IF(L53&gt;0,L53*I53/X53,0)*VLOOKUP(B53,'2-Kosten per locatie'!$A$14:$C$25,3,FALSE)</f>
        <v>0</v>
      </c>
      <c r="S53" s="229">
        <f>IF(M53&gt;0,M53*I53/Y53,0)*VLOOKUP(B53,'2-Kosten per locatie'!$A$14:$C$25,3,FALSE)</f>
        <v>0</v>
      </c>
      <c r="T53" s="229">
        <f>IF(N53&gt;0,N53*I53/Z53,0)*VLOOKUP(B53,'2-Kosten per locatie'!$A$14:$C$25,3,FALSE)</f>
        <v>0</v>
      </c>
      <c r="U53" s="229">
        <f>IF(O53&gt;0,O53*I53/Y53,0)*VLOOKUP(B53,'2-Kosten per locatie'!$A$14:$C$25,3,FALSE)</f>
        <v>0</v>
      </c>
      <c r="V53" s="229">
        <f>IF(P53&gt;0,P53*I53/Z53,0)*VLOOKUP(B53,'2-Kosten per locatie'!$A$14:$C$25,3,FALSE)</f>
        <v>0</v>
      </c>
      <c r="W53" s="307">
        <f>IF(K53="nio",0,IF(K53&gt;0,VLOOKUP(G53,'3-Productie normen'!A:R,VLOOKUP(K53,'3-Productie normen'!$B$29:$C$41,2,FALSE),FALSE)))</f>
        <v>0</v>
      </c>
      <c r="X53" s="307">
        <f t="shared" si="5"/>
        <v>0</v>
      </c>
      <c r="Y53" s="307">
        <f t="shared" si="6"/>
        <v>0</v>
      </c>
      <c r="Z53" s="307">
        <f t="shared" si="7"/>
        <v>0</v>
      </c>
      <c r="AA53" s="308">
        <f>VLOOKUP(G53,'3-Productie normen'!A:U,15,FALSE)</f>
        <v>0</v>
      </c>
      <c r="AB53" s="309">
        <f>VLOOKUP(G53,'3-Productie normen'!A:U,16,FALSE)</f>
        <v>455.57899999999995</v>
      </c>
      <c r="AC53" s="308"/>
      <c r="AE53" s="310">
        <f t="shared" si="8"/>
        <v>480</v>
      </c>
    </row>
    <row r="54" spans="1:31" ht="14.1" hidden="1" customHeight="1">
      <c r="A54" s="75">
        <v>50</v>
      </c>
      <c r="B54" s="380" t="s">
        <v>54</v>
      </c>
      <c r="C54" s="276" t="s">
        <v>188</v>
      </c>
      <c r="D54" s="304" t="s">
        <v>189</v>
      </c>
      <c r="E54" s="305" t="s">
        <v>216</v>
      </c>
      <c r="F54" s="71" t="s">
        <v>217</v>
      </c>
      <c r="G54" s="71" t="s">
        <v>102</v>
      </c>
      <c r="H54" s="71" t="s">
        <v>218</v>
      </c>
      <c r="I54" s="388">
        <v>36</v>
      </c>
      <c r="J54" s="306">
        <f t="shared" si="15"/>
        <v>12</v>
      </c>
      <c r="K54" s="230">
        <v>12</v>
      </c>
      <c r="L54" s="230"/>
      <c r="M54" s="230"/>
      <c r="N54" s="230"/>
      <c r="O54" s="230"/>
      <c r="P54" s="230"/>
      <c r="Q54" s="229" t="e">
        <f>IF(K54="nio",0,IF(K54&gt;0,K54*I54/W54,0))*VLOOKUP(B54,'2-Kosten per locatie'!$A$14:$C$25,3,FALSE)</f>
        <v>#DIV/0!</v>
      </c>
      <c r="R54" s="229">
        <f>IF(L54&gt;0,L54*I54/X54,0)*VLOOKUP(B54,'2-Kosten per locatie'!$A$14:$C$25,3,FALSE)</f>
        <v>0</v>
      </c>
      <c r="S54" s="229">
        <f>IF(M54&gt;0,M54*I54/Y54,0)*VLOOKUP(B54,'2-Kosten per locatie'!$A$14:$C$25,3,FALSE)</f>
        <v>0</v>
      </c>
      <c r="T54" s="229">
        <f>IF(N54&gt;0,N54*I54/Z54,0)*VLOOKUP(B54,'2-Kosten per locatie'!$A$14:$C$25,3,FALSE)</f>
        <v>0</v>
      </c>
      <c r="U54" s="229">
        <f>IF(O54&gt;0,O54*I54/Y54,0)*VLOOKUP(B54,'2-Kosten per locatie'!$A$14:$C$25,3,FALSE)</f>
        <v>0</v>
      </c>
      <c r="V54" s="229">
        <f>IF(P54&gt;0,P54*I54/Z54,0)*VLOOKUP(B54,'2-Kosten per locatie'!$A$14:$C$25,3,FALSE)</f>
        <v>0</v>
      </c>
      <c r="W54" s="307">
        <f>IF(K54="nio",0,IF(K54&gt;0,VLOOKUP(G54,'3-Productie normen'!A:R,VLOOKUP(K54,'3-Productie normen'!$B$29:$C$41,2,FALSE),FALSE)))</f>
        <v>0</v>
      </c>
      <c r="X54" s="307">
        <f t="shared" si="5"/>
        <v>0</v>
      </c>
      <c r="Y54" s="307">
        <f t="shared" si="6"/>
        <v>0</v>
      </c>
      <c r="Z54" s="307">
        <f t="shared" si="7"/>
        <v>0</v>
      </c>
      <c r="AA54" s="308">
        <f>VLOOKUP(G54,'3-Productie normen'!A:U,15,FALSE)</f>
        <v>0</v>
      </c>
      <c r="AB54" s="309">
        <f>VLOOKUP(G54,'3-Productie normen'!A:U,16,FALSE)</f>
        <v>220.71499999999997</v>
      </c>
      <c r="AC54" s="308"/>
      <c r="AE54" s="310">
        <f t="shared" si="8"/>
        <v>432</v>
      </c>
    </row>
    <row r="55" spans="1:31" ht="14.1" hidden="1" customHeight="1">
      <c r="A55" s="75">
        <v>51</v>
      </c>
      <c r="B55" s="380" t="s">
        <v>54</v>
      </c>
      <c r="C55" s="276" t="s">
        <v>188</v>
      </c>
      <c r="D55" s="304" t="s">
        <v>189</v>
      </c>
      <c r="E55" s="305" t="s">
        <v>219</v>
      </c>
      <c r="F55" s="71" t="s">
        <v>220</v>
      </c>
      <c r="G55" s="71" t="s">
        <v>104</v>
      </c>
      <c r="H55" s="71" t="s">
        <v>218</v>
      </c>
      <c r="I55" s="388">
        <v>266</v>
      </c>
      <c r="J55" s="306">
        <f t="shared" si="15"/>
        <v>200</v>
      </c>
      <c r="K55" s="230">
        <v>200</v>
      </c>
      <c r="L55" s="230"/>
      <c r="M55" s="230"/>
      <c r="N55" s="230"/>
      <c r="O55" s="230"/>
      <c r="P55" s="230"/>
      <c r="Q55" s="229" t="e">
        <f>IF(K55="nio",0,IF(K55&gt;0,K55*I55/W55,0))*VLOOKUP(B55,'2-Kosten per locatie'!$A$14:$C$25,3,FALSE)</f>
        <v>#DIV/0!</v>
      </c>
      <c r="R55" s="229">
        <f>IF(L55&gt;0,L55*I55/X55,0)*VLOOKUP(B55,'2-Kosten per locatie'!$A$14:$C$25,3,FALSE)</f>
        <v>0</v>
      </c>
      <c r="S55" s="229">
        <f>IF(M55&gt;0,M55*I55/Y55,0)*VLOOKUP(B55,'2-Kosten per locatie'!$A$14:$C$25,3,FALSE)</f>
        <v>0</v>
      </c>
      <c r="T55" s="229">
        <f>IF(N55&gt;0,N55*I55/Z55,0)*VLOOKUP(B55,'2-Kosten per locatie'!$A$14:$C$25,3,FALSE)</f>
        <v>0</v>
      </c>
      <c r="U55" s="229">
        <f>IF(O55&gt;0,O55*I55/Y55,0)*VLOOKUP(B55,'2-Kosten per locatie'!$A$14:$C$25,3,FALSE)</f>
        <v>0</v>
      </c>
      <c r="V55" s="229">
        <f>IF(P55&gt;0,P55*I55/Z55,0)*VLOOKUP(B55,'2-Kosten per locatie'!$A$14:$C$25,3,FALSE)</f>
        <v>0</v>
      </c>
      <c r="W55" s="307">
        <f>IF(K55="nio",0,IF(K55&gt;0,VLOOKUP(G55,'3-Productie normen'!A:R,VLOOKUP(K55,'3-Productie normen'!$B$29:$C$41,2,FALSE),FALSE)))</f>
        <v>0</v>
      </c>
      <c r="X55" s="307">
        <f t="shared" si="5"/>
        <v>0</v>
      </c>
      <c r="Y55" s="307">
        <f t="shared" si="6"/>
        <v>0</v>
      </c>
      <c r="Z55" s="307">
        <f t="shared" si="7"/>
        <v>0</v>
      </c>
      <c r="AA55" s="308">
        <f>VLOOKUP(G55,'3-Productie normen'!A:U,15,FALSE)</f>
        <v>0</v>
      </c>
      <c r="AB55" s="309">
        <f>VLOOKUP(G55,'3-Productie normen'!A:U,16,FALSE)</f>
        <v>974.27</v>
      </c>
      <c r="AC55" s="308"/>
      <c r="AE55" s="310">
        <f t="shared" si="8"/>
        <v>53200</v>
      </c>
    </row>
    <row r="56" spans="1:31" ht="14.1" hidden="1" customHeight="1">
      <c r="A56" s="75">
        <v>52</v>
      </c>
      <c r="B56" s="380" t="s">
        <v>54</v>
      </c>
      <c r="C56" s="276" t="s">
        <v>188</v>
      </c>
      <c r="D56" s="304" t="s">
        <v>189</v>
      </c>
      <c r="E56" s="305" t="s">
        <v>221</v>
      </c>
      <c r="F56" s="311" t="s">
        <v>222</v>
      </c>
      <c r="G56" s="71" t="s">
        <v>196</v>
      </c>
      <c r="H56" s="71" t="s">
        <v>223</v>
      </c>
      <c r="I56" s="388">
        <v>9</v>
      </c>
      <c r="J56" s="306">
        <f t="shared" si="15"/>
        <v>0</v>
      </c>
      <c r="K56" s="230" t="s">
        <v>197</v>
      </c>
      <c r="L56" s="230"/>
      <c r="M56" s="230"/>
      <c r="N56" s="230"/>
      <c r="O56" s="230"/>
      <c r="P56" s="230"/>
      <c r="Q56" s="229">
        <f>IF(K56="nio",0,IF(K56&gt;0,K56*I56/W56,0))*VLOOKUP(B56,'2-Kosten per locatie'!$A$14:$C$25,3,FALSE)</f>
        <v>0</v>
      </c>
      <c r="R56" s="229">
        <f>IF(L56&gt;0,L56*I56/X56,0)*VLOOKUP(B56,'2-Kosten per locatie'!$A$14:$C$25,3,FALSE)</f>
        <v>0</v>
      </c>
      <c r="S56" s="229">
        <f>IF(M56&gt;0,M56*I56/Y56,0)*VLOOKUP(B56,'2-Kosten per locatie'!$A$14:$C$25,3,FALSE)</f>
        <v>0</v>
      </c>
      <c r="T56" s="229">
        <f>IF(N56&gt;0,N56*I56/Z56,0)*VLOOKUP(B56,'2-Kosten per locatie'!$A$14:$C$25,3,FALSE)</f>
        <v>0</v>
      </c>
      <c r="U56" s="229">
        <f>IF(O56&gt;0,O56*I56/Y56,0)*VLOOKUP(B56,'2-Kosten per locatie'!$A$14:$C$25,3,FALSE)</f>
        <v>0</v>
      </c>
      <c r="V56" s="229">
        <f>IF(P56&gt;0,P56*I56/Z56,0)*VLOOKUP(B56,'2-Kosten per locatie'!$A$14:$C$25,3,FALSE)</f>
        <v>0</v>
      </c>
      <c r="W56" s="307">
        <f>IF(K56="nio",0,IF(K56&gt;0,VLOOKUP(G56,'3-Productie normen'!A:R,VLOOKUP(K56,'3-Productie normen'!$B$29:$C$41,2,FALSE),FALSE)))</f>
        <v>0</v>
      </c>
      <c r="X56" s="307">
        <f t="shared" si="5"/>
        <v>0</v>
      </c>
      <c r="Y56" s="307">
        <f t="shared" si="6"/>
        <v>0</v>
      </c>
      <c r="Z56" s="307">
        <f t="shared" si="7"/>
        <v>0</v>
      </c>
      <c r="AA56" s="308" t="e">
        <f>VLOOKUP(G56,'3-Productie normen'!A:U,15,FALSE)</f>
        <v>#N/A</v>
      </c>
      <c r="AB56" s="309" t="e">
        <f>VLOOKUP(G56,'3-Productie normen'!A:U,16,FALSE)</f>
        <v>#N/A</v>
      </c>
      <c r="AC56" s="308"/>
      <c r="AE56" s="310">
        <f t="shared" si="8"/>
        <v>0</v>
      </c>
    </row>
    <row r="57" spans="1:31" ht="14.1" hidden="1" customHeight="1">
      <c r="A57" s="75">
        <v>53</v>
      </c>
      <c r="B57" s="380" t="s">
        <v>59</v>
      </c>
      <c r="C57" s="276" t="s">
        <v>224</v>
      </c>
      <c r="D57" s="304" t="s">
        <v>225</v>
      </c>
      <c r="E57" s="305">
        <v>1</v>
      </c>
      <c r="F57" s="71" t="s">
        <v>220</v>
      </c>
      <c r="G57" s="71" t="s">
        <v>104</v>
      </c>
      <c r="H57" s="447" t="s">
        <v>226</v>
      </c>
      <c r="I57" s="388">
        <v>442.02000000000004</v>
      </c>
      <c r="J57" s="306">
        <f t="shared" si="15"/>
        <v>200</v>
      </c>
      <c r="K57" s="230">
        <v>200</v>
      </c>
      <c r="L57" s="230"/>
      <c r="M57" s="230"/>
      <c r="N57" s="230"/>
      <c r="O57" s="230"/>
      <c r="P57" s="230"/>
      <c r="Q57" s="229" t="e">
        <f>IF(K57="nio",0,IF(K57&gt;0,K57*I57/W57,0))*VLOOKUP(B57,'2-Kosten per locatie'!$A$14:$C$25,3,FALSE)</f>
        <v>#DIV/0!</v>
      </c>
      <c r="R57" s="229">
        <f>IF(L57&gt;0,L57*I57/X57,0)*VLOOKUP(B57,'2-Kosten per locatie'!$A$14:$C$25,3,FALSE)</f>
        <v>0</v>
      </c>
      <c r="S57" s="229">
        <f>IF(M57&gt;0,M57*I57/Y57,0)*VLOOKUP(B57,'2-Kosten per locatie'!$A$14:$C$25,3,FALSE)</f>
        <v>0</v>
      </c>
      <c r="T57" s="229">
        <f>IF(N57&gt;0,N57*I57/Z57,0)*VLOOKUP(B57,'2-Kosten per locatie'!$A$14:$C$25,3,FALSE)</f>
        <v>0</v>
      </c>
      <c r="U57" s="229">
        <f>IF(O57&gt;0,O57*I57/Y57,0)*VLOOKUP(B57,'2-Kosten per locatie'!$A$14:$C$25,3,FALSE)</f>
        <v>0</v>
      </c>
      <c r="V57" s="229">
        <f>IF(P57&gt;0,P57*I57/Z57,0)*VLOOKUP(B57,'2-Kosten per locatie'!$A$14:$C$25,3,FALSE)</f>
        <v>0</v>
      </c>
      <c r="W57" s="307">
        <f>IF(K57="nio",0,IF(K57&gt;0,VLOOKUP(G57,'3-Productie normen'!A:R,VLOOKUP(K57,'3-Productie normen'!$B$29:$C$41,2,FALSE),FALSE)))</f>
        <v>0</v>
      </c>
      <c r="X57" s="307">
        <f t="shared" si="5"/>
        <v>0</v>
      </c>
      <c r="Y57" s="307">
        <f t="shared" si="6"/>
        <v>0</v>
      </c>
      <c r="Z57" s="307">
        <f t="shared" si="7"/>
        <v>0</v>
      </c>
      <c r="AA57" s="308">
        <f>VLOOKUP(G57,'3-Productie normen'!A:U,15,FALSE)</f>
        <v>0</v>
      </c>
      <c r="AB57" s="309">
        <f>VLOOKUP(G57,'3-Productie normen'!A:U,16,FALSE)</f>
        <v>974.27</v>
      </c>
      <c r="AC57" s="308"/>
      <c r="AE57" s="310">
        <f t="shared" si="8"/>
        <v>88404.000000000015</v>
      </c>
    </row>
    <row r="58" spans="1:31" ht="14.1" hidden="1" customHeight="1">
      <c r="A58" s="75">
        <v>54</v>
      </c>
      <c r="B58" s="380" t="s">
        <v>59</v>
      </c>
      <c r="C58" s="276" t="s">
        <v>224</v>
      </c>
      <c r="D58" s="86" t="s">
        <v>225</v>
      </c>
      <c r="E58" s="226">
        <v>2</v>
      </c>
      <c r="F58" s="85" t="s">
        <v>227</v>
      </c>
      <c r="G58" s="85" t="s">
        <v>102</v>
      </c>
      <c r="H58" s="71" t="s">
        <v>185</v>
      </c>
      <c r="I58" s="388">
        <v>35.774999999999999</v>
      </c>
      <c r="J58" s="306">
        <f t="shared" si="15"/>
        <v>12</v>
      </c>
      <c r="K58" s="230">
        <v>12</v>
      </c>
      <c r="L58" s="230"/>
      <c r="M58" s="230"/>
      <c r="N58" s="230"/>
      <c r="O58" s="230"/>
      <c r="P58" s="230"/>
      <c r="Q58" s="229" t="e">
        <f>IF(K58="nio",0,IF(K58&gt;0,K58*I58/W58,0))*VLOOKUP(B58,'2-Kosten per locatie'!$A$14:$C$25,3,FALSE)</f>
        <v>#DIV/0!</v>
      </c>
      <c r="R58" s="229">
        <f>IF(L58&gt;0,L58*I58/X58,0)*VLOOKUP(B58,'2-Kosten per locatie'!$A$14:$C$25,3,FALSE)</f>
        <v>0</v>
      </c>
      <c r="S58" s="229">
        <f>IF(M58&gt;0,M58*I58/Y58,0)*VLOOKUP(B58,'2-Kosten per locatie'!$A$14:$C$25,3,FALSE)</f>
        <v>0</v>
      </c>
      <c r="T58" s="229">
        <f>IF(N58&gt;0,N58*I58/Z58,0)*VLOOKUP(B58,'2-Kosten per locatie'!$A$14:$C$25,3,FALSE)</f>
        <v>0</v>
      </c>
      <c r="U58" s="229">
        <f>IF(O58&gt;0,O58*I58/Y58,0)*VLOOKUP(B58,'2-Kosten per locatie'!$A$14:$C$25,3,FALSE)</f>
        <v>0</v>
      </c>
      <c r="V58" s="229">
        <f>IF(P58&gt;0,P58*I58/Z58,0)*VLOOKUP(B58,'2-Kosten per locatie'!$A$14:$C$25,3,FALSE)</f>
        <v>0</v>
      </c>
      <c r="W58" s="307">
        <f>IF(K58="nio",0,IF(K58&gt;0,VLOOKUP(G58,'3-Productie normen'!A:R,VLOOKUP(K58,'3-Productie normen'!$B$29:$C$41,2,FALSE),FALSE)))</f>
        <v>0</v>
      </c>
      <c r="X58" s="307">
        <f t="shared" si="5"/>
        <v>0</v>
      </c>
      <c r="Y58" s="307">
        <f t="shared" si="6"/>
        <v>0</v>
      </c>
      <c r="Z58" s="307">
        <f t="shared" si="7"/>
        <v>0</v>
      </c>
      <c r="AA58" s="308">
        <f>VLOOKUP(G58,'3-Productie normen'!A:U,15,FALSE)</f>
        <v>0</v>
      </c>
      <c r="AB58" s="309">
        <f>VLOOKUP(G58,'3-Productie normen'!A:U,16,FALSE)</f>
        <v>220.71499999999997</v>
      </c>
      <c r="AC58" s="308"/>
      <c r="AE58" s="310">
        <f t="shared" si="8"/>
        <v>429.29999999999995</v>
      </c>
    </row>
    <row r="59" spans="1:31" ht="14.1" hidden="1" customHeight="1">
      <c r="A59" s="75">
        <v>55</v>
      </c>
      <c r="B59" s="380" t="s">
        <v>59</v>
      </c>
      <c r="C59" s="276" t="s">
        <v>224</v>
      </c>
      <c r="D59" s="304" t="s">
        <v>225</v>
      </c>
      <c r="E59" s="305">
        <v>3</v>
      </c>
      <c r="F59" s="71" t="s">
        <v>228</v>
      </c>
      <c r="G59" s="71" t="s">
        <v>106</v>
      </c>
      <c r="H59" s="71" t="s">
        <v>185</v>
      </c>
      <c r="I59" s="388">
        <v>95.632000000000005</v>
      </c>
      <c r="J59" s="306">
        <f t="shared" si="15"/>
        <v>120</v>
      </c>
      <c r="K59" s="230">
        <v>120</v>
      </c>
      <c r="L59" s="230"/>
      <c r="M59" s="230"/>
      <c r="N59" s="230"/>
      <c r="O59" s="230"/>
      <c r="P59" s="230"/>
      <c r="Q59" s="229" t="e">
        <f>IF(K59="nio",0,IF(K59&gt;0,K59*I59/W59,0))*VLOOKUP(B59,'2-Kosten per locatie'!$A$14:$C$25,3,FALSE)</f>
        <v>#DIV/0!</v>
      </c>
      <c r="R59" s="229">
        <f>IF(L59&gt;0,L59*I59/X59,0)*VLOOKUP(B59,'2-Kosten per locatie'!$A$14:$C$25,3,FALSE)</f>
        <v>0</v>
      </c>
      <c r="S59" s="229">
        <f>IF(M59&gt;0,M59*I59/Y59,0)*VLOOKUP(B59,'2-Kosten per locatie'!$A$14:$C$25,3,FALSE)</f>
        <v>0</v>
      </c>
      <c r="T59" s="229">
        <f>IF(N59&gt;0,N59*I59/Z59,0)*VLOOKUP(B59,'2-Kosten per locatie'!$A$14:$C$25,3,FALSE)</f>
        <v>0</v>
      </c>
      <c r="U59" s="229">
        <f>IF(O59&gt;0,O59*I59/Y59,0)*VLOOKUP(B59,'2-Kosten per locatie'!$A$14:$C$25,3,FALSE)</f>
        <v>0</v>
      </c>
      <c r="V59" s="229">
        <f>IF(P59&gt;0,P59*I59/Z59,0)*VLOOKUP(B59,'2-Kosten per locatie'!$A$14:$C$25,3,FALSE)</f>
        <v>0</v>
      </c>
      <c r="W59" s="307">
        <f>IF(K59="nio",0,IF(K59&gt;0,VLOOKUP(G59,'3-Productie normen'!A:R,VLOOKUP(K59,'3-Productie normen'!$B$29:$C$41,2,FALSE),FALSE)))</f>
        <v>0</v>
      </c>
      <c r="X59" s="307">
        <f t="shared" si="5"/>
        <v>0</v>
      </c>
      <c r="Y59" s="307">
        <f t="shared" si="6"/>
        <v>0</v>
      </c>
      <c r="Z59" s="307">
        <f t="shared" si="7"/>
        <v>0</v>
      </c>
      <c r="AA59" s="308">
        <f>VLOOKUP(G59,'3-Productie normen'!A:U,15,FALSE)</f>
        <v>0</v>
      </c>
      <c r="AB59" s="309">
        <f>VLOOKUP(G59,'3-Productie normen'!A:U,16,FALSE)</f>
        <v>262.43200000000002</v>
      </c>
      <c r="AC59" s="308"/>
      <c r="AE59" s="310">
        <f t="shared" si="8"/>
        <v>11475.84</v>
      </c>
    </row>
    <row r="60" spans="1:31" ht="14.1" hidden="1" customHeight="1">
      <c r="A60" s="75">
        <v>56</v>
      </c>
      <c r="B60" s="380" t="s">
        <v>59</v>
      </c>
      <c r="C60" s="276" t="s">
        <v>224</v>
      </c>
      <c r="D60" s="304" t="s">
        <v>225</v>
      </c>
      <c r="E60" s="305">
        <v>4</v>
      </c>
      <c r="F60" s="71" t="s">
        <v>229</v>
      </c>
      <c r="G60" s="71" t="s">
        <v>100</v>
      </c>
      <c r="H60" s="71" t="s">
        <v>165</v>
      </c>
      <c r="I60" s="388">
        <v>24.255599999999998</v>
      </c>
      <c r="J60" s="306">
        <f t="shared" si="15"/>
        <v>200</v>
      </c>
      <c r="K60" s="230">
        <v>200</v>
      </c>
      <c r="L60" s="230"/>
      <c r="M60" s="230"/>
      <c r="N60" s="230"/>
      <c r="O60" s="230"/>
      <c r="P60" s="230"/>
      <c r="Q60" s="229" t="e">
        <f>IF(K60="nio",0,IF(K60&gt;0,K60*I60/W60,0))*VLOOKUP(B60,'2-Kosten per locatie'!$A$14:$C$25,3,FALSE)</f>
        <v>#DIV/0!</v>
      </c>
      <c r="R60" s="229">
        <f>IF(L60&gt;0,L60*I60/X60,0)*VLOOKUP(B60,'2-Kosten per locatie'!$A$14:$C$25,3,FALSE)</f>
        <v>0</v>
      </c>
      <c r="S60" s="229">
        <f>IF(M60&gt;0,M60*I60/Y60,0)*VLOOKUP(B60,'2-Kosten per locatie'!$A$14:$C$25,3,FALSE)</f>
        <v>0</v>
      </c>
      <c r="T60" s="229">
        <f>IF(N60&gt;0,N60*I60/Z60,0)*VLOOKUP(B60,'2-Kosten per locatie'!$A$14:$C$25,3,FALSE)</f>
        <v>0</v>
      </c>
      <c r="U60" s="229">
        <f>IF(O60&gt;0,O60*I60/Y60,0)*VLOOKUP(B60,'2-Kosten per locatie'!$A$14:$C$25,3,FALSE)</f>
        <v>0</v>
      </c>
      <c r="V60" s="229">
        <f>IF(P60&gt;0,P60*I60/Z60,0)*VLOOKUP(B60,'2-Kosten per locatie'!$A$14:$C$25,3,FALSE)</f>
        <v>0</v>
      </c>
      <c r="W60" s="307">
        <f>IF(K60="nio",0,IF(K60&gt;0,VLOOKUP(G60,'3-Productie normen'!A:R,VLOOKUP(K60,'3-Productie normen'!$B$29:$C$41,2,FALSE),FALSE)))</f>
        <v>0</v>
      </c>
      <c r="X60" s="307">
        <f t="shared" si="5"/>
        <v>0</v>
      </c>
      <c r="Y60" s="307">
        <f t="shared" si="6"/>
        <v>0</v>
      </c>
      <c r="Z60" s="307">
        <f t="shared" si="7"/>
        <v>0</v>
      </c>
      <c r="AA60" s="308">
        <f>VLOOKUP(G60,'3-Productie normen'!A:U,15,FALSE)</f>
        <v>0</v>
      </c>
      <c r="AB60" s="309">
        <f>VLOOKUP(G60,'3-Productie normen'!A:U,16,FALSE)</f>
        <v>455.57899999999995</v>
      </c>
      <c r="AC60" s="308"/>
      <c r="AE60" s="310">
        <f t="shared" si="8"/>
        <v>4851.12</v>
      </c>
    </row>
    <row r="61" spans="1:31" ht="14.1" hidden="1" customHeight="1">
      <c r="A61" s="75">
        <v>57</v>
      </c>
      <c r="B61" s="380" t="s">
        <v>59</v>
      </c>
      <c r="C61" s="276" t="s">
        <v>224</v>
      </c>
      <c r="D61" s="304" t="s">
        <v>225</v>
      </c>
      <c r="E61" s="305">
        <v>5</v>
      </c>
      <c r="F61" s="71" t="s">
        <v>164</v>
      </c>
      <c r="G61" s="71" t="s">
        <v>103</v>
      </c>
      <c r="H61" s="71" t="s">
        <v>165</v>
      </c>
      <c r="I61" s="388">
        <v>1.5</v>
      </c>
      <c r="J61" s="306">
        <f t="shared" si="15"/>
        <v>200</v>
      </c>
      <c r="K61" s="230">
        <v>200</v>
      </c>
      <c r="L61" s="230"/>
      <c r="M61" s="230"/>
      <c r="N61" s="230"/>
      <c r="O61" s="230"/>
      <c r="P61" s="230"/>
      <c r="Q61" s="229" t="e">
        <f>IF(K61="nio",0,IF(K61&gt;0,K61*I61/W61,0))*VLOOKUP(B61,'2-Kosten per locatie'!$A$14:$C$25,3,FALSE)</f>
        <v>#DIV/0!</v>
      </c>
      <c r="R61" s="229">
        <f>IF(L61&gt;0,L61*I61/X61,0)*VLOOKUP(B61,'2-Kosten per locatie'!$A$14:$C$25,3,FALSE)</f>
        <v>0</v>
      </c>
      <c r="S61" s="229">
        <f>IF(M61&gt;0,M61*I61/Y61,0)*VLOOKUP(B61,'2-Kosten per locatie'!$A$14:$C$25,3,FALSE)</f>
        <v>0</v>
      </c>
      <c r="T61" s="229">
        <f>IF(N61&gt;0,N61*I61/Z61,0)*VLOOKUP(B61,'2-Kosten per locatie'!$A$14:$C$25,3,FALSE)</f>
        <v>0</v>
      </c>
      <c r="U61" s="229">
        <f>IF(O61&gt;0,O61*I61/Y61,0)*VLOOKUP(B61,'2-Kosten per locatie'!$A$14:$C$25,3,FALSE)</f>
        <v>0</v>
      </c>
      <c r="V61" s="229">
        <f>IF(P61&gt;0,P61*I61/Z61,0)*VLOOKUP(B61,'2-Kosten per locatie'!$A$14:$C$25,3,FALSE)</f>
        <v>0</v>
      </c>
      <c r="W61" s="307">
        <f>IF(K61="nio",0,IF(K61&gt;0,VLOOKUP(G61,'3-Productie normen'!A:R,VLOOKUP(K61,'3-Productie normen'!$B$29:$C$41,2,FALSE),FALSE)))</f>
        <v>0</v>
      </c>
      <c r="X61" s="307">
        <f t="shared" si="5"/>
        <v>0</v>
      </c>
      <c r="Y61" s="307">
        <f t="shared" si="6"/>
        <v>0</v>
      </c>
      <c r="Z61" s="307">
        <f t="shared" si="7"/>
        <v>0</v>
      </c>
      <c r="AA61" s="308">
        <f>VLOOKUP(G61,'3-Productie normen'!A:U,15,FALSE)</f>
        <v>0</v>
      </c>
      <c r="AB61" s="309">
        <f>VLOOKUP(G61,'3-Productie normen'!A:U,16,FALSE)</f>
        <v>198.56500000000014</v>
      </c>
      <c r="AC61" s="308"/>
      <c r="AE61" s="310">
        <f t="shared" si="8"/>
        <v>300</v>
      </c>
    </row>
    <row r="62" spans="1:31" ht="14.1" hidden="1" customHeight="1">
      <c r="A62" s="75">
        <v>58</v>
      </c>
      <c r="B62" s="380" t="s">
        <v>59</v>
      </c>
      <c r="C62" s="276" t="s">
        <v>224</v>
      </c>
      <c r="D62" s="304" t="s">
        <v>225</v>
      </c>
      <c r="E62" s="305">
        <v>6</v>
      </c>
      <c r="F62" s="71" t="s">
        <v>230</v>
      </c>
      <c r="G62" s="71" t="s">
        <v>103</v>
      </c>
      <c r="H62" s="71" t="s">
        <v>165</v>
      </c>
      <c r="I62" s="388">
        <v>9.3600000000000012</v>
      </c>
      <c r="J62" s="306">
        <f t="shared" si="15"/>
        <v>200</v>
      </c>
      <c r="K62" s="230">
        <v>200</v>
      </c>
      <c r="L62" s="230"/>
      <c r="M62" s="230"/>
      <c r="N62" s="230"/>
      <c r="O62" s="230"/>
      <c r="P62" s="230"/>
      <c r="Q62" s="229" t="e">
        <f>IF(K62="nio",0,IF(K62&gt;0,K62*I62/W62,0))*VLOOKUP(B62,'2-Kosten per locatie'!$A$14:$C$25,3,FALSE)</f>
        <v>#DIV/0!</v>
      </c>
      <c r="R62" s="229">
        <f>IF(L62&gt;0,L62*I62/X62,0)*VLOOKUP(B62,'2-Kosten per locatie'!$A$14:$C$25,3,FALSE)</f>
        <v>0</v>
      </c>
      <c r="S62" s="229">
        <f>IF(M62&gt;0,M62*I62/Y62,0)*VLOOKUP(B62,'2-Kosten per locatie'!$A$14:$C$25,3,FALSE)</f>
        <v>0</v>
      </c>
      <c r="T62" s="229">
        <f>IF(N62&gt;0,N62*I62/Z62,0)*VLOOKUP(B62,'2-Kosten per locatie'!$A$14:$C$25,3,FALSE)</f>
        <v>0</v>
      </c>
      <c r="U62" s="229">
        <f>IF(O62&gt;0,O62*I62/Y62,0)*VLOOKUP(B62,'2-Kosten per locatie'!$A$14:$C$25,3,FALSE)</f>
        <v>0</v>
      </c>
      <c r="V62" s="229">
        <f>IF(P62&gt;0,P62*I62/Z62,0)*VLOOKUP(B62,'2-Kosten per locatie'!$A$14:$C$25,3,FALSE)</f>
        <v>0</v>
      </c>
      <c r="W62" s="307">
        <f>IF(K62="nio",0,IF(K62&gt;0,VLOOKUP(G62,'3-Productie normen'!A:R,VLOOKUP(K62,'3-Productie normen'!$B$29:$C$41,2,FALSE),FALSE)))</f>
        <v>0</v>
      </c>
      <c r="X62" s="307">
        <f t="shared" si="5"/>
        <v>0</v>
      </c>
      <c r="Y62" s="307">
        <f t="shared" si="6"/>
        <v>0</v>
      </c>
      <c r="Z62" s="307">
        <f t="shared" si="7"/>
        <v>0</v>
      </c>
      <c r="AA62" s="308">
        <f>VLOOKUP(G62,'3-Productie normen'!A:U,15,FALSE)</f>
        <v>0</v>
      </c>
      <c r="AB62" s="309">
        <f>VLOOKUP(G62,'3-Productie normen'!A:U,16,FALSE)</f>
        <v>198.56500000000014</v>
      </c>
      <c r="AC62" s="308"/>
      <c r="AE62" s="310">
        <f t="shared" si="8"/>
        <v>1872.0000000000002</v>
      </c>
    </row>
    <row r="63" spans="1:31" ht="14.1" hidden="1" customHeight="1">
      <c r="A63" s="75">
        <v>59</v>
      </c>
      <c r="B63" s="380" t="s">
        <v>59</v>
      </c>
      <c r="C63" s="276" t="s">
        <v>224</v>
      </c>
      <c r="D63" s="304" t="s">
        <v>225</v>
      </c>
      <c r="E63" s="305">
        <v>7</v>
      </c>
      <c r="F63" s="71" t="s">
        <v>215</v>
      </c>
      <c r="G63" s="71" t="s">
        <v>100</v>
      </c>
      <c r="H63" s="71" t="s">
        <v>231</v>
      </c>
      <c r="I63" s="388">
        <v>8.6303999999999998</v>
      </c>
      <c r="J63" s="306">
        <f t="shared" si="15"/>
        <v>200</v>
      </c>
      <c r="K63" s="230">
        <v>200</v>
      </c>
      <c r="L63" s="230"/>
      <c r="M63" s="230"/>
      <c r="N63" s="230"/>
      <c r="O63" s="230"/>
      <c r="P63" s="230"/>
      <c r="Q63" s="229" t="e">
        <f>IF(K63="nio",0,IF(K63&gt;0,K63*I63/W63,0))*VLOOKUP(B63,'2-Kosten per locatie'!$A$14:$C$25,3,FALSE)</f>
        <v>#DIV/0!</v>
      </c>
      <c r="R63" s="229">
        <f>IF(L63&gt;0,L63*I63/X63,0)*VLOOKUP(B63,'2-Kosten per locatie'!$A$14:$C$25,3,FALSE)</f>
        <v>0</v>
      </c>
      <c r="S63" s="229">
        <f>IF(M63&gt;0,M63*I63/Y63,0)*VLOOKUP(B63,'2-Kosten per locatie'!$A$14:$C$25,3,FALSE)</f>
        <v>0</v>
      </c>
      <c r="T63" s="229">
        <f>IF(N63&gt;0,N63*I63/Z63,0)*VLOOKUP(B63,'2-Kosten per locatie'!$A$14:$C$25,3,FALSE)</f>
        <v>0</v>
      </c>
      <c r="U63" s="229">
        <f>IF(O63&gt;0,O63*I63/Y63,0)*VLOOKUP(B63,'2-Kosten per locatie'!$A$14:$C$25,3,FALSE)</f>
        <v>0</v>
      </c>
      <c r="V63" s="229">
        <f>IF(P63&gt;0,P63*I63/Z63,0)*VLOOKUP(B63,'2-Kosten per locatie'!$A$14:$C$25,3,FALSE)</f>
        <v>0</v>
      </c>
      <c r="W63" s="307">
        <f>IF(K63="nio",0,IF(K63&gt;0,VLOOKUP(G63,'3-Productie normen'!A:R,VLOOKUP(K63,'3-Productie normen'!$B$29:$C$41,2,FALSE),FALSE)))</f>
        <v>0</v>
      </c>
      <c r="X63" s="307">
        <f t="shared" si="5"/>
        <v>0</v>
      </c>
      <c r="Y63" s="307">
        <f t="shared" si="6"/>
        <v>0</v>
      </c>
      <c r="Z63" s="307">
        <f t="shared" si="7"/>
        <v>0</v>
      </c>
      <c r="AA63" s="308">
        <f>VLOOKUP(G63,'3-Productie normen'!A:U,15,FALSE)</f>
        <v>0</v>
      </c>
      <c r="AB63" s="309">
        <f>VLOOKUP(G63,'3-Productie normen'!A:U,16,FALSE)</f>
        <v>455.57899999999995</v>
      </c>
      <c r="AC63" s="308"/>
      <c r="AE63" s="310">
        <f t="shared" si="8"/>
        <v>1726.08</v>
      </c>
    </row>
    <row r="64" spans="1:31" ht="14.1" hidden="1" customHeight="1">
      <c r="A64" s="75">
        <v>60</v>
      </c>
      <c r="B64" s="380" t="s">
        <v>59</v>
      </c>
      <c r="C64" s="276" t="s">
        <v>224</v>
      </c>
      <c r="D64" s="304" t="s">
        <v>225</v>
      </c>
      <c r="E64" s="305">
        <v>8</v>
      </c>
      <c r="F64" s="71" t="s">
        <v>232</v>
      </c>
      <c r="G64" s="71" t="s">
        <v>99</v>
      </c>
      <c r="H64" s="71" t="s">
        <v>231</v>
      </c>
      <c r="I64" s="388">
        <v>14.361600000000001</v>
      </c>
      <c r="J64" s="306">
        <f t="shared" si="15"/>
        <v>200</v>
      </c>
      <c r="K64" s="230">
        <v>200</v>
      </c>
      <c r="L64" s="230"/>
      <c r="M64" s="230"/>
      <c r="N64" s="230"/>
      <c r="O64" s="230"/>
      <c r="P64" s="230"/>
      <c r="Q64" s="229" t="e">
        <f>IF(K64="nio",0,IF(K64&gt;0,K64*I64/W64,0))*VLOOKUP(B64,'2-Kosten per locatie'!$A$14:$C$25,3,FALSE)</f>
        <v>#DIV/0!</v>
      </c>
      <c r="R64" s="229">
        <f>IF(L64&gt;0,L64*I64/X64,0)*VLOOKUP(B64,'2-Kosten per locatie'!$A$14:$C$25,3,FALSE)</f>
        <v>0</v>
      </c>
      <c r="S64" s="229">
        <f>IF(M64&gt;0,M64*I64/Y64,0)*VLOOKUP(B64,'2-Kosten per locatie'!$A$14:$C$25,3,FALSE)</f>
        <v>0</v>
      </c>
      <c r="T64" s="229">
        <f>IF(N64&gt;0,N64*I64/Z64,0)*VLOOKUP(B64,'2-Kosten per locatie'!$A$14:$C$25,3,FALSE)</f>
        <v>0</v>
      </c>
      <c r="U64" s="229">
        <f>IF(O64&gt;0,O64*I64/Y64,0)*VLOOKUP(B64,'2-Kosten per locatie'!$A$14:$C$25,3,FALSE)</f>
        <v>0</v>
      </c>
      <c r="V64" s="229">
        <f>IF(P64&gt;0,P64*I64/Z64,0)*VLOOKUP(B64,'2-Kosten per locatie'!$A$14:$C$25,3,FALSE)</f>
        <v>0</v>
      </c>
      <c r="W64" s="307">
        <f>IF(K64="nio",0,IF(K64&gt;0,VLOOKUP(G64,'3-Productie normen'!A:R,VLOOKUP(K64,'3-Productie normen'!$B$29:$C$41,2,FALSE),FALSE)))</f>
        <v>0</v>
      </c>
      <c r="X64" s="307">
        <f t="shared" si="5"/>
        <v>0</v>
      </c>
      <c r="Y64" s="307">
        <f t="shared" si="6"/>
        <v>0</v>
      </c>
      <c r="Z64" s="307">
        <f t="shared" si="7"/>
        <v>0</v>
      </c>
      <c r="AA64" s="308">
        <f>VLOOKUP(G64,'3-Productie normen'!A:U,15,FALSE)</f>
        <v>0</v>
      </c>
      <c r="AB64" s="309">
        <f>VLOOKUP(G64,'3-Productie normen'!A:U,16,FALSE)</f>
        <v>98.211600000000004</v>
      </c>
      <c r="AC64" s="308"/>
      <c r="AE64" s="310">
        <f t="shared" si="8"/>
        <v>2872.32</v>
      </c>
    </row>
    <row r="65" spans="1:31" ht="14.1" hidden="1" customHeight="1">
      <c r="A65" s="75">
        <v>61</v>
      </c>
      <c r="B65" s="380" t="s">
        <v>59</v>
      </c>
      <c r="C65" s="276" t="s">
        <v>224</v>
      </c>
      <c r="D65" s="304" t="s">
        <v>225</v>
      </c>
      <c r="E65" s="305">
        <v>9</v>
      </c>
      <c r="F65" s="71" t="s">
        <v>233</v>
      </c>
      <c r="G65" s="71" t="s">
        <v>100</v>
      </c>
      <c r="H65" s="71" t="s">
        <v>165</v>
      </c>
      <c r="I65" s="388">
        <v>33.673000000000002</v>
      </c>
      <c r="J65" s="306">
        <f t="shared" si="15"/>
        <v>200</v>
      </c>
      <c r="K65" s="230">
        <v>200</v>
      </c>
      <c r="L65" s="230"/>
      <c r="M65" s="230"/>
      <c r="N65" s="230"/>
      <c r="O65" s="230"/>
      <c r="P65" s="230"/>
      <c r="Q65" s="229" t="e">
        <f>IF(K65="nio",0,IF(K65&gt;0,K65*I65/W65,0))*VLOOKUP(B65,'2-Kosten per locatie'!$A$14:$C$25,3,FALSE)</f>
        <v>#DIV/0!</v>
      </c>
      <c r="R65" s="229">
        <f>IF(L65&gt;0,L65*I65/X65,0)*VLOOKUP(B65,'2-Kosten per locatie'!$A$14:$C$25,3,FALSE)</f>
        <v>0</v>
      </c>
      <c r="S65" s="229">
        <f>IF(M65&gt;0,M65*I65/Y65,0)*VLOOKUP(B65,'2-Kosten per locatie'!$A$14:$C$25,3,FALSE)</f>
        <v>0</v>
      </c>
      <c r="T65" s="229">
        <f>IF(N65&gt;0,N65*I65/Z65,0)*VLOOKUP(B65,'2-Kosten per locatie'!$A$14:$C$25,3,FALSE)</f>
        <v>0</v>
      </c>
      <c r="U65" s="229">
        <f>IF(O65&gt;0,O65*I65/Y65,0)*VLOOKUP(B65,'2-Kosten per locatie'!$A$14:$C$25,3,FALSE)</f>
        <v>0</v>
      </c>
      <c r="V65" s="229">
        <f>IF(P65&gt;0,P65*I65/Z65,0)*VLOOKUP(B65,'2-Kosten per locatie'!$A$14:$C$25,3,FALSE)</f>
        <v>0</v>
      </c>
      <c r="W65" s="307">
        <f>IF(K65="nio",0,IF(K65&gt;0,VLOOKUP(G65,'3-Productie normen'!A:R,VLOOKUP(K65,'3-Productie normen'!$B$29:$C$41,2,FALSE),FALSE)))</f>
        <v>0</v>
      </c>
      <c r="X65" s="307">
        <f t="shared" si="5"/>
        <v>0</v>
      </c>
      <c r="Y65" s="307">
        <f t="shared" si="6"/>
        <v>0</v>
      </c>
      <c r="Z65" s="307">
        <f t="shared" si="7"/>
        <v>0</v>
      </c>
      <c r="AA65" s="308">
        <f>VLOOKUP(G65,'3-Productie normen'!A:U,15,FALSE)</f>
        <v>0</v>
      </c>
      <c r="AB65" s="309">
        <f>VLOOKUP(G65,'3-Productie normen'!A:U,16,FALSE)</f>
        <v>455.57899999999995</v>
      </c>
      <c r="AC65" s="308"/>
      <c r="AE65" s="310">
        <f t="shared" si="8"/>
        <v>6734.6</v>
      </c>
    </row>
    <row r="66" spans="1:31" ht="14.1" hidden="1" customHeight="1">
      <c r="A66" s="75">
        <v>62</v>
      </c>
      <c r="B66" s="380" t="s">
        <v>59</v>
      </c>
      <c r="C66" s="276" t="s">
        <v>224</v>
      </c>
      <c r="D66" s="304" t="s">
        <v>225</v>
      </c>
      <c r="E66" s="305">
        <v>10</v>
      </c>
      <c r="F66" s="71" t="s">
        <v>164</v>
      </c>
      <c r="G66" s="71" t="s">
        <v>103</v>
      </c>
      <c r="H66" s="71" t="s">
        <v>165</v>
      </c>
      <c r="I66" s="388">
        <v>1.5</v>
      </c>
      <c r="J66" s="306">
        <f t="shared" si="15"/>
        <v>200</v>
      </c>
      <c r="K66" s="230">
        <v>200</v>
      </c>
      <c r="L66" s="230"/>
      <c r="M66" s="230"/>
      <c r="N66" s="230"/>
      <c r="O66" s="230"/>
      <c r="P66" s="230"/>
      <c r="Q66" s="229" t="e">
        <f>IF(K66="nio",0,IF(K66&gt;0,K66*I66/W66,0))*VLOOKUP(B66,'2-Kosten per locatie'!$A$14:$C$25,3,FALSE)</f>
        <v>#DIV/0!</v>
      </c>
      <c r="R66" s="229">
        <f>IF(L66&gt;0,L66*I66/X66,0)*VLOOKUP(B66,'2-Kosten per locatie'!$A$14:$C$25,3,FALSE)</f>
        <v>0</v>
      </c>
      <c r="S66" s="229">
        <f>IF(M66&gt;0,M66*I66/Y66,0)*VLOOKUP(B66,'2-Kosten per locatie'!$A$14:$C$25,3,FALSE)</f>
        <v>0</v>
      </c>
      <c r="T66" s="229">
        <f>IF(N66&gt;0,N66*I66/Z66,0)*VLOOKUP(B66,'2-Kosten per locatie'!$A$14:$C$25,3,FALSE)</f>
        <v>0</v>
      </c>
      <c r="U66" s="229">
        <f>IF(O66&gt;0,O66*I66/Y66,0)*VLOOKUP(B66,'2-Kosten per locatie'!$A$14:$C$25,3,FALSE)</f>
        <v>0</v>
      </c>
      <c r="V66" s="229">
        <f>IF(P66&gt;0,P66*I66/Z66,0)*VLOOKUP(B66,'2-Kosten per locatie'!$A$14:$C$25,3,FALSE)</f>
        <v>0</v>
      </c>
      <c r="W66" s="307">
        <f>IF(K66="nio",0,IF(K66&gt;0,VLOOKUP(G66,'3-Productie normen'!A:R,VLOOKUP(K66,'3-Productie normen'!$B$29:$C$41,2,FALSE),FALSE)))</f>
        <v>0</v>
      </c>
      <c r="X66" s="307">
        <f t="shared" si="5"/>
        <v>0</v>
      </c>
      <c r="Y66" s="307">
        <f t="shared" si="6"/>
        <v>0</v>
      </c>
      <c r="Z66" s="307">
        <f t="shared" si="7"/>
        <v>0</v>
      </c>
      <c r="AA66" s="308">
        <f>VLOOKUP(G66,'3-Productie normen'!A:U,15,FALSE)</f>
        <v>0</v>
      </c>
      <c r="AB66" s="309">
        <f>VLOOKUP(G66,'3-Productie normen'!A:U,16,FALSE)</f>
        <v>198.56500000000014</v>
      </c>
      <c r="AC66" s="308"/>
      <c r="AE66" s="310">
        <f t="shared" si="8"/>
        <v>300</v>
      </c>
    </row>
    <row r="67" spans="1:31" ht="14.1" hidden="1" customHeight="1">
      <c r="A67" s="75">
        <v>63</v>
      </c>
      <c r="B67" s="380" t="s">
        <v>59</v>
      </c>
      <c r="C67" s="276" t="s">
        <v>224</v>
      </c>
      <c r="D67" s="304" t="s">
        <v>225</v>
      </c>
      <c r="E67" s="305">
        <v>11</v>
      </c>
      <c r="F67" s="71" t="s">
        <v>230</v>
      </c>
      <c r="G67" s="71" t="s">
        <v>103</v>
      </c>
      <c r="H67" s="71" t="s">
        <v>165</v>
      </c>
      <c r="I67" s="388">
        <v>11.859</v>
      </c>
      <c r="J67" s="306">
        <f t="shared" si="15"/>
        <v>200</v>
      </c>
      <c r="K67" s="230">
        <v>200</v>
      </c>
      <c r="L67" s="230"/>
      <c r="M67" s="230"/>
      <c r="N67" s="230"/>
      <c r="O67" s="230"/>
      <c r="P67" s="230"/>
      <c r="Q67" s="229" t="e">
        <f>IF(K67="nio",0,IF(K67&gt;0,K67*I67/W67,0))*VLOOKUP(B67,'2-Kosten per locatie'!$A$14:$C$25,3,FALSE)</f>
        <v>#DIV/0!</v>
      </c>
      <c r="R67" s="229">
        <f>IF(L67&gt;0,L67*I67/X67,0)*VLOOKUP(B67,'2-Kosten per locatie'!$A$14:$C$25,3,FALSE)</f>
        <v>0</v>
      </c>
      <c r="S67" s="229">
        <f>IF(M67&gt;0,M67*I67/Y67,0)*VLOOKUP(B67,'2-Kosten per locatie'!$A$14:$C$25,3,FALSE)</f>
        <v>0</v>
      </c>
      <c r="T67" s="229">
        <f>IF(N67&gt;0,N67*I67/Z67,0)*VLOOKUP(B67,'2-Kosten per locatie'!$A$14:$C$25,3,FALSE)</f>
        <v>0</v>
      </c>
      <c r="U67" s="229">
        <f>IF(O67&gt;0,O67*I67/Y67,0)*VLOOKUP(B67,'2-Kosten per locatie'!$A$14:$C$25,3,FALSE)</f>
        <v>0</v>
      </c>
      <c r="V67" s="229">
        <f>IF(P67&gt;0,P67*I67/Z67,0)*VLOOKUP(B67,'2-Kosten per locatie'!$A$14:$C$25,3,FALSE)</f>
        <v>0</v>
      </c>
      <c r="W67" s="307">
        <f>IF(K67="nio",0,IF(K67&gt;0,VLOOKUP(G67,'3-Productie normen'!A:R,VLOOKUP(K67,'3-Productie normen'!$B$29:$C$41,2,FALSE),FALSE)))</f>
        <v>0</v>
      </c>
      <c r="X67" s="307">
        <f t="shared" si="5"/>
        <v>0</v>
      </c>
      <c r="Y67" s="307">
        <f t="shared" si="6"/>
        <v>0</v>
      </c>
      <c r="Z67" s="307">
        <f t="shared" si="7"/>
        <v>0</v>
      </c>
      <c r="AA67" s="308">
        <f>VLOOKUP(G67,'3-Productie normen'!A:U,15,FALSE)</f>
        <v>0</v>
      </c>
      <c r="AB67" s="309">
        <f>VLOOKUP(G67,'3-Productie normen'!A:U,16,FALSE)</f>
        <v>198.56500000000014</v>
      </c>
      <c r="AC67" s="308"/>
      <c r="AE67" s="310">
        <f t="shared" si="8"/>
        <v>2371.8000000000002</v>
      </c>
    </row>
    <row r="68" spans="1:31" ht="14.1" hidden="1" customHeight="1">
      <c r="A68" s="75">
        <v>64</v>
      </c>
      <c r="B68" s="380" t="s">
        <v>59</v>
      </c>
      <c r="C68" s="276" t="s">
        <v>224</v>
      </c>
      <c r="D68" s="304" t="s">
        <v>225</v>
      </c>
      <c r="E68" s="305">
        <v>12</v>
      </c>
      <c r="F68" s="71" t="s">
        <v>234</v>
      </c>
      <c r="G68" s="71" t="s">
        <v>98</v>
      </c>
      <c r="H68" s="71" t="s">
        <v>185</v>
      </c>
      <c r="I68" s="388">
        <v>7.75</v>
      </c>
      <c r="J68" s="306">
        <f t="shared" si="15"/>
        <v>200</v>
      </c>
      <c r="K68" s="230">
        <v>200</v>
      </c>
      <c r="L68" s="230"/>
      <c r="M68" s="230"/>
      <c r="N68" s="230"/>
      <c r="O68" s="230"/>
      <c r="P68" s="230"/>
      <c r="Q68" s="229" t="e">
        <f>IF(K68="nio",0,IF(K68&gt;0,K68*I68/W68,0))*VLOOKUP(B68,'2-Kosten per locatie'!$A$14:$C$25,3,FALSE)</f>
        <v>#DIV/0!</v>
      </c>
      <c r="R68" s="229">
        <f>IF(L68&gt;0,L68*I68/X68,0)*VLOOKUP(B68,'2-Kosten per locatie'!$A$14:$C$25,3,FALSE)</f>
        <v>0</v>
      </c>
      <c r="S68" s="229">
        <f>IF(M68&gt;0,M68*I68/Y68,0)*VLOOKUP(B68,'2-Kosten per locatie'!$A$14:$C$25,3,FALSE)</f>
        <v>0</v>
      </c>
      <c r="T68" s="229">
        <f>IF(N68&gt;0,N68*I68/Z68,0)*VLOOKUP(B68,'2-Kosten per locatie'!$A$14:$C$25,3,FALSE)</f>
        <v>0</v>
      </c>
      <c r="U68" s="229">
        <f>IF(O68&gt;0,O68*I68/Y68,0)*VLOOKUP(B68,'2-Kosten per locatie'!$A$14:$C$25,3,FALSE)</f>
        <v>0</v>
      </c>
      <c r="V68" s="229">
        <f>IF(P68&gt;0,P68*I68/Z68,0)*VLOOKUP(B68,'2-Kosten per locatie'!$A$14:$C$25,3,FALSE)</f>
        <v>0</v>
      </c>
      <c r="W68" s="307">
        <f>IF(K68="nio",0,IF(K68&gt;0,VLOOKUP(G68,'3-Productie normen'!A:R,VLOOKUP(K68,'3-Productie normen'!$B$29:$C$41,2,FALSE),FALSE)))</f>
        <v>0</v>
      </c>
      <c r="X68" s="307">
        <f t="shared" si="5"/>
        <v>0</v>
      </c>
      <c r="Y68" s="307">
        <f t="shared" si="6"/>
        <v>0</v>
      </c>
      <c r="Z68" s="307">
        <f t="shared" si="7"/>
        <v>0</v>
      </c>
      <c r="AA68" s="308">
        <f>VLOOKUP(G68,'3-Productie normen'!A:U,15,FALSE)</f>
        <v>0</v>
      </c>
      <c r="AB68" s="309">
        <f>VLOOKUP(G68,'3-Productie normen'!A:U,16,FALSE)</f>
        <v>467.3</v>
      </c>
      <c r="AC68" s="308"/>
      <c r="AE68" s="310">
        <f t="shared" si="8"/>
        <v>1550</v>
      </c>
    </row>
    <row r="69" spans="1:31" ht="14.1" hidden="1" customHeight="1">
      <c r="A69" s="75">
        <v>65</v>
      </c>
      <c r="B69" s="380" t="s">
        <v>59</v>
      </c>
      <c r="C69" s="276" t="s">
        <v>224</v>
      </c>
      <c r="D69" s="304" t="s">
        <v>225</v>
      </c>
      <c r="E69" s="305">
        <v>13</v>
      </c>
      <c r="F69" s="71" t="s">
        <v>164</v>
      </c>
      <c r="G69" s="71" t="s">
        <v>103</v>
      </c>
      <c r="H69" s="71" t="s">
        <v>165</v>
      </c>
      <c r="I69" s="388">
        <v>2.4379999999999997</v>
      </c>
      <c r="J69" s="306">
        <f t="shared" si="15"/>
        <v>200</v>
      </c>
      <c r="K69" s="230">
        <v>200</v>
      </c>
      <c r="L69" s="230"/>
      <c r="M69" s="230"/>
      <c r="N69" s="230"/>
      <c r="O69" s="230"/>
      <c r="P69" s="230"/>
      <c r="Q69" s="229" t="e">
        <f>IF(K69="nio",0,IF(K69&gt;0,K69*I69/W69,0))*VLOOKUP(B69,'2-Kosten per locatie'!$A$14:$C$25,3,FALSE)</f>
        <v>#DIV/0!</v>
      </c>
      <c r="R69" s="229">
        <f>IF(L69&gt;0,L69*I69/X69,0)*VLOOKUP(B69,'2-Kosten per locatie'!$A$14:$C$25,3,FALSE)</f>
        <v>0</v>
      </c>
      <c r="S69" s="229">
        <f>IF(M69&gt;0,M69*I69/Y69,0)*VLOOKUP(B69,'2-Kosten per locatie'!$A$14:$C$25,3,FALSE)</f>
        <v>0</v>
      </c>
      <c r="T69" s="229">
        <f>IF(N69&gt;0,N69*I69/Z69,0)*VLOOKUP(B69,'2-Kosten per locatie'!$A$14:$C$25,3,FALSE)</f>
        <v>0</v>
      </c>
      <c r="U69" s="229">
        <f>IF(O69&gt;0,O69*I69/Y69,0)*VLOOKUP(B69,'2-Kosten per locatie'!$A$14:$C$25,3,FALSE)</f>
        <v>0</v>
      </c>
      <c r="V69" s="229">
        <f>IF(P69&gt;0,P69*I69/Z69,0)*VLOOKUP(B69,'2-Kosten per locatie'!$A$14:$C$25,3,FALSE)</f>
        <v>0</v>
      </c>
      <c r="W69" s="307">
        <f>IF(K69="nio",0,IF(K69&gt;0,VLOOKUP(G69,'3-Productie normen'!A:R,VLOOKUP(K69,'3-Productie normen'!$B$29:$C$41,2,FALSE),FALSE)))</f>
        <v>0</v>
      </c>
      <c r="X69" s="307">
        <f t="shared" si="5"/>
        <v>0</v>
      </c>
      <c r="Y69" s="307">
        <f t="shared" si="6"/>
        <v>0</v>
      </c>
      <c r="Z69" s="307">
        <f t="shared" si="7"/>
        <v>0</v>
      </c>
      <c r="AA69" s="308">
        <f>VLOOKUP(G69,'3-Productie normen'!A:U,15,FALSE)</f>
        <v>0</v>
      </c>
      <c r="AB69" s="309">
        <f>VLOOKUP(G69,'3-Productie normen'!A:U,16,FALSE)</f>
        <v>198.56500000000014</v>
      </c>
      <c r="AC69" s="308"/>
      <c r="AE69" s="310">
        <f t="shared" si="8"/>
        <v>487.59999999999997</v>
      </c>
    </row>
    <row r="70" spans="1:31" ht="14.1" hidden="1" customHeight="1">
      <c r="A70" s="75">
        <v>66</v>
      </c>
      <c r="B70" s="380" t="s">
        <v>59</v>
      </c>
      <c r="C70" s="276" t="s">
        <v>224</v>
      </c>
      <c r="D70" s="304" t="s">
        <v>225</v>
      </c>
      <c r="E70" s="305">
        <v>14</v>
      </c>
      <c r="F70" s="71" t="s">
        <v>164</v>
      </c>
      <c r="G70" s="71" t="s">
        <v>103</v>
      </c>
      <c r="H70" s="71" t="s">
        <v>165</v>
      </c>
      <c r="I70" s="388">
        <v>2.4379999999999997</v>
      </c>
      <c r="J70" s="306">
        <f t="shared" si="15"/>
        <v>200</v>
      </c>
      <c r="K70" s="230">
        <v>200</v>
      </c>
      <c r="L70" s="230"/>
      <c r="M70" s="230"/>
      <c r="N70" s="230"/>
      <c r="O70" s="230"/>
      <c r="P70" s="230"/>
      <c r="Q70" s="229" t="e">
        <f>IF(K70="nio",0,IF(K70&gt;0,K70*I70/W70,0))*VLOOKUP(B70,'2-Kosten per locatie'!$A$14:$C$25,3,FALSE)</f>
        <v>#DIV/0!</v>
      </c>
      <c r="R70" s="229">
        <f>IF(L70&gt;0,L70*I70/X70,0)*VLOOKUP(B70,'2-Kosten per locatie'!$A$14:$C$25,3,FALSE)</f>
        <v>0</v>
      </c>
      <c r="S70" s="229">
        <f>IF(M70&gt;0,M70*I70/Y70,0)*VLOOKUP(B70,'2-Kosten per locatie'!$A$14:$C$25,3,FALSE)</f>
        <v>0</v>
      </c>
      <c r="T70" s="229">
        <f>IF(N70&gt;0,N70*I70/Z70,0)*VLOOKUP(B70,'2-Kosten per locatie'!$A$14:$C$25,3,FALSE)</f>
        <v>0</v>
      </c>
      <c r="U70" s="229">
        <f>IF(O70&gt;0,O70*I70/Y70,0)*VLOOKUP(B70,'2-Kosten per locatie'!$A$14:$C$25,3,FALSE)</f>
        <v>0</v>
      </c>
      <c r="V70" s="229">
        <f>IF(P70&gt;0,P70*I70/Z70,0)*VLOOKUP(B70,'2-Kosten per locatie'!$A$14:$C$25,3,FALSE)</f>
        <v>0</v>
      </c>
      <c r="W70" s="307">
        <f>IF(K70="nio",0,IF(K70&gt;0,VLOOKUP(G70,'3-Productie normen'!A:R,VLOOKUP(K70,'3-Productie normen'!$B$29:$C$41,2,FALSE),FALSE)))</f>
        <v>0</v>
      </c>
      <c r="X70" s="307">
        <f t="shared" si="5"/>
        <v>0</v>
      </c>
      <c r="Y70" s="307">
        <f t="shared" si="6"/>
        <v>0</v>
      </c>
      <c r="Z70" s="307">
        <f t="shared" si="7"/>
        <v>0</v>
      </c>
      <c r="AA70" s="308">
        <f>VLOOKUP(G70,'3-Productie normen'!A:U,15,FALSE)</f>
        <v>0</v>
      </c>
      <c r="AB70" s="309">
        <f>VLOOKUP(G70,'3-Productie normen'!A:U,16,FALSE)</f>
        <v>198.56500000000014</v>
      </c>
      <c r="AC70" s="308"/>
      <c r="AE70" s="310">
        <f t="shared" si="8"/>
        <v>487.59999999999997</v>
      </c>
    </row>
    <row r="71" spans="1:31" ht="14.1" hidden="1" customHeight="1">
      <c r="A71" s="75">
        <v>67</v>
      </c>
      <c r="B71" s="380" t="s">
        <v>59</v>
      </c>
      <c r="C71" s="276" t="s">
        <v>224</v>
      </c>
      <c r="D71" s="304" t="s">
        <v>225</v>
      </c>
      <c r="E71" s="305">
        <v>15</v>
      </c>
      <c r="F71" s="71" t="s">
        <v>191</v>
      </c>
      <c r="G71" s="71" t="s">
        <v>96</v>
      </c>
      <c r="H71" s="71" t="s">
        <v>156</v>
      </c>
      <c r="I71" s="388">
        <v>17.922499999999999</v>
      </c>
      <c r="J71" s="306">
        <f t="shared" si="15"/>
        <v>200</v>
      </c>
      <c r="K71" s="230">
        <v>200</v>
      </c>
      <c r="L71" s="230"/>
      <c r="M71" s="230"/>
      <c r="N71" s="230"/>
      <c r="O71" s="230"/>
      <c r="P71" s="230"/>
      <c r="Q71" s="229" t="e">
        <f>IF(K71="nio",0,IF(K71&gt;0,K71*I71/W71,0))*VLOOKUP(B71,'2-Kosten per locatie'!$A$14:$C$25,3,FALSE)</f>
        <v>#DIV/0!</v>
      </c>
      <c r="R71" s="229">
        <f>IF(L71&gt;0,L71*I71/X71,0)*VLOOKUP(B71,'2-Kosten per locatie'!$A$14:$C$25,3,FALSE)</f>
        <v>0</v>
      </c>
      <c r="S71" s="229">
        <f>IF(M71&gt;0,M71*I71/Y71,0)*VLOOKUP(B71,'2-Kosten per locatie'!$A$14:$C$25,3,FALSE)</f>
        <v>0</v>
      </c>
      <c r="T71" s="229">
        <f>IF(N71&gt;0,N71*I71/Z71,0)*VLOOKUP(B71,'2-Kosten per locatie'!$A$14:$C$25,3,FALSE)</f>
        <v>0</v>
      </c>
      <c r="U71" s="229">
        <f>IF(O71&gt;0,O71*I71/Y71,0)*VLOOKUP(B71,'2-Kosten per locatie'!$A$14:$C$25,3,FALSE)</f>
        <v>0</v>
      </c>
      <c r="V71" s="229">
        <f>IF(P71&gt;0,P71*I71/Z71,0)*VLOOKUP(B71,'2-Kosten per locatie'!$A$14:$C$25,3,FALSE)</f>
        <v>0</v>
      </c>
      <c r="W71" s="307">
        <f>IF(K71="nio",0,IF(K71&gt;0,VLOOKUP(G71,'3-Productie normen'!A:R,VLOOKUP(K71,'3-Productie normen'!$B$29:$C$41,2,FALSE),FALSE)))</f>
        <v>0</v>
      </c>
      <c r="X71" s="307">
        <f t="shared" si="5"/>
        <v>0</v>
      </c>
      <c r="Y71" s="307">
        <f t="shared" si="6"/>
        <v>0</v>
      </c>
      <c r="Z71" s="307">
        <f t="shared" si="7"/>
        <v>0</v>
      </c>
      <c r="AA71" s="308">
        <f>VLOOKUP(G71,'3-Productie normen'!A:U,15,FALSE)</f>
        <v>0</v>
      </c>
      <c r="AB71" s="309">
        <f>VLOOKUP(G71,'3-Productie normen'!A:U,16,FALSE)</f>
        <v>84.322499999999991</v>
      </c>
      <c r="AC71" s="308"/>
      <c r="AE71" s="310">
        <f t="shared" si="8"/>
        <v>3584.5</v>
      </c>
    </row>
    <row r="72" spans="1:31" ht="14.1" hidden="1" customHeight="1">
      <c r="A72" s="75">
        <v>68</v>
      </c>
      <c r="B72" s="380" t="s">
        <v>53</v>
      </c>
      <c r="C72" s="276" t="s">
        <v>235</v>
      </c>
      <c r="D72" s="304" t="s">
        <v>236</v>
      </c>
      <c r="E72" s="305">
        <v>1</v>
      </c>
      <c r="F72" s="71" t="s">
        <v>191</v>
      </c>
      <c r="G72" s="71" t="s">
        <v>96</v>
      </c>
      <c r="H72" s="71" t="s">
        <v>237</v>
      </c>
      <c r="I72" s="388">
        <v>12.1</v>
      </c>
      <c r="J72" s="306">
        <f t="shared" si="15"/>
        <v>255</v>
      </c>
      <c r="K72" s="230">
        <v>255</v>
      </c>
      <c r="L72" s="230"/>
      <c r="M72" s="230"/>
      <c r="N72" s="230"/>
      <c r="O72" s="230"/>
      <c r="P72" s="230"/>
      <c r="Q72" s="229" t="e">
        <f>IF(K72="nio",0,IF(K72&gt;0,K72*I72/W72,0))*VLOOKUP(B72,'2-Kosten per locatie'!$A$14:$C$25,3,FALSE)</f>
        <v>#DIV/0!</v>
      </c>
      <c r="R72" s="229">
        <f>IF(L72&gt;0,L72*I72/X72,0)*VLOOKUP(B72,'2-Kosten per locatie'!$A$14:$C$25,3,FALSE)</f>
        <v>0</v>
      </c>
      <c r="S72" s="229">
        <f>IF(M72&gt;0,M72*I72/Y72,0)*VLOOKUP(B72,'2-Kosten per locatie'!$A$14:$C$25,3,FALSE)</f>
        <v>0</v>
      </c>
      <c r="T72" s="229">
        <f>IF(N72&gt;0,N72*I72/Z72,0)*VLOOKUP(B72,'2-Kosten per locatie'!$A$14:$C$25,3,FALSE)</f>
        <v>0</v>
      </c>
      <c r="U72" s="229">
        <f>IF(O72&gt;0,O72*I72/Y72,0)*VLOOKUP(B72,'2-Kosten per locatie'!$A$14:$C$25,3,FALSE)</f>
        <v>0</v>
      </c>
      <c r="V72" s="229">
        <f>IF(P72&gt;0,P72*I72/Z72,0)*VLOOKUP(B72,'2-Kosten per locatie'!$A$14:$C$25,3,FALSE)</f>
        <v>0</v>
      </c>
      <c r="W72" s="307">
        <f>IF(K72="nio",0,IF(K72&gt;0,VLOOKUP(G72,'3-Productie normen'!A:R,VLOOKUP(K72,'3-Productie normen'!$B$29:$C$41,2,FALSE),FALSE)))</f>
        <v>0</v>
      </c>
      <c r="X72" s="307">
        <f t="shared" si="5"/>
        <v>0</v>
      </c>
      <c r="Y72" s="307">
        <f t="shared" si="6"/>
        <v>0</v>
      </c>
      <c r="Z72" s="307">
        <f t="shared" si="7"/>
        <v>0</v>
      </c>
      <c r="AA72" s="308">
        <f>VLOOKUP(G72,'3-Productie normen'!A:U,15,FALSE)</f>
        <v>0</v>
      </c>
      <c r="AB72" s="309">
        <f>VLOOKUP(G72,'3-Productie normen'!A:U,16,FALSE)</f>
        <v>84.322499999999991</v>
      </c>
      <c r="AC72" s="308"/>
      <c r="AE72" s="310">
        <f t="shared" si="8"/>
        <v>3085.5</v>
      </c>
    </row>
    <row r="73" spans="1:31" ht="14.1" hidden="1" customHeight="1">
      <c r="A73" s="75">
        <v>69</v>
      </c>
      <c r="B73" s="380" t="s">
        <v>53</v>
      </c>
      <c r="C73" s="276" t="s">
        <v>235</v>
      </c>
      <c r="D73" s="304" t="s">
        <v>236</v>
      </c>
      <c r="E73" s="305">
        <v>2</v>
      </c>
      <c r="F73" s="71" t="s">
        <v>238</v>
      </c>
      <c r="G73" s="71" t="s">
        <v>98</v>
      </c>
      <c r="H73" s="71" t="s">
        <v>239</v>
      </c>
      <c r="I73" s="388">
        <v>54.03</v>
      </c>
      <c r="J73" s="306">
        <f t="shared" si="15"/>
        <v>255</v>
      </c>
      <c r="K73" s="230">
        <v>255</v>
      </c>
      <c r="L73" s="230"/>
      <c r="M73" s="230"/>
      <c r="N73" s="230"/>
      <c r="O73" s="230"/>
      <c r="P73" s="230"/>
      <c r="Q73" s="229" t="e">
        <f>IF(K73="nio",0,IF(K73&gt;0,K73*I73/W73,0))*VLOOKUP(B73,'2-Kosten per locatie'!$A$14:$C$25,3,FALSE)</f>
        <v>#DIV/0!</v>
      </c>
      <c r="R73" s="229">
        <f>IF(L73&gt;0,L73*I73/X73,0)*VLOOKUP(B73,'2-Kosten per locatie'!$A$14:$C$25,3,FALSE)</f>
        <v>0</v>
      </c>
      <c r="S73" s="229">
        <f>IF(M73&gt;0,M73*I73/Y73,0)*VLOOKUP(B73,'2-Kosten per locatie'!$A$14:$C$25,3,FALSE)</f>
        <v>0</v>
      </c>
      <c r="T73" s="229">
        <f>IF(N73&gt;0,N73*I73/Z73,0)*VLOOKUP(B73,'2-Kosten per locatie'!$A$14:$C$25,3,FALSE)</f>
        <v>0</v>
      </c>
      <c r="U73" s="229">
        <f>IF(O73&gt;0,O73*I73/Y73,0)*VLOOKUP(B73,'2-Kosten per locatie'!$A$14:$C$25,3,FALSE)</f>
        <v>0</v>
      </c>
      <c r="V73" s="229">
        <f>IF(P73&gt;0,P73*I73/Z73,0)*VLOOKUP(B73,'2-Kosten per locatie'!$A$14:$C$25,3,FALSE)</f>
        <v>0</v>
      </c>
      <c r="W73" s="307">
        <f>IF(K73="nio",0,IF(K73&gt;0,VLOOKUP(G73,'3-Productie normen'!A:R,VLOOKUP(K73,'3-Productie normen'!$B$29:$C$41,2,FALSE),FALSE)))</f>
        <v>0</v>
      </c>
      <c r="X73" s="307">
        <f t="shared" si="5"/>
        <v>0</v>
      </c>
      <c r="Y73" s="307">
        <f t="shared" si="6"/>
        <v>0</v>
      </c>
      <c r="Z73" s="307">
        <f t="shared" si="7"/>
        <v>0</v>
      </c>
      <c r="AA73" s="308">
        <f>VLOOKUP(G73,'3-Productie normen'!A:U,15,FALSE)</f>
        <v>0</v>
      </c>
      <c r="AB73" s="309">
        <f>VLOOKUP(G73,'3-Productie normen'!A:U,16,FALSE)</f>
        <v>467.3</v>
      </c>
      <c r="AC73" s="308"/>
      <c r="AE73" s="310">
        <f t="shared" si="8"/>
        <v>13777.65</v>
      </c>
    </row>
    <row r="74" spans="1:31" ht="14.1" hidden="1" customHeight="1">
      <c r="A74" s="75">
        <v>70</v>
      </c>
      <c r="B74" s="380" t="s">
        <v>53</v>
      </c>
      <c r="C74" s="276" t="s">
        <v>235</v>
      </c>
      <c r="D74" s="304" t="s">
        <v>236</v>
      </c>
      <c r="E74" s="305">
        <v>3</v>
      </c>
      <c r="F74" s="71" t="s">
        <v>163</v>
      </c>
      <c r="G74" s="71" t="s">
        <v>92</v>
      </c>
      <c r="H74" s="71" t="s">
        <v>185</v>
      </c>
      <c r="I74" s="388">
        <v>11.35</v>
      </c>
      <c r="J74" s="306">
        <f t="shared" si="15"/>
        <v>104</v>
      </c>
      <c r="K74" s="230">
        <v>104</v>
      </c>
      <c r="L74" s="230"/>
      <c r="M74" s="230"/>
      <c r="N74" s="230"/>
      <c r="O74" s="230"/>
      <c r="P74" s="230"/>
      <c r="Q74" s="229" t="e">
        <f>IF(K74="nio",0,IF(K74&gt;0,K74*I74/W74,0))*VLOOKUP(B74,'2-Kosten per locatie'!$A$14:$C$25,3,FALSE)</f>
        <v>#DIV/0!</v>
      </c>
      <c r="R74" s="229">
        <f>IF(L74&gt;0,L74*I74/X74,0)*VLOOKUP(B74,'2-Kosten per locatie'!$A$14:$C$25,3,FALSE)</f>
        <v>0</v>
      </c>
      <c r="S74" s="229">
        <f>IF(M74&gt;0,M74*I74/Y74,0)*VLOOKUP(B74,'2-Kosten per locatie'!$A$14:$C$25,3,FALSE)</f>
        <v>0</v>
      </c>
      <c r="T74" s="229">
        <f>IF(N74&gt;0,N74*I74/Z74,0)*VLOOKUP(B74,'2-Kosten per locatie'!$A$14:$C$25,3,FALSE)</f>
        <v>0</v>
      </c>
      <c r="U74" s="229">
        <f>IF(O74&gt;0,O74*I74/Y74,0)*VLOOKUP(B74,'2-Kosten per locatie'!$A$14:$C$25,3,FALSE)</f>
        <v>0</v>
      </c>
      <c r="V74" s="229">
        <f>IF(P74&gt;0,P74*I74/Z74,0)*VLOOKUP(B74,'2-Kosten per locatie'!$A$14:$C$25,3,FALSE)</f>
        <v>0</v>
      </c>
      <c r="W74" s="307">
        <f>IF(K74="nio",0,IF(K74&gt;0,VLOOKUP(G74,'3-Productie normen'!A:R,VLOOKUP(K74,'3-Productie normen'!$B$29:$C$41,2,FALSE),FALSE)))</f>
        <v>0</v>
      </c>
      <c r="X74" s="307">
        <f t="shared" si="5"/>
        <v>0</v>
      </c>
      <c r="Y74" s="307">
        <f t="shared" si="6"/>
        <v>0</v>
      </c>
      <c r="Z74" s="307">
        <f t="shared" si="7"/>
        <v>0</v>
      </c>
      <c r="AA74" s="308">
        <f>VLOOKUP(G74,'3-Productie normen'!A:U,15,FALSE)</f>
        <v>0</v>
      </c>
      <c r="AB74" s="309">
        <f>VLOOKUP(G74,'3-Productie normen'!A:U,16,FALSE)</f>
        <v>915.88999999999976</v>
      </c>
      <c r="AC74" s="308"/>
      <c r="AE74" s="310">
        <f t="shared" si="8"/>
        <v>1180.3999999999999</v>
      </c>
    </row>
    <row r="75" spans="1:31" ht="14.1" hidden="1" customHeight="1">
      <c r="A75" s="75">
        <v>71</v>
      </c>
      <c r="B75" s="380" t="s">
        <v>53</v>
      </c>
      <c r="C75" s="276" t="s">
        <v>235</v>
      </c>
      <c r="D75" s="304" t="s">
        <v>236</v>
      </c>
      <c r="E75" s="305">
        <v>4</v>
      </c>
      <c r="F75" s="71" t="s">
        <v>240</v>
      </c>
      <c r="G75" s="71" t="s">
        <v>103</v>
      </c>
      <c r="H75" s="71" t="s">
        <v>239</v>
      </c>
      <c r="I75" s="388">
        <v>4.95</v>
      </c>
      <c r="J75" s="306">
        <f t="shared" si="15"/>
        <v>156</v>
      </c>
      <c r="K75" s="230">
        <v>156</v>
      </c>
      <c r="L75" s="230"/>
      <c r="M75" s="230"/>
      <c r="N75" s="230"/>
      <c r="O75" s="230"/>
      <c r="P75" s="230"/>
      <c r="Q75" s="229" t="e">
        <f>IF(K75="nio",0,IF(K75&gt;0,K75*I75/W75,0))*VLOOKUP(B75,'2-Kosten per locatie'!$A$14:$C$25,3,FALSE)</f>
        <v>#DIV/0!</v>
      </c>
      <c r="R75" s="229">
        <f>IF(L75&gt;0,L75*I75/X75,0)*VLOOKUP(B75,'2-Kosten per locatie'!$A$14:$C$25,3,FALSE)</f>
        <v>0</v>
      </c>
      <c r="S75" s="229">
        <f>IF(M75&gt;0,M75*I75/Y75,0)*VLOOKUP(B75,'2-Kosten per locatie'!$A$14:$C$25,3,FALSE)</f>
        <v>0</v>
      </c>
      <c r="T75" s="229">
        <f>IF(N75&gt;0,N75*I75/Z75,0)*VLOOKUP(B75,'2-Kosten per locatie'!$A$14:$C$25,3,FALSE)</f>
        <v>0</v>
      </c>
      <c r="U75" s="229">
        <f>IF(O75&gt;0,O75*I75/Y75,0)*VLOOKUP(B75,'2-Kosten per locatie'!$A$14:$C$25,3,FALSE)</f>
        <v>0</v>
      </c>
      <c r="V75" s="229">
        <f>IF(P75&gt;0,P75*I75/Z75,0)*VLOOKUP(B75,'2-Kosten per locatie'!$A$14:$C$25,3,FALSE)</f>
        <v>0</v>
      </c>
      <c r="W75" s="307">
        <f>IF(K75="nio",0,IF(K75&gt;0,VLOOKUP(G75,'3-Productie normen'!A:R,VLOOKUP(K75,'3-Productie normen'!$B$29:$C$41,2,FALSE),FALSE)))</f>
        <v>0</v>
      </c>
      <c r="X75" s="307">
        <f t="shared" si="5"/>
        <v>0</v>
      </c>
      <c r="Y75" s="307">
        <f t="shared" si="6"/>
        <v>0</v>
      </c>
      <c r="Z75" s="307">
        <f t="shared" si="7"/>
        <v>0</v>
      </c>
      <c r="AA75" s="308">
        <f>VLOOKUP(G75,'3-Productie normen'!A:U,15,FALSE)</f>
        <v>0</v>
      </c>
      <c r="AB75" s="309">
        <f>VLOOKUP(G75,'3-Productie normen'!A:U,16,FALSE)</f>
        <v>198.56500000000014</v>
      </c>
      <c r="AC75" s="308"/>
      <c r="AE75" s="310">
        <f t="shared" si="8"/>
        <v>772.2</v>
      </c>
    </row>
    <row r="76" spans="1:31" ht="14.1" hidden="1" customHeight="1">
      <c r="A76" s="75">
        <v>72</v>
      </c>
      <c r="B76" s="380" t="s">
        <v>53</v>
      </c>
      <c r="C76" s="276" t="s">
        <v>235</v>
      </c>
      <c r="D76" s="304" t="s">
        <v>236</v>
      </c>
      <c r="E76" s="305">
        <v>5</v>
      </c>
      <c r="F76" s="71" t="s">
        <v>195</v>
      </c>
      <c r="G76" s="71" t="s">
        <v>196</v>
      </c>
      <c r="H76" s="71" t="s">
        <v>239</v>
      </c>
      <c r="I76" s="388">
        <v>5.53</v>
      </c>
      <c r="J76" s="306">
        <f t="shared" si="15"/>
        <v>0</v>
      </c>
      <c r="K76" s="230" t="s">
        <v>197</v>
      </c>
      <c r="L76" s="230"/>
      <c r="M76" s="230"/>
      <c r="N76" s="230"/>
      <c r="O76" s="230"/>
      <c r="P76" s="230"/>
      <c r="Q76" s="229">
        <f>IF(K76="nio",0,IF(K76&gt;0,K76*I76/W76,0))*VLOOKUP(B76,'2-Kosten per locatie'!$A$14:$C$25,3,FALSE)</f>
        <v>0</v>
      </c>
      <c r="R76" s="229">
        <f>IF(L76&gt;0,L76*I76/X76,0)*VLOOKUP(B76,'2-Kosten per locatie'!$A$14:$C$25,3,FALSE)</f>
        <v>0</v>
      </c>
      <c r="S76" s="229">
        <f>IF(M76&gt;0,M76*I76/Y76,0)*VLOOKUP(B76,'2-Kosten per locatie'!$A$14:$C$25,3,FALSE)</f>
        <v>0</v>
      </c>
      <c r="T76" s="229">
        <f>IF(N76&gt;0,N76*I76/Z76,0)*VLOOKUP(B76,'2-Kosten per locatie'!$A$14:$C$25,3,FALSE)</f>
        <v>0</v>
      </c>
      <c r="U76" s="229">
        <f>IF(O76&gt;0,O76*I76/Y76,0)*VLOOKUP(B76,'2-Kosten per locatie'!$A$14:$C$25,3,FALSE)</f>
        <v>0</v>
      </c>
      <c r="V76" s="229">
        <f>IF(P76&gt;0,P76*I76/Z76,0)*VLOOKUP(B76,'2-Kosten per locatie'!$A$14:$C$25,3,FALSE)</f>
        <v>0</v>
      </c>
      <c r="W76" s="307">
        <f>IF(K76="nio",0,IF(K76&gt;0,VLOOKUP(G76,'3-Productie normen'!A:R,VLOOKUP(K76,'3-Productie normen'!$B$29:$C$41,2,FALSE),FALSE)))</f>
        <v>0</v>
      </c>
      <c r="X76" s="307">
        <f t="shared" si="5"/>
        <v>0</v>
      </c>
      <c r="Y76" s="307">
        <f t="shared" si="6"/>
        <v>0</v>
      </c>
      <c r="Z76" s="307">
        <f t="shared" si="7"/>
        <v>0</v>
      </c>
      <c r="AA76" s="308" t="e">
        <f>VLOOKUP(G76,'3-Productie normen'!A:U,15,FALSE)</f>
        <v>#N/A</v>
      </c>
      <c r="AB76" s="309" t="e">
        <f>VLOOKUP(G76,'3-Productie normen'!A:U,16,FALSE)</f>
        <v>#N/A</v>
      </c>
      <c r="AC76" s="308"/>
      <c r="AE76" s="310">
        <f t="shared" si="8"/>
        <v>0</v>
      </c>
    </row>
    <row r="77" spans="1:31" ht="14.1" hidden="1" customHeight="1">
      <c r="A77" s="75">
        <v>73</v>
      </c>
      <c r="B77" s="380" t="s">
        <v>53</v>
      </c>
      <c r="C77" s="276" t="s">
        <v>235</v>
      </c>
      <c r="D77" s="304" t="s">
        <v>236</v>
      </c>
      <c r="E77" s="305">
        <v>6</v>
      </c>
      <c r="F77" s="71" t="s">
        <v>241</v>
      </c>
      <c r="G77" s="71" t="s">
        <v>92</v>
      </c>
      <c r="H77" s="71" t="s">
        <v>239</v>
      </c>
      <c r="I77" s="388">
        <v>19.489999999999998</v>
      </c>
      <c r="J77" s="306">
        <f t="shared" si="15"/>
        <v>52</v>
      </c>
      <c r="K77" s="230">
        <v>52</v>
      </c>
      <c r="L77" s="230"/>
      <c r="M77" s="230"/>
      <c r="N77" s="230"/>
      <c r="O77" s="230"/>
      <c r="P77" s="230"/>
      <c r="Q77" s="229" t="e">
        <f>IF(K77="nio",0,IF(K77&gt;0,K77*I77/W77,0))*VLOOKUP(B77,'2-Kosten per locatie'!$A$14:$C$25,3,FALSE)</f>
        <v>#DIV/0!</v>
      </c>
      <c r="R77" s="229">
        <f>IF(L77&gt;0,L77*I77/X77,0)*VLOOKUP(B77,'2-Kosten per locatie'!$A$14:$C$25,3,FALSE)</f>
        <v>0</v>
      </c>
      <c r="S77" s="229">
        <f>IF(M77&gt;0,M77*I77/Y77,0)*VLOOKUP(B77,'2-Kosten per locatie'!$A$14:$C$25,3,FALSE)</f>
        <v>0</v>
      </c>
      <c r="T77" s="229">
        <f>IF(N77&gt;0,N77*I77/Z77,0)*VLOOKUP(B77,'2-Kosten per locatie'!$A$14:$C$25,3,FALSE)</f>
        <v>0</v>
      </c>
      <c r="U77" s="229">
        <f>IF(O77&gt;0,O77*I77/Y77,0)*VLOOKUP(B77,'2-Kosten per locatie'!$A$14:$C$25,3,FALSE)</f>
        <v>0</v>
      </c>
      <c r="V77" s="229">
        <f>IF(P77&gt;0,P77*I77/Z77,0)*VLOOKUP(B77,'2-Kosten per locatie'!$A$14:$C$25,3,FALSE)</f>
        <v>0</v>
      </c>
      <c r="W77" s="307">
        <f>IF(K77="nio",0,IF(K77&gt;0,VLOOKUP(G77,'3-Productie normen'!A:R,VLOOKUP(K77,'3-Productie normen'!$B$29:$C$41,2,FALSE),FALSE)))</f>
        <v>0</v>
      </c>
      <c r="X77" s="307">
        <f t="shared" si="5"/>
        <v>0</v>
      </c>
      <c r="Y77" s="307">
        <f t="shared" si="6"/>
        <v>0</v>
      </c>
      <c r="Z77" s="307">
        <f t="shared" si="7"/>
        <v>0</v>
      </c>
      <c r="AA77" s="308">
        <f>VLOOKUP(G77,'3-Productie normen'!A:U,15,FALSE)</f>
        <v>0</v>
      </c>
      <c r="AB77" s="309">
        <f>VLOOKUP(G77,'3-Productie normen'!A:U,16,FALSE)</f>
        <v>915.88999999999976</v>
      </c>
      <c r="AC77" s="308"/>
      <c r="AE77" s="310">
        <f t="shared" si="8"/>
        <v>1013.4799999999999</v>
      </c>
    </row>
    <row r="78" spans="1:31" ht="14.1" hidden="1" customHeight="1">
      <c r="A78" s="75">
        <v>74</v>
      </c>
      <c r="B78" s="380" t="s">
        <v>53</v>
      </c>
      <c r="C78" s="276" t="s">
        <v>235</v>
      </c>
      <c r="D78" s="304" t="s">
        <v>236</v>
      </c>
      <c r="E78" s="305">
        <v>7</v>
      </c>
      <c r="F78" s="71" t="s">
        <v>242</v>
      </c>
      <c r="G78" s="71" t="s">
        <v>100</v>
      </c>
      <c r="H78" s="71" t="s">
        <v>239</v>
      </c>
      <c r="I78" s="388">
        <v>35.64</v>
      </c>
      <c r="J78" s="306">
        <f t="shared" si="15"/>
        <v>255</v>
      </c>
      <c r="K78" s="230">
        <v>255</v>
      </c>
      <c r="L78" s="230"/>
      <c r="M78" s="230"/>
      <c r="N78" s="230"/>
      <c r="O78" s="230"/>
      <c r="P78" s="230"/>
      <c r="Q78" s="229" t="e">
        <f>IF(K78="nio",0,IF(K78&gt;0,K78*I78/W78,0))*VLOOKUP(B78,'2-Kosten per locatie'!$A$14:$C$25,3,FALSE)</f>
        <v>#DIV/0!</v>
      </c>
      <c r="R78" s="229">
        <f>IF(L78&gt;0,L78*I78/X78,0)*VLOOKUP(B78,'2-Kosten per locatie'!$A$14:$C$25,3,FALSE)</f>
        <v>0</v>
      </c>
      <c r="S78" s="229">
        <f>IF(M78&gt;0,M78*I78/Y78,0)*VLOOKUP(B78,'2-Kosten per locatie'!$A$14:$C$25,3,FALSE)</f>
        <v>0</v>
      </c>
      <c r="T78" s="229">
        <f>IF(N78&gt;0,N78*I78/Z78,0)*VLOOKUP(B78,'2-Kosten per locatie'!$A$14:$C$25,3,FALSE)</f>
        <v>0</v>
      </c>
      <c r="U78" s="229">
        <f>IF(O78&gt;0,O78*I78/Y78,0)*VLOOKUP(B78,'2-Kosten per locatie'!$A$14:$C$25,3,FALSE)</f>
        <v>0</v>
      </c>
      <c r="V78" s="229">
        <f>IF(P78&gt;0,P78*I78/Z78,0)*VLOOKUP(B78,'2-Kosten per locatie'!$A$14:$C$25,3,FALSE)</f>
        <v>0</v>
      </c>
      <c r="W78" s="307">
        <f>IF(K78="nio",0,IF(K78&gt;0,VLOOKUP(G78,'3-Productie normen'!A:R,VLOOKUP(K78,'3-Productie normen'!$B$29:$C$41,2,FALSE),FALSE)))</f>
        <v>0</v>
      </c>
      <c r="X78" s="307">
        <f t="shared" si="5"/>
        <v>0</v>
      </c>
      <c r="Y78" s="307">
        <f t="shared" si="6"/>
        <v>0</v>
      </c>
      <c r="Z78" s="307">
        <f t="shared" si="7"/>
        <v>0</v>
      </c>
      <c r="AA78" s="308">
        <f>VLOOKUP(G78,'3-Productie normen'!A:U,15,FALSE)</f>
        <v>0</v>
      </c>
      <c r="AB78" s="309">
        <f>VLOOKUP(G78,'3-Productie normen'!A:U,16,FALSE)</f>
        <v>455.57899999999995</v>
      </c>
      <c r="AC78" s="308"/>
      <c r="AE78" s="310">
        <f t="shared" si="8"/>
        <v>9088.2000000000007</v>
      </c>
    </row>
    <row r="79" spans="1:31" ht="14.1" hidden="1" customHeight="1">
      <c r="A79" s="75">
        <v>75</v>
      </c>
      <c r="B79" s="380" t="s">
        <v>53</v>
      </c>
      <c r="C79" s="276" t="s">
        <v>235</v>
      </c>
      <c r="D79" s="304" t="s">
        <v>236</v>
      </c>
      <c r="E79" s="305">
        <v>8</v>
      </c>
      <c r="F79" s="71" t="s">
        <v>230</v>
      </c>
      <c r="G79" s="71" t="s">
        <v>100</v>
      </c>
      <c r="H79" s="71" t="s">
        <v>239</v>
      </c>
      <c r="I79" s="388">
        <v>16.170000000000002</v>
      </c>
      <c r="J79" s="306">
        <f t="shared" ref="J79:J142" si="16">SUM(K79:P79)</f>
        <v>255</v>
      </c>
      <c r="K79" s="230">
        <v>255</v>
      </c>
      <c r="L79" s="230"/>
      <c r="M79" s="230"/>
      <c r="N79" s="230"/>
      <c r="O79" s="230"/>
      <c r="P79" s="230"/>
      <c r="Q79" s="229" t="e">
        <f>IF(K79="nio",0,IF(K79&gt;0,K79*I79/W79,0))*VLOOKUP(B79,'2-Kosten per locatie'!$A$14:$C$25,3,FALSE)</f>
        <v>#DIV/0!</v>
      </c>
      <c r="R79" s="229">
        <f>IF(L79&gt;0,L79*I79/X79,0)*VLOOKUP(B79,'2-Kosten per locatie'!$A$14:$C$25,3,FALSE)</f>
        <v>0</v>
      </c>
      <c r="S79" s="229">
        <f>IF(M79&gt;0,M79*I79/Y79,0)*VLOOKUP(B79,'2-Kosten per locatie'!$A$14:$C$25,3,FALSE)</f>
        <v>0</v>
      </c>
      <c r="T79" s="229">
        <f>IF(N79&gt;0,N79*I79/Z79,0)*VLOOKUP(B79,'2-Kosten per locatie'!$A$14:$C$25,3,FALSE)</f>
        <v>0</v>
      </c>
      <c r="U79" s="229">
        <f>IF(O79&gt;0,O79*I79/Y79,0)*VLOOKUP(B79,'2-Kosten per locatie'!$A$14:$C$25,3,FALSE)</f>
        <v>0</v>
      </c>
      <c r="V79" s="229">
        <f>IF(P79&gt;0,P79*I79/Z79,0)*VLOOKUP(B79,'2-Kosten per locatie'!$A$14:$C$25,3,FALSE)</f>
        <v>0</v>
      </c>
      <c r="W79" s="307">
        <f>IF(K79="nio",0,IF(K79&gt;0,VLOOKUP(G79,'3-Productie normen'!A:R,VLOOKUP(K79,'3-Productie normen'!$B$29:$C$41,2,FALSE),FALSE)))</f>
        <v>0</v>
      </c>
      <c r="X79" s="307">
        <f t="shared" ref="X79:X142" si="17">IF(L79&gt;0,W79*$X$8,0)</f>
        <v>0</v>
      </c>
      <c r="Y79" s="307">
        <f t="shared" ref="Y79:Y142" si="18">IF((OR(M79&gt;0,O79&gt;0)),W79*$Y$8,0)</f>
        <v>0</v>
      </c>
      <c r="Z79" s="307">
        <f t="shared" ref="Z79:Z142" si="19">IF((OR(N79&gt;0,P79&gt;0)),W79*$Z$8,0)</f>
        <v>0</v>
      </c>
      <c r="AA79" s="308">
        <f>VLOOKUP(G79,'3-Productie normen'!A:U,15,FALSE)</f>
        <v>0</v>
      </c>
      <c r="AB79" s="309">
        <f>VLOOKUP(G79,'3-Productie normen'!A:U,16,FALSE)</f>
        <v>455.57899999999995</v>
      </c>
      <c r="AC79" s="308"/>
      <c r="AE79" s="310">
        <f t="shared" ref="AE79:AE142" si="20">J79*I79</f>
        <v>4123.3500000000004</v>
      </c>
    </row>
    <row r="80" spans="1:31" ht="14.1" hidden="1" customHeight="1">
      <c r="A80" s="75">
        <v>76</v>
      </c>
      <c r="B80" s="380" t="s">
        <v>53</v>
      </c>
      <c r="C80" s="276" t="s">
        <v>235</v>
      </c>
      <c r="D80" s="304" t="s">
        <v>236</v>
      </c>
      <c r="E80" s="305">
        <v>9</v>
      </c>
      <c r="F80" s="71" t="s">
        <v>164</v>
      </c>
      <c r="G80" s="71" t="s">
        <v>103</v>
      </c>
      <c r="H80" s="71" t="s">
        <v>239</v>
      </c>
      <c r="I80" s="388">
        <v>3.07</v>
      </c>
      <c r="J80" s="306">
        <f t="shared" si="16"/>
        <v>255</v>
      </c>
      <c r="K80" s="230">
        <v>255</v>
      </c>
      <c r="L80" s="230"/>
      <c r="M80" s="230"/>
      <c r="N80" s="230"/>
      <c r="O80" s="230"/>
      <c r="P80" s="230"/>
      <c r="Q80" s="229" t="e">
        <f>IF(K80="nio",0,IF(K80&gt;0,K80*I80/W80,0))*VLOOKUP(B80,'2-Kosten per locatie'!$A$14:$C$25,3,FALSE)</f>
        <v>#DIV/0!</v>
      </c>
      <c r="R80" s="229">
        <f>IF(L80&gt;0,L80*I80/X80,0)*VLOOKUP(B80,'2-Kosten per locatie'!$A$14:$C$25,3,FALSE)</f>
        <v>0</v>
      </c>
      <c r="S80" s="229">
        <f>IF(M80&gt;0,M80*I80/Y80,0)*VLOOKUP(B80,'2-Kosten per locatie'!$A$14:$C$25,3,FALSE)</f>
        <v>0</v>
      </c>
      <c r="T80" s="229">
        <f>IF(N80&gt;0,N80*I80/Z80,0)*VLOOKUP(B80,'2-Kosten per locatie'!$A$14:$C$25,3,FALSE)</f>
        <v>0</v>
      </c>
      <c r="U80" s="229">
        <f>IF(O80&gt;0,O80*I80/Y80,0)*VLOOKUP(B80,'2-Kosten per locatie'!$A$14:$C$25,3,FALSE)</f>
        <v>0</v>
      </c>
      <c r="V80" s="229">
        <f>IF(P80&gt;0,P80*I80/Z80,0)*VLOOKUP(B80,'2-Kosten per locatie'!$A$14:$C$25,3,FALSE)</f>
        <v>0</v>
      </c>
      <c r="W80" s="307">
        <f>IF(K80="nio",0,IF(K80&gt;0,VLOOKUP(G80,'3-Productie normen'!A:R,VLOOKUP(K80,'3-Productie normen'!$B$29:$C$41,2,FALSE),FALSE)))</f>
        <v>0</v>
      </c>
      <c r="X80" s="307">
        <f t="shared" si="17"/>
        <v>0</v>
      </c>
      <c r="Y80" s="307">
        <f t="shared" si="18"/>
        <v>0</v>
      </c>
      <c r="Z80" s="307">
        <f t="shared" si="19"/>
        <v>0</v>
      </c>
      <c r="AA80" s="308">
        <f>VLOOKUP(G80,'3-Productie normen'!A:U,15,FALSE)</f>
        <v>0</v>
      </c>
      <c r="AB80" s="309">
        <f>VLOOKUP(G80,'3-Productie normen'!A:U,16,FALSE)</f>
        <v>198.56500000000014</v>
      </c>
      <c r="AC80" s="308"/>
      <c r="AE80" s="310">
        <f t="shared" si="20"/>
        <v>782.84999999999991</v>
      </c>
    </row>
    <row r="81" spans="1:31" ht="14.1" hidden="1" customHeight="1">
      <c r="A81" s="75">
        <v>77</v>
      </c>
      <c r="B81" s="380" t="s">
        <v>53</v>
      </c>
      <c r="C81" s="276" t="s">
        <v>235</v>
      </c>
      <c r="D81" s="304" t="s">
        <v>236</v>
      </c>
      <c r="E81" s="305">
        <v>10</v>
      </c>
      <c r="F81" s="71" t="s">
        <v>243</v>
      </c>
      <c r="G81" s="71" t="s">
        <v>100</v>
      </c>
      <c r="H81" s="71" t="s">
        <v>239</v>
      </c>
      <c r="I81" s="388">
        <v>30.57</v>
      </c>
      <c r="J81" s="306">
        <f t="shared" si="16"/>
        <v>255</v>
      </c>
      <c r="K81" s="230">
        <v>255</v>
      </c>
      <c r="L81" s="230"/>
      <c r="M81" s="230"/>
      <c r="N81" s="230"/>
      <c r="O81" s="230"/>
      <c r="P81" s="230"/>
      <c r="Q81" s="229" t="e">
        <f>IF(K81="nio",0,IF(K81&gt;0,K81*I81/W81,0))*VLOOKUP(B81,'2-Kosten per locatie'!$A$14:$C$25,3,FALSE)</f>
        <v>#DIV/0!</v>
      </c>
      <c r="R81" s="229">
        <f>IF(L81&gt;0,L81*I81/X81,0)*VLOOKUP(B81,'2-Kosten per locatie'!$A$14:$C$25,3,FALSE)</f>
        <v>0</v>
      </c>
      <c r="S81" s="229">
        <f>IF(M81&gt;0,M81*I81/Y81,0)*VLOOKUP(B81,'2-Kosten per locatie'!$A$14:$C$25,3,FALSE)</f>
        <v>0</v>
      </c>
      <c r="T81" s="229">
        <f>IF(N81&gt;0,N81*I81/Z81,0)*VLOOKUP(B81,'2-Kosten per locatie'!$A$14:$C$25,3,FALSE)</f>
        <v>0</v>
      </c>
      <c r="U81" s="229">
        <f>IF(O81&gt;0,O81*I81/Y81,0)*VLOOKUP(B81,'2-Kosten per locatie'!$A$14:$C$25,3,FALSE)</f>
        <v>0</v>
      </c>
      <c r="V81" s="229">
        <f>IF(P81&gt;0,P81*I81/Z81,0)*VLOOKUP(B81,'2-Kosten per locatie'!$A$14:$C$25,3,FALSE)</f>
        <v>0</v>
      </c>
      <c r="W81" s="307">
        <f>IF(K81="nio",0,IF(K81&gt;0,VLOOKUP(G81,'3-Productie normen'!A:R,VLOOKUP(K81,'3-Productie normen'!$B$29:$C$41,2,FALSE),FALSE)))</f>
        <v>0</v>
      </c>
      <c r="X81" s="307">
        <f t="shared" si="17"/>
        <v>0</v>
      </c>
      <c r="Y81" s="307">
        <f t="shared" si="18"/>
        <v>0</v>
      </c>
      <c r="Z81" s="307">
        <f t="shared" si="19"/>
        <v>0</v>
      </c>
      <c r="AA81" s="308">
        <f>VLOOKUP(G81,'3-Productie normen'!A:U,15,FALSE)</f>
        <v>0</v>
      </c>
      <c r="AB81" s="309">
        <f>VLOOKUP(G81,'3-Productie normen'!A:U,16,FALSE)</f>
        <v>455.57899999999995</v>
      </c>
      <c r="AC81" s="308"/>
      <c r="AE81" s="310">
        <f t="shared" si="20"/>
        <v>7795.35</v>
      </c>
    </row>
    <row r="82" spans="1:31" ht="14.1" hidden="1" customHeight="1">
      <c r="A82" s="75">
        <v>78</v>
      </c>
      <c r="B82" s="380" t="s">
        <v>53</v>
      </c>
      <c r="C82" s="276" t="s">
        <v>235</v>
      </c>
      <c r="D82" s="304" t="s">
        <v>236</v>
      </c>
      <c r="E82" s="305">
        <v>11</v>
      </c>
      <c r="F82" s="71" t="s">
        <v>230</v>
      </c>
      <c r="G82" s="71" t="s">
        <v>100</v>
      </c>
      <c r="H82" s="71" t="s">
        <v>239</v>
      </c>
      <c r="I82" s="388">
        <v>16.170000000000002</v>
      </c>
      <c r="J82" s="306">
        <f t="shared" si="16"/>
        <v>255</v>
      </c>
      <c r="K82" s="230">
        <v>255</v>
      </c>
      <c r="L82" s="230"/>
      <c r="M82" s="230"/>
      <c r="N82" s="230"/>
      <c r="O82" s="230"/>
      <c r="P82" s="230"/>
      <c r="Q82" s="229" t="e">
        <f>IF(K82="nio",0,IF(K82&gt;0,K82*I82/W82,0))*VLOOKUP(B82,'2-Kosten per locatie'!$A$14:$C$25,3,FALSE)</f>
        <v>#DIV/0!</v>
      </c>
      <c r="R82" s="229">
        <f>IF(L82&gt;0,L82*I82/X82,0)*VLOOKUP(B82,'2-Kosten per locatie'!$A$14:$C$25,3,FALSE)</f>
        <v>0</v>
      </c>
      <c r="S82" s="229">
        <f>IF(M82&gt;0,M82*I82/Y82,0)*VLOOKUP(B82,'2-Kosten per locatie'!$A$14:$C$25,3,FALSE)</f>
        <v>0</v>
      </c>
      <c r="T82" s="229">
        <f>IF(N82&gt;0,N82*I82/Z82,0)*VLOOKUP(B82,'2-Kosten per locatie'!$A$14:$C$25,3,FALSE)</f>
        <v>0</v>
      </c>
      <c r="U82" s="229">
        <f>IF(O82&gt;0,O82*I82/Y82,0)*VLOOKUP(B82,'2-Kosten per locatie'!$A$14:$C$25,3,FALSE)</f>
        <v>0</v>
      </c>
      <c r="V82" s="229">
        <f>IF(P82&gt;0,P82*I82/Z82,0)*VLOOKUP(B82,'2-Kosten per locatie'!$A$14:$C$25,3,FALSE)</f>
        <v>0</v>
      </c>
      <c r="W82" s="307">
        <f>IF(K82="nio",0,IF(K82&gt;0,VLOOKUP(G82,'3-Productie normen'!A:R,VLOOKUP(K82,'3-Productie normen'!$B$29:$C$41,2,FALSE),FALSE)))</f>
        <v>0</v>
      </c>
      <c r="X82" s="307">
        <f t="shared" si="17"/>
        <v>0</v>
      </c>
      <c r="Y82" s="307">
        <f t="shared" si="18"/>
        <v>0</v>
      </c>
      <c r="Z82" s="307">
        <f t="shared" si="19"/>
        <v>0</v>
      </c>
      <c r="AA82" s="308">
        <f>VLOOKUP(G82,'3-Productie normen'!A:U,15,FALSE)</f>
        <v>0</v>
      </c>
      <c r="AB82" s="309">
        <f>VLOOKUP(G82,'3-Productie normen'!A:U,16,FALSE)</f>
        <v>455.57899999999995</v>
      </c>
      <c r="AC82" s="308"/>
      <c r="AE82" s="310">
        <f t="shared" si="20"/>
        <v>4123.3500000000004</v>
      </c>
    </row>
    <row r="83" spans="1:31" ht="14.1" hidden="1" customHeight="1">
      <c r="A83" s="75">
        <v>79</v>
      </c>
      <c r="B83" s="380" t="s">
        <v>53</v>
      </c>
      <c r="C83" s="276" t="s">
        <v>235</v>
      </c>
      <c r="D83" s="304" t="s">
        <v>236</v>
      </c>
      <c r="E83" s="305">
        <v>12</v>
      </c>
      <c r="F83" s="71" t="s">
        <v>164</v>
      </c>
      <c r="G83" s="71" t="s">
        <v>103</v>
      </c>
      <c r="H83" s="71" t="s">
        <v>239</v>
      </c>
      <c r="I83" s="388">
        <v>3.07</v>
      </c>
      <c r="J83" s="306">
        <f t="shared" si="16"/>
        <v>255</v>
      </c>
      <c r="K83" s="230">
        <v>255</v>
      </c>
      <c r="L83" s="230"/>
      <c r="M83" s="230"/>
      <c r="N83" s="230"/>
      <c r="O83" s="230"/>
      <c r="P83" s="230"/>
      <c r="Q83" s="229" t="e">
        <f>IF(K83="nio",0,IF(K83&gt;0,K83*I83/W83,0))*VLOOKUP(B83,'2-Kosten per locatie'!$A$14:$C$25,3,FALSE)</f>
        <v>#DIV/0!</v>
      </c>
      <c r="R83" s="229">
        <f>IF(L83&gt;0,L83*I83/X83,0)*VLOOKUP(B83,'2-Kosten per locatie'!$A$14:$C$25,3,FALSE)</f>
        <v>0</v>
      </c>
      <c r="S83" s="229">
        <f>IF(M83&gt;0,M83*I83/Y83,0)*VLOOKUP(B83,'2-Kosten per locatie'!$A$14:$C$25,3,FALSE)</f>
        <v>0</v>
      </c>
      <c r="T83" s="229">
        <f>IF(N83&gt;0,N83*I83/Z83,0)*VLOOKUP(B83,'2-Kosten per locatie'!$A$14:$C$25,3,FALSE)</f>
        <v>0</v>
      </c>
      <c r="U83" s="229">
        <f>IF(O83&gt;0,O83*I83/Y83,0)*VLOOKUP(B83,'2-Kosten per locatie'!$A$14:$C$25,3,FALSE)</f>
        <v>0</v>
      </c>
      <c r="V83" s="229">
        <f>IF(P83&gt;0,P83*I83/Z83,0)*VLOOKUP(B83,'2-Kosten per locatie'!$A$14:$C$25,3,FALSE)</f>
        <v>0</v>
      </c>
      <c r="W83" s="307">
        <f>IF(K83="nio",0,IF(K83&gt;0,VLOOKUP(G83,'3-Productie normen'!A:R,VLOOKUP(K83,'3-Productie normen'!$B$29:$C$41,2,FALSE),FALSE)))</f>
        <v>0</v>
      </c>
      <c r="X83" s="307">
        <f t="shared" si="17"/>
        <v>0</v>
      </c>
      <c r="Y83" s="307">
        <f t="shared" si="18"/>
        <v>0</v>
      </c>
      <c r="Z83" s="307">
        <f t="shared" si="19"/>
        <v>0</v>
      </c>
      <c r="AA83" s="308">
        <f>VLOOKUP(G83,'3-Productie normen'!A:U,15,FALSE)</f>
        <v>0</v>
      </c>
      <c r="AB83" s="309">
        <f>VLOOKUP(G83,'3-Productie normen'!A:U,16,FALSE)</f>
        <v>198.56500000000014</v>
      </c>
      <c r="AC83" s="308"/>
      <c r="AE83" s="310">
        <f t="shared" si="20"/>
        <v>782.84999999999991</v>
      </c>
    </row>
    <row r="84" spans="1:31" ht="14.1" hidden="1" customHeight="1">
      <c r="A84" s="75">
        <v>80</v>
      </c>
      <c r="B84" s="380" t="s">
        <v>53</v>
      </c>
      <c r="C84" s="276" t="s">
        <v>235</v>
      </c>
      <c r="D84" s="304" t="s">
        <v>236</v>
      </c>
      <c r="E84" s="305">
        <v>13</v>
      </c>
      <c r="F84" s="71" t="s">
        <v>244</v>
      </c>
      <c r="G84" s="71" t="s">
        <v>98</v>
      </c>
      <c r="H84" s="71" t="s">
        <v>185</v>
      </c>
      <c r="I84" s="388">
        <v>16.649999999999999</v>
      </c>
      <c r="J84" s="306">
        <f t="shared" si="16"/>
        <v>255</v>
      </c>
      <c r="K84" s="230">
        <v>255</v>
      </c>
      <c r="L84" s="230"/>
      <c r="M84" s="230"/>
      <c r="N84" s="230"/>
      <c r="O84" s="230"/>
      <c r="P84" s="230"/>
      <c r="Q84" s="229" t="e">
        <f>IF(K84="nio",0,IF(K84&gt;0,K84*I84/W84,0))*VLOOKUP(B84,'2-Kosten per locatie'!$A$14:$C$25,3,FALSE)</f>
        <v>#DIV/0!</v>
      </c>
      <c r="R84" s="229">
        <f>IF(L84&gt;0,L84*I84/X84,0)*VLOOKUP(B84,'2-Kosten per locatie'!$A$14:$C$25,3,FALSE)</f>
        <v>0</v>
      </c>
      <c r="S84" s="229">
        <f>IF(M84&gt;0,M84*I84/Y84,0)*VLOOKUP(B84,'2-Kosten per locatie'!$A$14:$C$25,3,FALSE)</f>
        <v>0</v>
      </c>
      <c r="T84" s="229">
        <f>IF(N84&gt;0,N84*I84/Z84,0)*VLOOKUP(B84,'2-Kosten per locatie'!$A$14:$C$25,3,FALSE)</f>
        <v>0</v>
      </c>
      <c r="U84" s="229">
        <f>IF(O84&gt;0,O84*I84/Y84,0)*VLOOKUP(B84,'2-Kosten per locatie'!$A$14:$C$25,3,FALSE)</f>
        <v>0</v>
      </c>
      <c r="V84" s="229">
        <f>IF(P84&gt;0,P84*I84/Z84,0)*VLOOKUP(B84,'2-Kosten per locatie'!$A$14:$C$25,3,FALSE)</f>
        <v>0</v>
      </c>
      <c r="W84" s="307">
        <f>IF(K84="nio",0,IF(K84&gt;0,VLOOKUP(G84,'3-Productie normen'!A:R,VLOOKUP(K84,'3-Productie normen'!$B$29:$C$41,2,FALSE),FALSE)))</f>
        <v>0</v>
      </c>
      <c r="X84" s="307">
        <f t="shared" si="17"/>
        <v>0</v>
      </c>
      <c r="Y84" s="307">
        <f t="shared" si="18"/>
        <v>0</v>
      </c>
      <c r="Z84" s="307">
        <f t="shared" si="19"/>
        <v>0</v>
      </c>
      <c r="AA84" s="308">
        <f>VLOOKUP(G84,'3-Productie normen'!A:U,15,FALSE)</f>
        <v>0</v>
      </c>
      <c r="AB84" s="309">
        <f>VLOOKUP(G84,'3-Productie normen'!A:U,16,FALSE)</f>
        <v>467.3</v>
      </c>
      <c r="AC84" s="308"/>
      <c r="AE84" s="310">
        <f t="shared" si="20"/>
        <v>4245.75</v>
      </c>
    </row>
    <row r="85" spans="1:31" ht="14.1" hidden="1" customHeight="1">
      <c r="A85" s="75">
        <v>81</v>
      </c>
      <c r="B85" s="380" t="s">
        <v>53</v>
      </c>
      <c r="C85" s="276" t="s">
        <v>235</v>
      </c>
      <c r="D85" s="304" t="s">
        <v>236</v>
      </c>
      <c r="E85" s="305">
        <v>14</v>
      </c>
      <c r="F85" s="71" t="s">
        <v>245</v>
      </c>
      <c r="G85" s="71" t="s">
        <v>103</v>
      </c>
      <c r="H85" s="71" t="s">
        <v>239</v>
      </c>
      <c r="I85" s="388">
        <v>2.44</v>
      </c>
      <c r="J85" s="306">
        <f t="shared" si="16"/>
        <v>255</v>
      </c>
      <c r="K85" s="230">
        <v>255</v>
      </c>
      <c r="L85" s="230"/>
      <c r="M85" s="230"/>
      <c r="N85" s="230"/>
      <c r="O85" s="230"/>
      <c r="P85" s="230"/>
      <c r="Q85" s="229" t="e">
        <f>IF(K85="nio",0,IF(K85&gt;0,K85*I85/W85,0))*VLOOKUP(B85,'2-Kosten per locatie'!$A$14:$C$25,3,FALSE)</f>
        <v>#DIV/0!</v>
      </c>
      <c r="R85" s="229">
        <f>IF(L85&gt;0,L85*I85/X85,0)*VLOOKUP(B85,'2-Kosten per locatie'!$A$14:$C$25,3,FALSE)</f>
        <v>0</v>
      </c>
      <c r="S85" s="229">
        <f>IF(M85&gt;0,M85*I85/Y85,0)*VLOOKUP(B85,'2-Kosten per locatie'!$A$14:$C$25,3,FALSE)</f>
        <v>0</v>
      </c>
      <c r="T85" s="229">
        <f>IF(N85&gt;0,N85*I85/Z85,0)*VLOOKUP(B85,'2-Kosten per locatie'!$A$14:$C$25,3,FALSE)</f>
        <v>0</v>
      </c>
      <c r="U85" s="229">
        <f>IF(O85&gt;0,O85*I85/Y85,0)*VLOOKUP(B85,'2-Kosten per locatie'!$A$14:$C$25,3,FALSE)</f>
        <v>0</v>
      </c>
      <c r="V85" s="229">
        <f>IF(P85&gt;0,P85*I85/Z85,0)*VLOOKUP(B85,'2-Kosten per locatie'!$A$14:$C$25,3,FALSE)</f>
        <v>0</v>
      </c>
      <c r="W85" s="307">
        <f>IF(K85="nio",0,IF(K85&gt;0,VLOOKUP(G85,'3-Productie normen'!A:R,VLOOKUP(K85,'3-Productie normen'!$B$29:$C$41,2,FALSE),FALSE)))</f>
        <v>0</v>
      </c>
      <c r="X85" s="307">
        <f t="shared" si="17"/>
        <v>0</v>
      </c>
      <c r="Y85" s="307">
        <f t="shared" si="18"/>
        <v>0</v>
      </c>
      <c r="Z85" s="307">
        <f t="shared" si="19"/>
        <v>0</v>
      </c>
      <c r="AA85" s="308">
        <f>VLOOKUP(G85,'3-Productie normen'!A:U,15,FALSE)</f>
        <v>0</v>
      </c>
      <c r="AB85" s="309">
        <f>VLOOKUP(G85,'3-Productie normen'!A:U,16,FALSE)</f>
        <v>198.56500000000014</v>
      </c>
      <c r="AC85" s="308"/>
      <c r="AE85" s="310">
        <f t="shared" si="20"/>
        <v>622.19999999999993</v>
      </c>
    </row>
    <row r="86" spans="1:31" ht="14.1" hidden="1" customHeight="1">
      <c r="A86" s="75">
        <v>82</v>
      </c>
      <c r="B86" s="380" t="s">
        <v>53</v>
      </c>
      <c r="C86" s="276" t="s">
        <v>235</v>
      </c>
      <c r="D86" s="304" t="s">
        <v>236</v>
      </c>
      <c r="E86" s="305">
        <v>15</v>
      </c>
      <c r="F86" s="71" t="s">
        <v>246</v>
      </c>
      <c r="G86" s="71" t="s">
        <v>92</v>
      </c>
      <c r="H86" s="71" t="s">
        <v>239</v>
      </c>
      <c r="I86" s="388">
        <v>6.6400000000000006</v>
      </c>
      <c r="J86" s="306">
        <f t="shared" si="16"/>
        <v>255</v>
      </c>
      <c r="K86" s="230">
        <v>255</v>
      </c>
      <c r="L86" s="230"/>
      <c r="M86" s="230"/>
      <c r="N86" s="230"/>
      <c r="O86" s="230"/>
      <c r="P86" s="230"/>
      <c r="Q86" s="229" t="e">
        <f>IF(K86="nio",0,IF(K86&gt;0,K86*I86/W86,0))*VLOOKUP(B86,'2-Kosten per locatie'!$A$14:$C$25,3,FALSE)</f>
        <v>#DIV/0!</v>
      </c>
      <c r="R86" s="229">
        <f>IF(L86&gt;0,L86*I86/X86,0)*VLOOKUP(B86,'2-Kosten per locatie'!$A$14:$C$25,3,FALSE)</f>
        <v>0</v>
      </c>
      <c r="S86" s="229">
        <f>IF(M86&gt;0,M86*I86/Y86,0)*VLOOKUP(B86,'2-Kosten per locatie'!$A$14:$C$25,3,FALSE)</f>
        <v>0</v>
      </c>
      <c r="T86" s="229">
        <f>IF(N86&gt;0,N86*I86/Z86,0)*VLOOKUP(B86,'2-Kosten per locatie'!$A$14:$C$25,3,FALSE)</f>
        <v>0</v>
      </c>
      <c r="U86" s="229">
        <f>IF(O86&gt;0,O86*I86/Y86,0)*VLOOKUP(B86,'2-Kosten per locatie'!$A$14:$C$25,3,FALSE)</f>
        <v>0</v>
      </c>
      <c r="V86" s="229">
        <f>IF(P86&gt;0,P86*I86/Z86,0)*VLOOKUP(B86,'2-Kosten per locatie'!$A$14:$C$25,3,FALSE)</f>
        <v>0</v>
      </c>
      <c r="W86" s="307">
        <f>IF(K86="nio",0,IF(K86&gt;0,VLOOKUP(G86,'3-Productie normen'!A:R,VLOOKUP(K86,'3-Productie normen'!$B$29:$C$41,2,FALSE),FALSE)))</f>
        <v>0</v>
      </c>
      <c r="X86" s="307">
        <f t="shared" si="17"/>
        <v>0</v>
      </c>
      <c r="Y86" s="307">
        <f t="shared" si="18"/>
        <v>0</v>
      </c>
      <c r="Z86" s="307">
        <f t="shared" si="19"/>
        <v>0</v>
      </c>
      <c r="AA86" s="308">
        <f>VLOOKUP(G86,'3-Productie normen'!A:U,15,FALSE)</f>
        <v>0</v>
      </c>
      <c r="AB86" s="309">
        <f>VLOOKUP(G86,'3-Productie normen'!A:U,16,FALSE)</f>
        <v>915.88999999999976</v>
      </c>
      <c r="AC86" s="308"/>
      <c r="AE86" s="310">
        <f t="shared" si="20"/>
        <v>1693.2</v>
      </c>
    </row>
    <row r="87" spans="1:31" ht="14.1" hidden="1" customHeight="1">
      <c r="A87" s="75">
        <v>83</v>
      </c>
      <c r="B87" s="380" t="s">
        <v>53</v>
      </c>
      <c r="C87" s="276" t="s">
        <v>235</v>
      </c>
      <c r="D87" s="304" t="s">
        <v>236</v>
      </c>
      <c r="E87" s="305">
        <v>16</v>
      </c>
      <c r="F87" s="71" t="s">
        <v>247</v>
      </c>
      <c r="G87" s="71" t="s">
        <v>92</v>
      </c>
      <c r="H87" s="71" t="s">
        <v>156</v>
      </c>
      <c r="I87" s="388">
        <v>3.28</v>
      </c>
      <c r="J87" s="306">
        <f t="shared" si="16"/>
        <v>255</v>
      </c>
      <c r="K87" s="230">
        <v>255</v>
      </c>
      <c r="L87" s="230"/>
      <c r="M87" s="230"/>
      <c r="N87" s="230"/>
      <c r="O87" s="230"/>
      <c r="P87" s="230"/>
      <c r="Q87" s="229" t="e">
        <f>IF(K87="nio",0,IF(K87&gt;0,K87*I87/W87,0))*VLOOKUP(B87,'2-Kosten per locatie'!$A$14:$C$25,3,FALSE)</f>
        <v>#DIV/0!</v>
      </c>
      <c r="R87" s="229">
        <f>IF(L87&gt;0,L87*I87/X87,0)*VLOOKUP(B87,'2-Kosten per locatie'!$A$14:$C$25,3,FALSE)</f>
        <v>0</v>
      </c>
      <c r="S87" s="229">
        <f>IF(M87&gt;0,M87*I87/Y87,0)*VLOOKUP(B87,'2-Kosten per locatie'!$A$14:$C$25,3,FALSE)</f>
        <v>0</v>
      </c>
      <c r="T87" s="229">
        <f>IF(N87&gt;0,N87*I87/Z87,0)*VLOOKUP(B87,'2-Kosten per locatie'!$A$14:$C$25,3,FALSE)</f>
        <v>0</v>
      </c>
      <c r="U87" s="229">
        <f>IF(O87&gt;0,O87*I87/Y87,0)*VLOOKUP(B87,'2-Kosten per locatie'!$A$14:$C$25,3,FALSE)</f>
        <v>0</v>
      </c>
      <c r="V87" s="229">
        <f>IF(P87&gt;0,P87*I87/Z87,0)*VLOOKUP(B87,'2-Kosten per locatie'!$A$14:$C$25,3,FALSE)</f>
        <v>0</v>
      </c>
      <c r="W87" s="307">
        <f>IF(K87="nio",0,IF(K87&gt;0,VLOOKUP(G87,'3-Productie normen'!A:R,VLOOKUP(K87,'3-Productie normen'!$B$29:$C$41,2,FALSE),FALSE)))</f>
        <v>0</v>
      </c>
      <c r="X87" s="307">
        <f t="shared" si="17"/>
        <v>0</v>
      </c>
      <c r="Y87" s="307">
        <f t="shared" si="18"/>
        <v>0</v>
      </c>
      <c r="Z87" s="307">
        <f t="shared" si="19"/>
        <v>0</v>
      </c>
      <c r="AA87" s="308">
        <f>VLOOKUP(G87,'3-Productie normen'!A:U,15,FALSE)</f>
        <v>0</v>
      </c>
      <c r="AB87" s="309">
        <f>VLOOKUP(G87,'3-Productie normen'!A:U,16,FALSE)</f>
        <v>915.88999999999976</v>
      </c>
      <c r="AC87" s="308"/>
      <c r="AE87" s="310">
        <f t="shared" si="20"/>
        <v>836.4</v>
      </c>
    </row>
    <row r="88" spans="1:31" ht="14.1" hidden="1" customHeight="1">
      <c r="A88" s="75">
        <v>84</v>
      </c>
      <c r="B88" s="380" t="s">
        <v>53</v>
      </c>
      <c r="C88" s="276" t="s">
        <v>235</v>
      </c>
      <c r="D88" s="304" t="s">
        <v>236</v>
      </c>
      <c r="E88" s="305">
        <v>17</v>
      </c>
      <c r="F88" s="71" t="s">
        <v>234</v>
      </c>
      <c r="G88" s="71" t="s">
        <v>98</v>
      </c>
      <c r="H88" s="71" t="s">
        <v>185</v>
      </c>
      <c r="I88" s="388">
        <v>16.690000000000001</v>
      </c>
      <c r="J88" s="306">
        <f t="shared" si="16"/>
        <v>255</v>
      </c>
      <c r="K88" s="230">
        <v>255</v>
      </c>
      <c r="L88" s="230"/>
      <c r="M88" s="230"/>
      <c r="N88" s="230"/>
      <c r="O88" s="230"/>
      <c r="P88" s="230"/>
      <c r="Q88" s="229" t="e">
        <f>IF(K88="nio",0,IF(K88&gt;0,K88*I88/W88,0))*VLOOKUP(B88,'2-Kosten per locatie'!$A$14:$C$25,3,FALSE)</f>
        <v>#DIV/0!</v>
      </c>
      <c r="R88" s="229">
        <f>IF(L88&gt;0,L88*I88/X88,0)*VLOOKUP(B88,'2-Kosten per locatie'!$A$14:$C$25,3,FALSE)</f>
        <v>0</v>
      </c>
      <c r="S88" s="229">
        <f>IF(M88&gt;0,M88*I88/Y88,0)*VLOOKUP(B88,'2-Kosten per locatie'!$A$14:$C$25,3,FALSE)</f>
        <v>0</v>
      </c>
      <c r="T88" s="229">
        <f>IF(N88&gt;0,N88*I88/Z88,0)*VLOOKUP(B88,'2-Kosten per locatie'!$A$14:$C$25,3,FALSE)</f>
        <v>0</v>
      </c>
      <c r="U88" s="229">
        <f>IF(O88&gt;0,O88*I88/Y88,0)*VLOOKUP(B88,'2-Kosten per locatie'!$A$14:$C$25,3,FALSE)</f>
        <v>0</v>
      </c>
      <c r="V88" s="229">
        <f>IF(P88&gt;0,P88*I88/Z88,0)*VLOOKUP(B88,'2-Kosten per locatie'!$A$14:$C$25,3,FALSE)</f>
        <v>0</v>
      </c>
      <c r="W88" s="307">
        <f>IF(K88="nio",0,IF(K88&gt;0,VLOOKUP(G88,'3-Productie normen'!A:R,VLOOKUP(K88,'3-Productie normen'!$B$29:$C$41,2,FALSE),FALSE)))</f>
        <v>0</v>
      </c>
      <c r="X88" s="307">
        <f t="shared" si="17"/>
        <v>0</v>
      </c>
      <c r="Y88" s="307">
        <f t="shared" si="18"/>
        <v>0</v>
      </c>
      <c r="Z88" s="307">
        <f t="shared" si="19"/>
        <v>0</v>
      </c>
      <c r="AA88" s="308">
        <f>VLOOKUP(G88,'3-Productie normen'!A:U,15,FALSE)</f>
        <v>0</v>
      </c>
      <c r="AB88" s="309">
        <f>VLOOKUP(G88,'3-Productie normen'!A:U,16,FALSE)</f>
        <v>467.3</v>
      </c>
      <c r="AC88" s="308"/>
      <c r="AE88" s="310">
        <f t="shared" si="20"/>
        <v>4255.9500000000007</v>
      </c>
    </row>
    <row r="89" spans="1:31" ht="14.1" hidden="1" customHeight="1">
      <c r="A89" s="75">
        <v>85</v>
      </c>
      <c r="B89" s="380" t="s">
        <v>53</v>
      </c>
      <c r="C89" s="276" t="s">
        <v>235</v>
      </c>
      <c r="D89" s="304" t="s">
        <v>236</v>
      </c>
      <c r="E89" s="305">
        <v>18</v>
      </c>
      <c r="F89" s="71" t="s">
        <v>245</v>
      </c>
      <c r="G89" s="71" t="s">
        <v>103</v>
      </c>
      <c r="H89" s="71" t="s">
        <v>239</v>
      </c>
      <c r="I89" s="388">
        <v>2.44</v>
      </c>
      <c r="J89" s="306">
        <f t="shared" si="16"/>
        <v>255</v>
      </c>
      <c r="K89" s="230">
        <v>255</v>
      </c>
      <c r="L89" s="230"/>
      <c r="M89" s="230"/>
      <c r="N89" s="230"/>
      <c r="O89" s="230"/>
      <c r="P89" s="230"/>
      <c r="Q89" s="229" t="e">
        <f>IF(K89="nio",0,IF(K89&gt;0,K89*I89/W89,0))*VLOOKUP(B89,'2-Kosten per locatie'!$A$14:$C$25,3,FALSE)</f>
        <v>#DIV/0!</v>
      </c>
      <c r="R89" s="229">
        <f>IF(L89&gt;0,L89*I89/X89,0)*VLOOKUP(B89,'2-Kosten per locatie'!$A$14:$C$25,3,FALSE)</f>
        <v>0</v>
      </c>
      <c r="S89" s="229">
        <f>IF(M89&gt;0,M89*I89/Y89,0)*VLOOKUP(B89,'2-Kosten per locatie'!$A$14:$C$25,3,FALSE)</f>
        <v>0</v>
      </c>
      <c r="T89" s="229">
        <f>IF(N89&gt;0,N89*I89/Z89,0)*VLOOKUP(B89,'2-Kosten per locatie'!$A$14:$C$25,3,FALSE)</f>
        <v>0</v>
      </c>
      <c r="U89" s="229">
        <f>IF(O89&gt;0,O89*I89/Y89,0)*VLOOKUP(B89,'2-Kosten per locatie'!$A$14:$C$25,3,FALSE)</f>
        <v>0</v>
      </c>
      <c r="V89" s="229">
        <f>IF(P89&gt;0,P89*I89/Z89,0)*VLOOKUP(B89,'2-Kosten per locatie'!$A$14:$C$25,3,FALSE)</f>
        <v>0</v>
      </c>
      <c r="W89" s="307">
        <f>IF(K89="nio",0,IF(K89&gt;0,VLOOKUP(G89,'3-Productie normen'!A:R,VLOOKUP(K89,'3-Productie normen'!$B$29:$C$41,2,FALSE),FALSE)))</f>
        <v>0</v>
      </c>
      <c r="X89" s="307">
        <f t="shared" si="17"/>
        <v>0</v>
      </c>
      <c r="Y89" s="307">
        <f t="shared" si="18"/>
        <v>0</v>
      </c>
      <c r="Z89" s="307">
        <f t="shared" si="19"/>
        <v>0</v>
      </c>
      <c r="AA89" s="308">
        <f>VLOOKUP(G89,'3-Productie normen'!A:U,15,FALSE)</f>
        <v>0</v>
      </c>
      <c r="AB89" s="309">
        <f>VLOOKUP(G89,'3-Productie normen'!A:U,16,FALSE)</f>
        <v>198.56500000000014</v>
      </c>
      <c r="AC89" s="308"/>
      <c r="AE89" s="310">
        <f t="shared" si="20"/>
        <v>622.19999999999993</v>
      </c>
    </row>
    <row r="90" spans="1:31" ht="14.1" hidden="1" customHeight="1">
      <c r="A90" s="75">
        <v>86</v>
      </c>
      <c r="B90" s="380" t="s">
        <v>53</v>
      </c>
      <c r="C90" s="276" t="s">
        <v>235</v>
      </c>
      <c r="D90" s="304" t="s">
        <v>236</v>
      </c>
      <c r="E90" s="305">
        <v>19</v>
      </c>
      <c r="F90" s="71" t="s">
        <v>246</v>
      </c>
      <c r="G90" s="71" t="s">
        <v>92</v>
      </c>
      <c r="H90" s="71" t="s">
        <v>239</v>
      </c>
      <c r="I90" s="388">
        <v>6.6400000000000006</v>
      </c>
      <c r="J90" s="306">
        <f t="shared" si="16"/>
        <v>255</v>
      </c>
      <c r="K90" s="230">
        <v>255</v>
      </c>
      <c r="L90" s="230"/>
      <c r="M90" s="230"/>
      <c r="N90" s="230"/>
      <c r="O90" s="230"/>
      <c r="P90" s="230"/>
      <c r="Q90" s="229" t="e">
        <f>IF(K90="nio",0,IF(K90&gt;0,K90*I90/W90,0))*VLOOKUP(B90,'2-Kosten per locatie'!$A$14:$C$25,3,FALSE)</f>
        <v>#DIV/0!</v>
      </c>
      <c r="R90" s="229">
        <f>IF(L90&gt;0,L90*I90/X90,0)*VLOOKUP(B90,'2-Kosten per locatie'!$A$14:$C$25,3,FALSE)</f>
        <v>0</v>
      </c>
      <c r="S90" s="229">
        <f>IF(M90&gt;0,M90*I90/Y90,0)*VLOOKUP(B90,'2-Kosten per locatie'!$A$14:$C$25,3,FALSE)</f>
        <v>0</v>
      </c>
      <c r="T90" s="229">
        <f>IF(N90&gt;0,N90*I90/Z90,0)*VLOOKUP(B90,'2-Kosten per locatie'!$A$14:$C$25,3,FALSE)</f>
        <v>0</v>
      </c>
      <c r="U90" s="229">
        <f>IF(O90&gt;0,O90*I90/Y90,0)*VLOOKUP(B90,'2-Kosten per locatie'!$A$14:$C$25,3,FALSE)</f>
        <v>0</v>
      </c>
      <c r="V90" s="229">
        <f>IF(P90&gt;0,P90*I90/Z90,0)*VLOOKUP(B90,'2-Kosten per locatie'!$A$14:$C$25,3,FALSE)</f>
        <v>0</v>
      </c>
      <c r="W90" s="307">
        <f>IF(K90="nio",0,IF(K90&gt;0,VLOOKUP(G90,'3-Productie normen'!A:R,VLOOKUP(K90,'3-Productie normen'!$B$29:$C$41,2,FALSE),FALSE)))</f>
        <v>0</v>
      </c>
      <c r="X90" s="307">
        <f t="shared" si="17"/>
        <v>0</v>
      </c>
      <c r="Y90" s="307">
        <f t="shared" si="18"/>
        <v>0</v>
      </c>
      <c r="Z90" s="307">
        <f t="shared" si="19"/>
        <v>0</v>
      </c>
      <c r="AA90" s="308">
        <f>VLOOKUP(G90,'3-Productie normen'!A:U,15,FALSE)</f>
        <v>0</v>
      </c>
      <c r="AB90" s="309">
        <f>VLOOKUP(G90,'3-Productie normen'!A:U,16,FALSE)</f>
        <v>915.88999999999976</v>
      </c>
      <c r="AC90" s="308"/>
      <c r="AE90" s="310">
        <f t="shared" si="20"/>
        <v>1693.2</v>
      </c>
    </row>
    <row r="91" spans="1:31" ht="14.1" hidden="1" customHeight="1">
      <c r="A91" s="75">
        <v>87</v>
      </c>
      <c r="B91" s="380" t="s">
        <v>53</v>
      </c>
      <c r="C91" s="276" t="s">
        <v>235</v>
      </c>
      <c r="D91" s="304" t="s">
        <v>236</v>
      </c>
      <c r="E91" s="305">
        <v>20</v>
      </c>
      <c r="F91" s="71" t="s">
        <v>248</v>
      </c>
      <c r="G91" s="71" t="s">
        <v>100</v>
      </c>
      <c r="H91" s="71" t="s">
        <v>249</v>
      </c>
      <c r="I91" s="388">
        <v>30.63</v>
      </c>
      <c r="J91" s="306">
        <f t="shared" si="16"/>
        <v>255</v>
      </c>
      <c r="K91" s="230">
        <v>255</v>
      </c>
      <c r="L91" s="230"/>
      <c r="M91" s="230"/>
      <c r="N91" s="230"/>
      <c r="O91" s="230"/>
      <c r="P91" s="230"/>
      <c r="Q91" s="229" t="e">
        <f>IF(K91="nio",0,IF(K91&gt;0,K91*I91/W91,0))*VLOOKUP(B91,'2-Kosten per locatie'!$A$14:$C$25,3,FALSE)</f>
        <v>#DIV/0!</v>
      </c>
      <c r="R91" s="229">
        <f>IF(L91&gt;0,L91*I91/X91,0)*VLOOKUP(B91,'2-Kosten per locatie'!$A$14:$C$25,3,FALSE)</f>
        <v>0</v>
      </c>
      <c r="S91" s="229">
        <f>IF(M91&gt;0,M91*I91/Y91,0)*VLOOKUP(B91,'2-Kosten per locatie'!$A$14:$C$25,3,FALSE)</f>
        <v>0</v>
      </c>
      <c r="T91" s="229">
        <f>IF(N91&gt;0,N91*I91/Z91,0)*VLOOKUP(B91,'2-Kosten per locatie'!$A$14:$C$25,3,FALSE)</f>
        <v>0</v>
      </c>
      <c r="U91" s="229">
        <f>IF(O91&gt;0,O91*I91/Y91,0)*VLOOKUP(B91,'2-Kosten per locatie'!$A$14:$C$25,3,FALSE)</f>
        <v>0</v>
      </c>
      <c r="V91" s="229">
        <f>IF(P91&gt;0,P91*I91/Z91,0)*VLOOKUP(B91,'2-Kosten per locatie'!$A$14:$C$25,3,FALSE)</f>
        <v>0</v>
      </c>
      <c r="W91" s="307">
        <f>IF(K91="nio",0,IF(K91&gt;0,VLOOKUP(G91,'3-Productie normen'!A:R,VLOOKUP(K91,'3-Productie normen'!$B$29:$C$41,2,FALSE),FALSE)))</f>
        <v>0</v>
      </c>
      <c r="X91" s="307">
        <f t="shared" si="17"/>
        <v>0</v>
      </c>
      <c r="Y91" s="307">
        <f t="shared" si="18"/>
        <v>0</v>
      </c>
      <c r="Z91" s="307">
        <f t="shared" si="19"/>
        <v>0</v>
      </c>
      <c r="AA91" s="308">
        <f>VLOOKUP(G91,'3-Productie normen'!A:U,15,FALSE)</f>
        <v>0</v>
      </c>
      <c r="AB91" s="309">
        <f>VLOOKUP(G91,'3-Productie normen'!A:U,16,FALSE)</f>
        <v>455.57899999999995</v>
      </c>
      <c r="AC91" s="308"/>
      <c r="AE91" s="310">
        <f t="shared" si="20"/>
        <v>7810.65</v>
      </c>
    </row>
    <row r="92" spans="1:31" ht="14.1" hidden="1" customHeight="1">
      <c r="A92" s="75">
        <v>88</v>
      </c>
      <c r="B92" s="380" t="s">
        <v>53</v>
      </c>
      <c r="C92" s="276" t="s">
        <v>235</v>
      </c>
      <c r="D92" s="304" t="s">
        <v>236</v>
      </c>
      <c r="E92" s="305">
        <v>21</v>
      </c>
      <c r="F92" s="71" t="s">
        <v>230</v>
      </c>
      <c r="G92" s="71" t="s">
        <v>100</v>
      </c>
      <c r="H92" s="71" t="s">
        <v>239</v>
      </c>
      <c r="I92" s="388">
        <v>18.68</v>
      </c>
      <c r="J92" s="306">
        <f t="shared" si="16"/>
        <v>255</v>
      </c>
      <c r="K92" s="230">
        <v>255</v>
      </c>
      <c r="L92" s="230"/>
      <c r="M92" s="230"/>
      <c r="N92" s="230"/>
      <c r="O92" s="230"/>
      <c r="P92" s="230"/>
      <c r="Q92" s="229" t="e">
        <f>IF(K92="nio",0,IF(K92&gt;0,K92*I92/W92,0))*VLOOKUP(B92,'2-Kosten per locatie'!$A$14:$C$25,3,FALSE)</f>
        <v>#DIV/0!</v>
      </c>
      <c r="R92" s="229">
        <f>IF(L92&gt;0,L92*I92/X92,0)*VLOOKUP(B92,'2-Kosten per locatie'!$A$14:$C$25,3,FALSE)</f>
        <v>0</v>
      </c>
      <c r="S92" s="229">
        <f>IF(M92&gt;0,M92*I92/Y92,0)*VLOOKUP(B92,'2-Kosten per locatie'!$A$14:$C$25,3,FALSE)</f>
        <v>0</v>
      </c>
      <c r="T92" s="229">
        <f>IF(N92&gt;0,N92*I92/Z92,0)*VLOOKUP(B92,'2-Kosten per locatie'!$A$14:$C$25,3,FALSE)</f>
        <v>0</v>
      </c>
      <c r="U92" s="229">
        <f>IF(O92&gt;0,O92*I92/Y92,0)*VLOOKUP(B92,'2-Kosten per locatie'!$A$14:$C$25,3,FALSE)</f>
        <v>0</v>
      </c>
      <c r="V92" s="229">
        <f>IF(P92&gt;0,P92*I92/Z92,0)*VLOOKUP(B92,'2-Kosten per locatie'!$A$14:$C$25,3,FALSE)</f>
        <v>0</v>
      </c>
      <c r="W92" s="307">
        <f>IF(K92="nio",0,IF(K92&gt;0,VLOOKUP(G92,'3-Productie normen'!A:R,VLOOKUP(K92,'3-Productie normen'!$B$29:$C$41,2,FALSE),FALSE)))</f>
        <v>0</v>
      </c>
      <c r="X92" s="307">
        <f t="shared" si="17"/>
        <v>0</v>
      </c>
      <c r="Y92" s="307">
        <f t="shared" si="18"/>
        <v>0</v>
      </c>
      <c r="Z92" s="307">
        <f t="shared" si="19"/>
        <v>0</v>
      </c>
      <c r="AA92" s="308">
        <f>VLOOKUP(G92,'3-Productie normen'!A:U,15,FALSE)</f>
        <v>0</v>
      </c>
      <c r="AB92" s="309">
        <f>VLOOKUP(G92,'3-Productie normen'!A:U,16,FALSE)</f>
        <v>455.57899999999995</v>
      </c>
      <c r="AC92" s="308"/>
      <c r="AE92" s="310">
        <f t="shared" si="20"/>
        <v>4763.3999999999996</v>
      </c>
    </row>
    <row r="93" spans="1:31" ht="14.1" hidden="1" customHeight="1">
      <c r="A93" s="75">
        <v>89</v>
      </c>
      <c r="B93" s="380" t="s">
        <v>53</v>
      </c>
      <c r="C93" s="276" t="s">
        <v>235</v>
      </c>
      <c r="D93" s="304" t="s">
        <v>236</v>
      </c>
      <c r="E93" s="305">
        <v>22</v>
      </c>
      <c r="F93" s="71" t="s">
        <v>164</v>
      </c>
      <c r="G93" s="71" t="s">
        <v>103</v>
      </c>
      <c r="H93" s="71" t="s">
        <v>239</v>
      </c>
      <c r="I93" s="388">
        <v>1.01</v>
      </c>
      <c r="J93" s="306">
        <f t="shared" si="16"/>
        <v>255</v>
      </c>
      <c r="K93" s="230">
        <v>255</v>
      </c>
      <c r="L93" s="230"/>
      <c r="M93" s="230"/>
      <c r="N93" s="230"/>
      <c r="O93" s="230"/>
      <c r="P93" s="230"/>
      <c r="Q93" s="229" t="e">
        <f>IF(K93="nio",0,IF(K93&gt;0,K93*I93/W93,0))*VLOOKUP(B93,'2-Kosten per locatie'!$A$14:$C$25,3,FALSE)</f>
        <v>#DIV/0!</v>
      </c>
      <c r="R93" s="229">
        <f>IF(L93&gt;0,L93*I93/X93,0)*VLOOKUP(B93,'2-Kosten per locatie'!$A$14:$C$25,3,FALSE)</f>
        <v>0</v>
      </c>
      <c r="S93" s="229">
        <f>IF(M93&gt;0,M93*I93/Y93,0)*VLOOKUP(B93,'2-Kosten per locatie'!$A$14:$C$25,3,FALSE)</f>
        <v>0</v>
      </c>
      <c r="T93" s="229">
        <f>IF(N93&gt;0,N93*I93/Z93,0)*VLOOKUP(B93,'2-Kosten per locatie'!$A$14:$C$25,3,FALSE)</f>
        <v>0</v>
      </c>
      <c r="U93" s="229">
        <f>IF(O93&gt;0,O93*I93/Y93,0)*VLOOKUP(B93,'2-Kosten per locatie'!$A$14:$C$25,3,FALSE)</f>
        <v>0</v>
      </c>
      <c r="V93" s="229">
        <f>IF(P93&gt;0,P93*I93/Z93,0)*VLOOKUP(B93,'2-Kosten per locatie'!$A$14:$C$25,3,FALSE)</f>
        <v>0</v>
      </c>
      <c r="W93" s="307">
        <f>IF(K93="nio",0,IF(K93&gt;0,VLOOKUP(G93,'3-Productie normen'!A:R,VLOOKUP(K93,'3-Productie normen'!$B$29:$C$41,2,FALSE),FALSE)))</f>
        <v>0</v>
      </c>
      <c r="X93" s="307">
        <f t="shared" si="17"/>
        <v>0</v>
      </c>
      <c r="Y93" s="307">
        <f t="shared" si="18"/>
        <v>0</v>
      </c>
      <c r="Z93" s="307">
        <f t="shared" si="19"/>
        <v>0</v>
      </c>
      <c r="AA93" s="308">
        <f>VLOOKUP(G93,'3-Productie normen'!A:U,15,FALSE)</f>
        <v>0</v>
      </c>
      <c r="AB93" s="309">
        <f>VLOOKUP(G93,'3-Productie normen'!A:U,16,FALSE)</f>
        <v>198.56500000000014</v>
      </c>
      <c r="AC93" s="308"/>
      <c r="AE93" s="310">
        <f t="shared" si="20"/>
        <v>257.55</v>
      </c>
    </row>
    <row r="94" spans="1:31" ht="14.1" hidden="1" customHeight="1">
      <c r="A94" s="75">
        <v>90</v>
      </c>
      <c r="B94" s="380" t="s">
        <v>53</v>
      </c>
      <c r="C94" s="276" t="s">
        <v>235</v>
      </c>
      <c r="D94" s="304" t="s">
        <v>236</v>
      </c>
      <c r="E94" s="305">
        <v>23</v>
      </c>
      <c r="F94" s="71" t="s">
        <v>244</v>
      </c>
      <c r="G94" s="71" t="s">
        <v>98</v>
      </c>
      <c r="H94" s="71" t="s">
        <v>185</v>
      </c>
      <c r="I94" s="388">
        <v>16.63</v>
      </c>
      <c r="J94" s="306">
        <f t="shared" si="16"/>
        <v>255</v>
      </c>
      <c r="K94" s="230">
        <v>255</v>
      </c>
      <c r="L94" s="230"/>
      <c r="M94" s="230"/>
      <c r="N94" s="230"/>
      <c r="O94" s="230"/>
      <c r="P94" s="230"/>
      <c r="Q94" s="229" t="e">
        <f>IF(K94="nio",0,IF(K94&gt;0,K94*I94/W94,0))*VLOOKUP(B94,'2-Kosten per locatie'!$A$14:$C$25,3,FALSE)</f>
        <v>#DIV/0!</v>
      </c>
      <c r="R94" s="229">
        <f>IF(L94&gt;0,L94*I94/X94,0)*VLOOKUP(B94,'2-Kosten per locatie'!$A$14:$C$25,3,FALSE)</f>
        <v>0</v>
      </c>
      <c r="S94" s="229">
        <f>IF(M94&gt;0,M94*I94/Y94,0)*VLOOKUP(B94,'2-Kosten per locatie'!$A$14:$C$25,3,FALSE)</f>
        <v>0</v>
      </c>
      <c r="T94" s="229">
        <f>IF(N94&gt;0,N94*I94/Z94,0)*VLOOKUP(B94,'2-Kosten per locatie'!$A$14:$C$25,3,FALSE)</f>
        <v>0</v>
      </c>
      <c r="U94" s="229">
        <f>IF(O94&gt;0,O94*I94/Y94,0)*VLOOKUP(B94,'2-Kosten per locatie'!$A$14:$C$25,3,FALSE)</f>
        <v>0</v>
      </c>
      <c r="V94" s="229">
        <f>IF(P94&gt;0,P94*I94/Z94,0)*VLOOKUP(B94,'2-Kosten per locatie'!$A$14:$C$25,3,FALSE)</f>
        <v>0</v>
      </c>
      <c r="W94" s="307">
        <f>IF(K94="nio",0,IF(K94&gt;0,VLOOKUP(G94,'3-Productie normen'!A:R,VLOOKUP(K94,'3-Productie normen'!$B$29:$C$41,2,FALSE),FALSE)))</f>
        <v>0</v>
      </c>
      <c r="X94" s="307">
        <f t="shared" si="17"/>
        <v>0</v>
      </c>
      <c r="Y94" s="307">
        <f t="shared" si="18"/>
        <v>0</v>
      </c>
      <c r="Z94" s="307">
        <f t="shared" si="19"/>
        <v>0</v>
      </c>
      <c r="AA94" s="308">
        <f>VLOOKUP(G94,'3-Productie normen'!A:U,15,FALSE)</f>
        <v>0</v>
      </c>
      <c r="AB94" s="309">
        <f>VLOOKUP(G94,'3-Productie normen'!A:U,16,FALSE)</f>
        <v>467.3</v>
      </c>
      <c r="AC94" s="308"/>
      <c r="AE94" s="310">
        <f t="shared" si="20"/>
        <v>4240.6499999999996</v>
      </c>
    </row>
    <row r="95" spans="1:31" ht="14.1" hidden="1" customHeight="1">
      <c r="A95" s="75">
        <v>91</v>
      </c>
      <c r="B95" s="380" t="s">
        <v>53</v>
      </c>
      <c r="C95" s="276" t="s">
        <v>235</v>
      </c>
      <c r="D95" s="304" t="s">
        <v>236</v>
      </c>
      <c r="E95" s="305">
        <v>24</v>
      </c>
      <c r="F95" s="71" t="s">
        <v>250</v>
      </c>
      <c r="G95" s="71" t="s">
        <v>100</v>
      </c>
      <c r="H95" s="71" t="s">
        <v>239</v>
      </c>
      <c r="I95" s="388">
        <v>35.619999999999997</v>
      </c>
      <c r="J95" s="306">
        <f t="shared" si="16"/>
        <v>255</v>
      </c>
      <c r="K95" s="230">
        <v>255</v>
      </c>
      <c r="L95" s="230"/>
      <c r="M95" s="230"/>
      <c r="N95" s="230"/>
      <c r="O95" s="230"/>
      <c r="P95" s="230"/>
      <c r="Q95" s="229" t="e">
        <f>IF(K95="nio",0,IF(K95&gt;0,K95*I95/W95,0))*VLOOKUP(B95,'2-Kosten per locatie'!$A$14:$C$25,3,FALSE)</f>
        <v>#DIV/0!</v>
      </c>
      <c r="R95" s="229">
        <f>IF(L95&gt;0,L95*I95/X95,0)*VLOOKUP(B95,'2-Kosten per locatie'!$A$14:$C$25,3,FALSE)</f>
        <v>0</v>
      </c>
      <c r="S95" s="229">
        <f>IF(M95&gt;0,M95*I95/Y95,0)*VLOOKUP(B95,'2-Kosten per locatie'!$A$14:$C$25,3,FALSE)</f>
        <v>0</v>
      </c>
      <c r="T95" s="229">
        <f>IF(N95&gt;0,N95*I95/Z95,0)*VLOOKUP(B95,'2-Kosten per locatie'!$A$14:$C$25,3,FALSE)</f>
        <v>0</v>
      </c>
      <c r="U95" s="229">
        <f>IF(O95&gt;0,O95*I95/Y95,0)*VLOOKUP(B95,'2-Kosten per locatie'!$A$14:$C$25,3,FALSE)</f>
        <v>0</v>
      </c>
      <c r="V95" s="229">
        <f>IF(P95&gt;0,P95*I95/Z95,0)*VLOOKUP(B95,'2-Kosten per locatie'!$A$14:$C$25,3,FALSE)</f>
        <v>0</v>
      </c>
      <c r="W95" s="307">
        <f>IF(K95="nio",0,IF(K95&gt;0,VLOOKUP(G95,'3-Productie normen'!A:R,VLOOKUP(K95,'3-Productie normen'!$B$29:$C$41,2,FALSE),FALSE)))</f>
        <v>0</v>
      </c>
      <c r="X95" s="307">
        <f t="shared" si="17"/>
        <v>0</v>
      </c>
      <c r="Y95" s="307">
        <f t="shared" si="18"/>
        <v>0</v>
      </c>
      <c r="Z95" s="307">
        <f t="shared" si="19"/>
        <v>0</v>
      </c>
      <c r="AA95" s="308">
        <f>VLOOKUP(G95,'3-Productie normen'!A:U,15,FALSE)</f>
        <v>0</v>
      </c>
      <c r="AB95" s="309">
        <f>VLOOKUP(G95,'3-Productie normen'!A:U,16,FALSE)</f>
        <v>455.57899999999995</v>
      </c>
      <c r="AC95" s="308"/>
      <c r="AE95" s="310">
        <f t="shared" si="20"/>
        <v>9083.0999999999985</v>
      </c>
    </row>
    <row r="96" spans="1:31" ht="14.1" hidden="1" customHeight="1">
      <c r="A96" s="75">
        <v>92</v>
      </c>
      <c r="B96" s="380" t="s">
        <v>53</v>
      </c>
      <c r="C96" s="276" t="s">
        <v>235</v>
      </c>
      <c r="D96" s="304" t="s">
        <v>236</v>
      </c>
      <c r="E96" s="305">
        <v>25</v>
      </c>
      <c r="F96" s="71" t="s">
        <v>230</v>
      </c>
      <c r="G96" s="71" t="s">
        <v>100</v>
      </c>
      <c r="H96" s="71" t="s">
        <v>239</v>
      </c>
      <c r="I96" s="388">
        <v>18.68</v>
      </c>
      <c r="J96" s="306">
        <f t="shared" si="16"/>
        <v>255</v>
      </c>
      <c r="K96" s="230">
        <v>255</v>
      </c>
      <c r="L96" s="230"/>
      <c r="M96" s="230"/>
      <c r="N96" s="230"/>
      <c r="O96" s="230"/>
      <c r="P96" s="230"/>
      <c r="Q96" s="229" t="e">
        <f>IF(K96="nio",0,IF(K96&gt;0,K96*I96/W96,0))*VLOOKUP(B96,'2-Kosten per locatie'!$A$14:$C$25,3,FALSE)</f>
        <v>#DIV/0!</v>
      </c>
      <c r="R96" s="229">
        <f>IF(L96&gt;0,L96*I96/X96,0)*VLOOKUP(B96,'2-Kosten per locatie'!$A$14:$C$25,3,FALSE)</f>
        <v>0</v>
      </c>
      <c r="S96" s="229">
        <f>IF(M96&gt;0,M96*I96/Y96,0)*VLOOKUP(B96,'2-Kosten per locatie'!$A$14:$C$25,3,FALSE)</f>
        <v>0</v>
      </c>
      <c r="T96" s="229">
        <f>IF(N96&gt;0,N96*I96/Z96,0)*VLOOKUP(B96,'2-Kosten per locatie'!$A$14:$C$25,3,FALSE)</f>
        <v>0</v>
      </c>
      <c r="U96" s="229">
        <f>IF(O96&gt;0,O96*I96/Y96,0)*VLOOKUP(B96,'2-Kosten per locatie'!$A$14:$C$25,3,FALSE)</f>
        <v>0</v>
      </c>
      <c r="V96" s="229">
        <f>IF(P96&gt;0,P96*I96/Z96,0)*VLOOKUP(B96,'2-Kosten per locatie'!$A$14:$C$25,3,FALSE)</f>
        <v>0</v>
      </c>
      <c r="W96" s="307">
        <f>IF(K96="nio",0,IF(K96&gt;0,VLOOKUP(G96,'3-Productie normen'!A:R,VLOOKUP(K96,'3-Productie normen'!$B$29:$C$41,2,FALSE),FALSE)))</f>
        <v>0</v>
      </c>
      <c r="X96" s="307">
        <f t="shared" si="17"/>
        <v>0</v>
      </c>
      <c r="Y96" s="307">
        <f t="shared" si="18"/>
        <v>0</v>
      </c>
      <c r="Z96" s="307">
        <f t="shared" si="19"/>
        <v>0</v>
      </c>
      <c r="AA96" s="308">
        <f>VLOOKUP(G96,'3-Productie normen'!A:U,15,FALSE)</f>
        <v>0</v>
      </c>
      <c r="AB96" s="309">
        <f>VLOOKUP(G96,'3-Productie normen'!A:U,16,FALSE)</f>
        <v>455.57899999999995</v>
      </c>
      <c r="AC96" s="308"/>
      <c r="AE96" s="310">
        <f t="shared" si="20"/>
        <v>4763.3999999999996</v>
      </c>
    </row>
    <row r="97" spans="1:31" ht="14.1" hidden="1" customHeight="1">
      <c r="A97" s="75">
        <v>93</v>
      </c>
      <c r="B97" s="380" t="s">
        <v>53</v>
      </c>
      <c r="C97" s="276" t="s">
        <v>235</v>
      </c>
      <c r="D97" s="304" t="s">
        <v>236</v>
      </c>
      <c r="E97" s="305">
        <v>26</v>
      </c>
      <c r="F97" s="71" t="s">
        <v>164</v>
      </c>
      <c r="G97" s="71" t="s">
        <v>103</v>
      </c>
      <c r="H97" s="71" t="s">
        <v>239</v>
      </c>
      <c r="I97" s="388">
        <v>1.01</v>
      </c>
      <c r="J97" s="306">
        <f t="shared" si="16"/>
        <v>255</v>
      </c>
      <c r="K97" s="230">
        <v>255</v>
      </c>
      <c r="L97" s="230"/>
      <c r="M97" s="230"/>
      <c r="N97" s="230"/>
      <c r="O97" s="230"/>
      <c r="P97" s="230"/>
      <c r="Q97" s="229" t="e">
        <f>IF(K97="nio",0,IF(K97&gt;0,K97*I97/W97,0))*VLOOKUP(B97,'2-Kosten per locatie'!$A$14:$C$25,3,FALSE)</f>
        <v>#DIV/0!</v>
      </c>
      <c r="R97" s="229">
        <f>IF(L97&gt;0,L97*I97/X97,0)*VLOOKUP(B97,'2-Kosten per locatie'!$A$14:$C$25,3,FALSE)</f>
        <v>0</v>
      </c>
      <c r="S97" s="229">
        <f>IF(M97&gt;0,M97*I97/Y97,0)*VLOOKUP(B97,'2-Kosten per locatie'!$A$14:$C$25,3,FALSE)</f>
        <v>0</v>
      </c>
      <c r="T97" s="229">
        <f>IF(N97&gt;0,N97*I97/Z97,0)*VLOOKUP(B97,'2-Kosten per locatie'!$A$14:$C$25,3,FALSE)</f>
        <v>0</v>
      </c>
      <c r="U97" s="229">
        <f>IF(O97&gt;0,O97*I97/Y97,0)*VLOOKUP(B97,'2-Kosten per locatie'!$A$14:$C$25,3,FALSE)</f>
        <v>0</v>
      </c>
      <c r="V97" s="229">
        <f>IF(P97&gt;0,P97*I97/Z97,0)*VLOOKUP(B97,'2-Kosten per locatie'!$A$14:$C$25,3,FALSE)</f>
        <v>0</v>
      </c>
      <c r="W97" s="307">
        <f>IF(K97="nio",0,IF(K97&gt;0,VLOOKUP(G97,'3-Productie normen'!A:R,VLOOKUP(K97,'3-Productie normen'!$B$29:$C$41,2,FALSE),FALSE)))</f>
        <v>0</v>
      </c>
      <c r="X97" s="307">
        <f t="shared" si="17"/>
        <v>0</v>
      </c>
      <c r="Y97" s="307">
        <f t="shared" si="18"/>
        <v>0</v>
      </c>
      <c r="Z97" s="307">
        <f t="shared" si="19"/>
        <v>0</v>
      </c>
      <c r="AA97" s="308">
        <f>VLOOKUP(G97,'3-Productie normen'!A:U,15,FALSE)</f>
        <v>0</v>
      </c>
      <c r="AB97" s="309">
        <f>VLOOKUP(G97,'3-Productie normen'!A:U,16,FALSE)</f>
        <v>198.56500000000014</v>
      </c>
      <c r="AC97" s="308"/>
      <c r="AE97" s="310">
        <f t="shared" si="20"/>
        <v>257.55</v>
      </c>
    </row>
    <row r="98" spans="1:31" ht="14.1" hidden="1" customHeight="1">
      <c r="A98" s="75">
        <v>94</v>
      </c>
      <c r="B98" s="380" t="s">
        <v>53</v>
      </c>
      <c r="C98" s="276" t="s">
        <v>235</v>
      </c>
      <c r="D98" s="304" t="s">
        <v>236</v>
      </c>
      <c r="E98" s="305">
        <v>27</v>
      </c>
      <c r="F98" s="71" t="s">
        <v>251</v>
      </c>
      <c r="G98" s="71" t="s">
        <v>92</v>
      </c>
      <c r="H98" s="71" t="s">
        <v>239</v>
      </c>
      <c r="I98" s="388">
        <v>29.380000000000003</v>
      </c>
      <c r="J98" s="306">
        <f t="shared" si="16"/>
        <v>255</v>
      </c>
      <c r="K98" s="230">
        <v>255</v>
      </c>
      <c r="L98" s="230"/>
      <c r="M98" s="230"/>
      <c r="N98" s="230"/>
      <c r="O98" s="230"/>
      <c r="P98" s="230"/>
      <c r="Q98" s="229" t="e">
        <f>IF(K98="nio",0,IF(K98&gt;0,K98*I98/W98,0))*VLOOKUP(B98,'2-Kosten per locatie'!$A$14:$C$25,3,FALSE)</f>
        <v>#DIV/0!</v>
      </c>
      <c r="R98" s="229">
        <f>IF(L98&gt;0,L98*I98/X98,0)*VLOOKUP(B98,'2-Kosten per locatie'!$A$14:$C$25,3,FALSE)</f>
        <v>0</v>
      </c>
      <c r="S98" s="229">
        <f>IF(M98&gt;0,M98*I98/Y98,0)*VLOOKUP(B98,'2-Kosten per locatie'!$A$14:$C$25,3,FALSE)</f>
        <v>0</v>
      </c>
      <c r="T98" s="229">
        <f>IF(N98&gt;0,N98*I98/Z98,0)*VLOOKUP(B98,'2-Kosten per locatie'!$A$14:$C$25,3,FALSE)</f>
        <v>0</v>
      </c>
      <c r="U98" s="229">
        <f>IF(O98&gt;0,O98*I98/Y98,0)*VLOOKUP(B98,'2-Kosten per locatie'!$A$14:$C$25,3,FALSE)</f>
        <v>0</v>
      </c>
      <c r="V98" s="229">
        <f>IF(P98&gt;0,P98*I98/Z98,0)*VLOOKUP(B98,'2-Kosten per locatie'!$A$14:$C$25,3,FALSE)</f>
        <v>0</v>
      </c>
      <c r="W98" s="307">
        <f>IF(K98="nio",0,IF(K98&gt;0,VLOOKUP(G98,'3-Productie normen'!A:R,VLOOKUP(K98,'3-Productie normen'!$B$29:$C$41,2,FALSE),FALSE)))</f>
        <v>0</v>
      </c>
      <c r="X98" s="307">
        <f t="shared" si="17"/>
        <v>0</v>
      </c>
      <c r="Y98" s="307">
        <f t="shared" si="18"/>
        <v>0</v>
      </c>
      <c r="Z98" s="307">
        <f t="shared" si="19"/>
        <v>0</v>
      </c>
      <c r="AA98" s="308">
        <f>VLOOKUP(G98,'3-Productie normen'!A:U,15,FALSE)</f>
        <v>0</v>
      </c>
      <c r="AB98" s="309">
        <f>VLOOKUP(G98,'3-Productie normen'!A:U,16,FALSE)</f>
        <v>915.88999999999976</v>
      </c>
      <c r="AC98" s="308"/>
      <c r="AE98" s="310">
        <f t="shared" si="20"/>
        <v>7491.9000000000005</v>
      </c>
    </row>
    <row r="99" spans="1:31" ht="14.1" hidden="1" customHeight="1">
      <c r="A99" s="75">
        <v>95</v>
      </c>
      <c r="B99" s="380" t="s">
        <v>53</v>
      </c>
      <c r="C99" s="276" t="s">
        <v>235</v>
      </c>
      <c r="D99" s="304" t="s">
        <v>236</v>
      </c>
      <c r="E99" s="305">
        <v>28</v>
      </c>
      <c r="F99" s="71" t="s">
        <v>251</v>
      </c>
      <c r="G99" s="71" t="s">
        <v>92</v>
      </c>
      <c r="H99" s="71" t="s">
        <v>239</v>
      </c>
      <c r="I99" s="388">
        <v>8.7100000000000009</v>
      </c>
      <c r="J99" s="306">
        <f t="shared" si="16"/>
        <v>255</v>
      </c>
      <c r="K99" s="230">
        <v>255</v>
      </c>
      <c r="L99" s="230"/>
      <c r="M99" s="230"/>
      <c r="N99" s="230"/>
      <c r="O99" s="230"/>
      <c r="P99" s="230"/>
      <c r="Q99" s="229" t="e">
        <f>IF(K99="nio",0,IF(K99&gt;0,K99*I99/W99,0))*VLOOKUP(B99,'2-Kosten per locatie'!$A$14:$C$25,3,FALSE)</f>
        <v>#DIV/0!</v>
      </c>
      <c r="R99" s="229">
        <f>IF(L99&gt;0,L99*I99/X99,0)*VLOOKUP(B99,'2-Kosten per locatie'!$A$14:$C$25,3,FALSE)</f>
        <v>0</v>
      </c>
      <c r="S99" s="229">
        <f>IF(M99&gt;0,M99*I99/Y99,0)*VLOOKUP(B99,'2-Kosten per locatie'!$A$14:$C$25,3,FALSE)</f>
        <v>0</v>
      </c>
      <c r="T99" s="229">
        <f>IF(N99&gt;0,N99*I99/Z99,0)*VLOOKUP(B99,'2-Kosten per locatie'!$A$14:$C$25,3,FALSE)</f>
        <v>0</v>
      </c>
      <c r="U99" s="229">
        <f>IF(O99&gt;0,O99*I99/Y99,0)*VLOOKUP(B99,'2-Kosten per locatie'!$A$14:$C$25,3,FALSE)</f>
        <v>0</v>
      </c>
      <c r="V99" s="229">
        <f>IF(P99&gt;0,P99*I99/Z99,0)*VLOOKUP(B99,'2-Kosten per locatie'!$A$14:$C$25,3,FALSE)</f>
        <v>0</v>
      </c>
      <c r="W99" s="307">
        <f>IF(K99="nio",0,IF(K99&gt;0,VLOOKUP(G99,'3-Productie normen'!A:R,VLOOKUP(K99,'3-Productie normen'!$B$29:$C$41,2,FALSE),FALSE)))</f>
        <v>0</v>
      </c>
      <c r="X99" s="307">
        <f t="shared" si="17"/>
        <v>0</v>
      </c>
      <c r="Y99" s="307">
        <f t="shared" si="18"/>
        <v>0</v>
      </c>
      <c r="Z99" s="307">
        <f t="shared" si="19"/>
        <v>0</v>
      </c>
      <c r="AA99" s="308">
        <f>VLOOKUP(G99,'3-Productie normen'!A:U,15,FALSE)</f>
        <v>0</v>
      </c>
      <c r="AB99" s="309">
        <f>VLOOKUP(G99,'3-Productie normen'!A:U,16,FALSE)</f>
        <v>915.88999999999976</v>
      </c>
      <c r="AC99" s="308"/>
      <c r="AE99" s="310">
        <f t="shared" si="20"/>
        <v>2221.0500000000002</v>
      </c>
    </row>
    <row r="100" spans="1:31" ht="14.1" hidden="1" customHeight="1">
      <c r="A100" s="75">
        <v>96</v>
      </c>
      <c r="B100" s="380" t="s">
        <v>53</v>
      </c>
      <c r="C100" s="276" t="s">
        <v>235</v>
      </c>
      <c r="D100" s="304" t="s">
        <v>236</v>
      </c>
      <c r="E100" s="305">
        <v>29</v>
      </c>
      <c r="F100" s="71" t="s">
        <v>234</v>
      </c>
      <c r="G100" s="71" t="s">
        <v>98</v>
      </c>
      <c r="H100" s="71" t="s">
        <v>252</v>
      </c>
      <c r="I100" s="388">
        <v>67.5</v>
      </c>
      <c r="J100" s="306">
        <f t="shared" si="16"/>
        <v>255</v>
      </c>
      <c r="K100" s="230">
        <v>255</v>
      </c>
      <c r="L100" s="230"/>
      <c r="M100" s="230"/>
      <c r="N100" s="230"/>
      <c r="O100" s="230"/>
      <c r="P100" s="230"/>
      <c r="Q100" s="229" t="e">
        <f>IF(K100="nio",0,IF(K100&gt;0,K100*I100/W100,0))*VLOOKUP(B100,'2-Kosten per locatie'!$A$14:$C$25,3,FALSE)</f>
        <v>#DIV/0!</v>
      </c>
      <c r="R100" s="229">
        <f>IF(L100&gt;0,L100*I100/X100,0)*VLOOKUP(B100,'2-Kosten per locatie'!$A$14:$C$25,3,FALSE)</f>
        <v>0</v>
      </c>
      <c r="S100" s="229">
        <f>IF(M100&gt;0,M100*I100/Y100,0)*VLOOKUP(B100,'2-Kosten per locatie'!$A$14:$C$25,3,FALSE)</f>
        <v>0</v>
      </c>
      <c r="T100" s="229">
        <f>IF(N100&gt;0,N100*I100/Z100,0)*VLOOKUP(B100,'2-Kosten per locatie'!$A$14:$C$25,3,FALSE)</f>
        <v>0</v>
      </c>
      <c r="U100" s="229">
        <f>IF(O100&gt;0,O100*I100/Y100,0)*VLOOKUP(B100,'2-Kosten per locatie'!$A$14:$C$25,3,FALSE)</f>
        <v>0</v>
      </c>
      <c r="V100" s="229">
        <f>IF(P100&gt;0,P100*I100/Z100,0)*VLOOKUP(B100,'2-Kosten per locatie'!$A$14:$C$25,3,FALSE)</f>
        <v>0</v>
      </c>
      <c r="W100" s="307">
        <f>IF(K100="nio",0,IF(K100&gt;0,VLOOKUP(G100,'3-Productie normen'!A:R,VLOOKUP(K100,'3-Productie normen'!$B$29:$C$41,2,FALSE),FALSE)))</f>
        <v>0</v>
      </c>
      <c r="X100" s="307">
        <f t="shared" si="17"/>
        <v>0</v>
      </c>
      <c r="Y100" s="307">
        <f t="shared" si="18"/>
        <v>0</v>
      </c>
      <c r="Z100" s="307">
        <f t="shared" si="19"/>
        <v>0</v>
      </c>
      <c r="AA100" s="308">
        <f>VLOOKUP(G100,'3-Productie normen'!A:U,15,FALSE)</f>
        <v>0</v>
      </c>
      <c r="AB100" s="309">
        <f>VLOOKUP(G100,'3-Productie normen'!A:U,16,FALSE)</f>
        <v>467.3</v>
      </c>
      <c r="AC100" s="308"/>
      <c r="AE100" s="310">
        <f t="shared" si="20"/>
        <v>17212.5</v>
      </c>
    </row>
    <row r="101" spans="1:31" ht="14.1" hidden="1" customHeight="1">
      <c r="A101" s="75">
        <v>97</v>
      </c>
      <c r="B101" s="380" t="s">
        <v>53</v>
      </c>
      <c r="C101" s="276" t="s">
        <v>235</v>
      </c>
      <c r="D101" s="304" t="s">
        <v>236</v>
      </c>
      <c r="E101" s="305">
        <v>30</v>
      </c>
      <c r="F101" s="71" t="s">
        <v>253</v>
      </c>
      <c r="G101" s="71" t="s">
        <v>103</v>
      </c>
      <c r="H101" s="71" t="s">
        <v>239</v>
      </c>
      <c r="I101" s="388">
        <v>13.63</v>
      </c>
      <c r="J101" s="306">
        <f t="shared" si="16"/>
        <v>52</v>
      </c>
      <c r="K101" s="230">
        <v>52</v>
      </c>
      <c r="L101" s="230"/>
      <c r="M101" s="230"/>
      <c r="N101" s="230"/>
      <c r="O101" s="230"/>
      <c r="P101" s="230"/>
      <c r="Q101" s="229" t="e">
        <f>IF(K101="nio",0,IF(K101&gt;0,K101*I101/W101,0))*VLOOKUP(B101,'2-Kosten per locatie'!$A$14:$C$25,3,FALSE)</f>
        <v>#DIV/0!</v>
      </c>
      <c r="R101" s="229">
        <f>IF(L101&gt;0,L101*I101/X101,0)*VLOOKUP(B101,'2-Kosten per locatie'!$A$14:$C$25,3,FALSE)</f>
        <v>0</v>
      </c>
      <c r="S101" s="229">
        <f>IF(M101&gt;0,M101*I101/Y101,0)*VLOOKUP(B101,'2-Kosten per locatie'!$A$14:$C$25,3,FALSE)</f>
        <v>0</v>
      </c>
      <c r="T101" s="229">
        <f>IF(N101&gt;0,N101*I101/Z101,0)*VLOOKUP(B101,'2-Kosten per locatie'!$A$14:$C$25,3,FALSE)</f>
        <v>0</v>
      </c>
      <c r="U101" s="229">
        <f>IF(O101&gt;0,O101*I101/Y101,0)*VLOOKUP(B101,'2-Kosten per locatie'!$A$14:$C$25,3,FALSE)</f>
        <v>0</v>
      </c>
      <c r="V101" s="229">
        <f>IF(P101&gt;0,P101*I101/Z101,0)*VLOOKUP(B101,'2-Kosten per locatie'!$A$14:$C$25,3,FALSE)</f>
        <v>0</v>
      </c>
      <c r="W101" s="307">
        <f>IF(K101="nio",0,IF(K101&gt;0,VLOOKUP(G101,'3-Productie normen'!A:R,VLOOKUP(K101,'3-Productie normen'!$B$29:$C$41,2,FALSE),FALSE)))</f>
        <v>0</v>
      </c>
      <c r="X101" s="307">
        <f t="shared" si="17"/>
        <v>0</v>
      </c>
      <c r="Y101" s="307">
        <f t="shared" si="18"/>
        <v>0</v>
      </c>
      <c r="Z101" s="307">
        <f t="shared" si="19"/>
        <v>0</v>
      </c>
      <c r="AA101" s="308">
        <f>VLOOKUP(G101,'3-Productie normen'!A:U,15,FALSE)</f>
        <v>0</v>
      </c>
      <c r="AB101" s="309">
        <f>VLOOKUP(G101,'3-Productie normen'!A:U,16,FALSE)</f>
        <v>198.56500000000014</v>
      </c>
      <c r="AC101" s="308"/>
      <c r="AE101" s="310">
        <f t="shared" si="20"/>
        <v>708.76</v>
      </c>
    </row>
    <row r="102" spans="1:31" ht="14.1" hidden="1" customHeight="1">
      <c r="A102" s="75">
        <v>98</v>
      </c>
      <c r="B102" s="380" t="s">
        <v>53</v>
      </c>
      <c r="C102" s="276" t="s">
        <v>235</v>
      </c>
      <c r="D102" s="304" t="s">
        <v>236</v>
      </c>
      <c r="E102" s="305">
        <v>31</v>
      </c>
      <c r="F102" s="71" t="s">
        <v>254</v>
      </c>
      <c r="G102" s="71" t="s">
        <v>103</v>
      </c>
      <c r="H102" s="71" t="s">
        <v>239</v>
      </c>
      <c r="I102" s="388">
        <v>10.15</v>
      </c>
      <c r="J102" s="306">
        <f t="shared" si="16"/>
        <v>52</v>
      </c>
      <c r="K102" s="230">
        <v>52</v>
      </c>
      <c r="L102" s="230"/>
      <c r="M102" s="230"/>
      <c r="N102" s="230"/>
      <c r="O102" s="230"/>
      <c r="P102" s="230"/>
      <c r="Q102" s="229" t="e">
        <f>IF(K102="nio",0,IF(K102&gt;0,K102*I102/W102,0))*VLOOKUP(B102,'2-Kosten per locatie'!$A$14:$C$25,3,FALSE)</f>
        <v>#DIV/0!</v>
      </c>
      <c r="R102" s="229">
        <f>IF(L102&gt;0,L102*I102/X102,0)*VLOOKUP(B102,'2-Kosten per locatie'!$A$14:$C$25,3,FALSE)</f>
        <v>0</v>
      </c>
      <c r="S102" s="229">
        <f>IF(M102&gt;0,M102*I102/Y102,0)*VLOOKUP(B102,'2-Kosten per locatie'!$A$14:$C$25,3,FALSE)</f>
        <v>0</v>
      </c>
      <c r="T102" s="229">
        <f>IF(N102&gt;0,N102*I102/Z102,0)*VLOOKUP(B102,'2-Kosten per locatie'!$A$14:$C$25,3,FALSE)</f>
        <v>0</v>
      </c>
      <c r="U102" s="229">
        <f>IF(O102&gt;0,O102*I102/Y102,0)*VLOOKUP(B102,'2-Kosten per locatie'!$A$14:$C$25,3,FALSE)</f>
        <v>0</v>
      </c>
      <c r="V102" s="229">
        <f>IF(P102&gt;0,P102*I102/Z102,0)*VLOOKUP(B102,'2-Kosten per locatie'!$A$14:$C$25,3,FALSE)</f>
        <v>0</v>
      </c>
      <c r="W102" s="307">
        <f>IF(K102="nio",0,IF(K102&gt;0,VLOOKUP(G102,'3-Productie normen'!A:R,VLOOKUP(K102,'3-Productie normen'!$B$29:$C$41,2,FALSE),FALSE)))</f>
        <v>0</v>
      </c>
      <c r="X102" s="307">
        <f t="shared" si="17"/>
        <v>0</v>
      </c>
      <c r="Y102" s="307">
        <f t="shared" si="18"/>
        <v>0</v>
      </c>
      <c r="Z102" s="307">
        <f t="shared" si="19"/>
        <v>0</v>
      </c>
      <c r="AA102" s="308">
        <f>VLOOKUP(G102,'3-Productie normen'!A:U,15,FALSE)</f>
        <v>0</v>
      </c>
      <c r="AB102" s="309">
        <f>VLOOKUP(G102,'3-Productie normen'!A:U,16,FALSE)</f>
        <v>198.56500000000014</v>
      </c>
      <c r="AC102" s="308"/>
      <c r="AE102" s="310">
        <f t="shared" si="20"/>
        <v>527.80000000000007</v>
      </c>
    </row>
    <row r="103" spans="1:31" ht="14.1" hidden="1" customHeight="1">
      <c r="A103" s="75">
        <v>99</v>
      </c>
      <c r="B103" s="380" t="s">
        <v>53</v>
      </c>
      <c r="C103" s="276" t="s">
        <v>235</v>
      </c>
      <c r="D103" s="304" t="s">
        <v>236</v>
      </c>
      <c r="E103" s="305">
        <v>32</v>
      </c>
      <c r="F103" s="71" t="s">
        <v>255</v>
      </c>
      <c r="G103" s="71" t="s">
        <v>100</v>
      </c>
      <c r="H103" s="71" t="s">
        <v>239</v>
      </c>
      <c r="I103" s="388">
        <v>22.31</v>
      </c>
      <c r="J103" s="306">
        <f t="shared" si="16"/>
        <v>255</v>
      </c>
      <c r="K103" s="230">
        <v>255</v>
      </c>
      <c r="L103" s="230"/>
      <c r="M103" s="230"/>
      <c r="N103" s="230"/>
      <c r="O103" s="230"/>
      <c r="P103" s="230"/>
      <c r="Q103" s="229" t="e">
        <f>IF(K103="nio",0,IF(K103&gt;0,K103*I103/W103,0))*VLOOKUP(B103,'2-Kosten per locatie'!$A$14:$C$25,3,FALSE)</f>
        <v>#DIV/0!</v>
      </c>
      <c r="R103" s="229">
        <f>IF(L103&gt;0,L103*I103/X103,0)*VLOOKUP(B103,'2-Kosten per locatie'!$A$14:$C$25,3,FALSE)</f>
        <v>0</v>
      </c>
      <c r="S103" s="229">
        <f>IF(M103&gt;0,M103*I103/Y103,0)*VLOOKUP(B103,'2-Kosten per locatie'!$A$14:$C$25,3,FALSE)</f>
        <v>0</v>
      </c>
      <c r="T103" s="229">
        <f>IF(N103&gt;0,N103*I103/Z103,0)*VLOOKUP(B103,'2-Kosten per locatie'!$A$14:$C$25,3,FALSE)</f>
        <v>0</v>
      </c>
      <c r="U103" s="229">
        <f>IF(O103&gt;0,O103*I103/Y103,0)*VLOOKUP(B103,'2-Kosten per locatie'!$A$14:$C$25,3,FALSE)</f>
        <v>0</v>
      </c>
      <c r="V103" s="229">
        <f>IF(P103&gt;0,P103*I103/Z103,0)*VLOOKUP(B103,'2-Kosten per locatie'!$A$14:$C$25,3,FALSE)</f>
        <v>0</v>
      </c>
      <c r="W103" s="307">
        <f>IF(K103="nio",0,IF(K103&gt;0,VLOOKUP(G103,'3-Productie normen'!A:R,VLOOKUP(K103,'3-Productie normen'!$B$29:$C$41,2,FALSE),FALSE)))</f>
        <v>0</v>
      </c>
      <c r="X103" s="307">
        <f t="shared" si="17"/>
        <v>0</v>
      </c>
      <c r="Y103" s="307">
        <f t="shared" si="18"/>
        <v>0</v>
      </c>
      <c r="Z103" s="307">
        <f t="shared" si="19"/>
        <v>0</v>
      </c>
      <c r="AA103" s="308">
        <f>VLOOKUP(G103,'3-Productie normen'!A:U,15,FALSE)</f>
        <v>0</v>
      </c>
      <c r="AB103" s="309">
        <f>VLOOKUP(G103,'3-Productie normen'!A:U,16,FALSE)</f>
        <v>455.57899999999995</v>
      </c>
      <c r="AC103" s="308"/>
      <c r="AE103" s="310">
        <f t="shared" si="20"/>
        <v>5689.0499999999993</v>
      </c>
    </row>
    <row r="104" spans="1:31" ht="14.1" hidden="1" customHeight="1">
      <c r="A104" s="75">
        <v>100</v>
      </c>
      <c r="B104" s="380" t="s">
        <v>53</v>
      </c>
      <c r="C104" s="276" t="s">
        <v>235</v>
      </c>
      <c r="D104" s="304" t="s">
        <v>236</v>
      </c>
      <c r="E104" s="305">
        <v>33</v>
      </c>
      <c r="F104" s="71" t="s">
        <v>256</v>
      </c>
      <c r="G104" s="71" t="s">
        <v>105</v>
      </c>
      <c r="H104" s="71" t="s">
        <v>165</v>
      </c>
      <c r="I104" s="388">
        <v>9.9288000000000025</v>
      </c>
      <c r="J104" s="306">
        <f t="shared" si="16"/>
        <v>52</v>
      </c>
      <c r="K104" s="230">
        <v>52</v>
      </c>
      <c r="L104" s="230"/>
      <c r="M104" s="230"/>
      <c r="N104" s="230"/>
      <c r="O104" s="230"/>
      <c r="P104" s="230"/>
      <c r="Q104" s="229" t="e">
        <f>IF(K104="nio",0,IF(K104&gt;0,K104*I104/W104,0))*VLOOKUP(B104,'2-Kosten per locatie'!$A$14:$C$25,3,FALSE)</f>
        <v>#DIV/0!</v>
      </c>
      <c r="R104" s="229">
        <f>IF(L104&gt;0,L104*I104/X104,0)*VLOOKUP(B104,'2-Kosten per locatie'!$A$14:$C$25,3,FALSE)</f>
        <v>0</v>
      </c>
      <c r="S104" s="229">
        <f>IF(M104&gt;0,M104*I104/Y104,0)*VLOOKUP(B104,'2-Kosten per locatie'!$A$14:$C$25,3,FALSE)</f>
        <v>0</v>
      </c>
      <c r="T104" s="229">
        <f>IF(N104&gt;0,N104*I104/Z104,0)*VLOOKUP(B104,'2-Kosten per locatie'!$A$14:$C$25,3,FALSE)</f>
        <v>0</v>
      </c>
      <c r="U104" s="229">
        <f>IF(O104&gt;0,O104*I104/Y104,0)*VLOOKUP(B104,'2-Kosten per locatie'!$A$14:$C$25,3,FALSE)</f>
        <v>0</v>
      </c>
      <c r="V104" s="229">
        <f>IF(P104&gt;0,P104*I104/Z104,0)*VLOOKUP(B104,'2-Kosten per locatie'!$A$14:$C$25,3,FALSE)</f>
        <v>0</v>
      </c>
      <c r="W104" s="307">
        <f>IF(K104="nio",0,IF(K104&gt;0,VLOOKUP(G104,'3-Productie normen'!A:R,VLOOKUP(K104,'3-Productie normen'!$B$29:$C$41,2,FALSE),FALSE)))</f>
        <v>0</v>
      </c>
      <c r="X104" s="307">
        <f t="shared" si="17"/>
        <v>0</v>
      </c>
      <c r="Y104" s="307">
        <f t="shared" si="18"/>
        <v>0</v>
      </c>
      <c r="Z104" s="307">
        <f t="shared" si="19"/>
        <v>0</v>
      </c>
      <c r="AA104" s="308">
        <f>VLOOKUP(G104,'3-Productie normen'!A:U,15,FALSE)</f>
        <v>0</v>
      </c>
      <c r="AB104" s="309">
        <f>VLOOKUP(G104,'3-Productie normen'!A:U,16,FALSE)</f>
        <v>75.828800000000015</v>
      </c>
      <c r="AC104" s="308"/>
      <c r="AE104" s="310">
        <f t="shared" si="20"/>
        <v>516.2976000000001</v>
      </c>
    </row>
    <row r="105" spans="1:31" ht="14.1" hidden="1" customHeight="1">
      <c r="A105" s="75">
        <v>101</v>
      </c>
      <c r="B105" s="380" t="s">
        <v>53</v>
      </c>
      <c r="C105" s="276" t="s">
        <v>235</v>
      </c>
      <c r="D105" s="304" t="s">
        <v>176</v>
      </c>
      <c r="E105" s="305">
        <v>34</v>
      </c>
      <c r="F105" s="71" t="s">
        <v>228</v>
      </c>
      <c r="G105" s="71" t="s">
        <v>106</v>
      </c>
      <c r="H105" s="71" t="s">
        <v>185</v>
      </c>
      <c r="I105" s="388">
        <v>166.8</v>
      </c>
      <c r="J105" s="306">
        <f t="shared" si="16"/>
        <v>52</v>
      </c>
      <c r="K105" s="230">
        <v>52</v>
      </c>
      <c r="L105" s="230"/>
      <c r="M105" s="230"/>
      <c r="N105" s="230"/>
      <c r="O105" s="230"/>
      <c r="P105" s="230"/>
      <c r="Q105" s="229" t="e">
        <f>IF(K105="nio",0,IF(K105&gt;0,K105*I105/W105,0))*VLOOKUP(B105,'2-Kosten per locatie'!$A$14:$C$25,3,FALSE)</f>
        <v>#DIV/0!</v>
      </c>
      <c r="R105" s="229">
        <f>IF(L105&gt;0,L105*I105/X105,0)*VLOOKUP(B105,'2-Kosten per locatie'!$A$14:$C$25,3,FALSE)</f>
        <v>0</v>
      </c>
      <c r="S105" s="229">
        <f>IF(M105&gt;0,M105*I105/Y105,0)*VLOOKUP(B105,'2-Kosten per locatie'!$A$14:$C$25,3,FALSE)</f>
        <v>0</v>
      </c>
      <c r="T105" s="229">
        <f>IF(N105&gt;0,N105*I105/Z105,0)*VLOOKUP(B105,'2-Kosten per locatie'!$A$14:$C$25,3,FALSE)</f>
        <v>0</v>
      </c>
      <c r="U105" s="229">
        <f>IF(O105&gt;0,O105*I105/Y105,0)*VLOOKUP(B105,'2-Kosten per locatie'!$A$14:$C$25,3,FALSE)</f>
        <v>0</v>
      </c>
      <c r="V105" s="229">
        <f>IF(P105&gt;0,P105*I105/Z105,0)*VLOOKUP(B105,'2-Kosten per locatie'!$A$14:$C$25,3,FALSE)</f>
        <v>0</v>
      </c>
      <c r="W105" s="307">
        <f>IF(K105="nio",0,IF(K105&gt;0,VLOOKUP(G105,'3-Productie normen'!A:R,VLOOKUP(K105,'3-Productie normen'!$B$29:$C$41,2,FALSE),FALSE)))</f>
        <v>0</v>
      </c>
      <c r="X105" s="307">
        <f t="shared" si="17"/>
        <v>0</v>
      </c>
      <c r="Y105" s="307">
        <f t="shared" si="18"/>
        <v>0</v>
      </c>
      <c r="Z105" s="307">
        <f t="shared" si="19"/>
        <v>0</v>
      </c>
      <c r="AA105" s="308">
        <f>VLOOKUP(G105,'3-Productie normen'!A:U,15,FALSE)</f>
        <v>0</v>
      </c>
      <c r="AB105" s="309">
        <f>VLOOKUP(G105,'3-Productie normen'!A:U,16,FALSE)</f>
        <v>262.43200000000002</v>
      </c>
      <c r="AC105" s="308"/>
      <c r="AE105" s="310">
        <f t="shared" si="20"/>
        <v>8673.6</v>
      </c>
    </row>
    <row r="106" spans="1:31" ht="14.1" hidden="1" customHeight="1">
      <c r="A106" s="75">
        <v>102</v>
      </c>
      <c r="B106" s="380" t="s">
        <v>53</v>
      </c>
      <c r="C106" s="276" t="s">
        <v>235</v>
      </c>
      <c r="D106" s="304" t="s">
        <v>236</v>
      </c>
      <c r="E106" s="305">
        <v>35</v>
      </c>
      <c r="F106" s="71" t="s">
        <v>220</v>
      </c>
      <c r="G106" s="71" t="s">
        <v>196</v>
      </c>
      <c r="H106" s="71" t="s">
        <v>226</v>
      </c>
      <c r="I106" s="388">
        <v>1260</v>
      </c>
      <c r="J106" s="306">
        <f t="shared" si="16"/>
        <v>0</v>
      </c>
      <c r="K106" s="230" t="s">
        <v>197</v>
      </c>
      <c r="L106" s="230"/>
      <c r="M106" s="230"/>
      <c r="N106" s="230"/>
      <c r="O106" s="230"/>
      <c r="P106" s="230"/>
      <c r="Q106" s="229">
        <f>IF(K106="nio",0,IF(K106&gt;0,K106*I106/W106,0))*VLOOKUP(B106,'2-Kosten per locatie'!$A$14:$C$25,3,FALSE)</f>
        <v>0</v>
      </c>
      <c r="R106" s="229">
        <f>IF(L106&gt;0,L106*I106/X106,0)*VLOOKUP(B106,'2-Kosten per locatie'!$A$14:$C$25,3,FALSE)</f>
        <v>0</v>
      </c>
      <c r="S106" s="229">
        <f>IF(M106&gt;0,M106*I106/Y106,0)*VLOOKUP(B106,'2-Kosten per locatie'!$A$14:$C$25,3,FALSE)</f>
        <v>0</v>
      </c>
      <c r="T106" s="229">
        <f>IF(N106&gt;0,N106*I106/Z106,0)*VLOOKUP(B106,'2-Kosten per locatie'!$A$14:$C$25,3,FALSE)</f>
        <v>0</v>
      </c>
      <c r="U106" s="229">
        <f>IF(O106&gt;0,O106*I106/Y106,0)*VLOOKUP(B106,'2-Kosten per locatie'!$A$14:$C$25,3,FALSE)</f>
        <v>0</v>
      </c>
      <c r="V106" s="229">
        <f>IF(P106&gt;0,P106*I106/Z106,0)*VLOOKUP(B106,'2-Kosten per locatie'!$A$14:$C$25,3,FALSE)</f>
        <v>0</v>
      </c>
      <c r="W106" s="307">
        <f>IF(K106="nio",0,IF(K106&gt;0,VLOOKUP(G106,'3-Productie normen'!A:R,VLOOKUP(K106,'3-Productie normen'!$B$29:$C$41,2,FALSE),FALSE)))</f>
        <v>0</v>
      </c>
      <c r="X106" s="307">
        <f t="shared" si="17"/>
        <v>0</v>
      </c>
      <c r="Y106" s="307">
        <f t="shared" si="18"/>
        <v>0</v>
      </c>
      <c r="Z106" s="307">
        <f t="shared" si="19"/>
        <v>0</v>
      </c>
      <c r="AA106" s="308" t="e">
        <f>VLOOKUP(G106,'3-Productie normen'!A:U,15,FALSE)</f>
        <v>#N/A</v>
      </c>
      <c r="AB106" s="309" t="e">
        <f>VLOOKUP(G106,'3-Productie normen'!A:U,16,FALSE)</f>
        <v>#N/A</v>
      </c>
      <c r="AC106" s="308"/>
      <c r="AE106" s="310">
        <f t="shared" si="20"/>
        <v>0</v>
      </c>
    </row>
    <row r="107" spans="1:31" ht="14.1" hidden="1" customHeight="1">
      <c r="A107" s="75">
        <v>103</v>
      </c>
      <c r="B107" s="380" t="s">
        <v>53</v>
      </c>
      <c r="C107" s="276" t="s">
        <v>235</v>
      </c>
      <c r="D107" s="304" t="s">
        <v>236</v>
      </c>
      <c r="E107" s="305">
        <v>36</v>
      </c>
      <c r="F107" s="71" t="s">
        <v>257</v>
      </c>
      <c r="G107" s="71" t="s">
        <v>102</v>
      </c>
      <c r="H107" s="71" t="s">
        <v>226</v>
      </c>
      <c r="I107" s="388">
        <v>35.729999999999997</v>
      </c>
      <c r="J107" s="306">
        <f t="shared" si="16"/>
        <v>52</v>
      </c>
      <c r="K107" s="230">
        <v>52</v>
      </c>
      <c r="L107" s="230"/>
      <c r="M107" s="230"/>
      <c r="N107" s="230"/>
      <c r="O107" s="230"/>
      <c r="P107" s="230"/>
      <c r="Q107" s="229" t="e">
        <f>IF(K107="nio",0,IF(K107&gt;0,K107*I107/W107,0))*VLOOKUP(B107,'2-Kosten per locatie'!$A$14:$C$25,3,FALSE)</f>
        <v>#DIV/0!</v>
      </c>
      <c r="R107" s="229">
        <f>IF(L107&gt;0,L107*I107/X107,0)*VLOOKUP(B107,'2-Kosten per locatie'!$A$14:$C$25,3,FALSE)</f>
        <v>0</v>
      </c>
      <c r="S107" s="229">
        <f>IF(M107&gt;0,M107*I107/Y107,0)*VLOOKUP(B107,'2-Kosten per locatie'!$A$14:$C$25,3,FALSE)</f>
        <v>0</v>
      </c>
      <c r="T107" s="229">
        <f>IF(N107&gt;0,N107*I107/Z107,0)*VLOOKUP(B107,'2-Kosten per locatie'!$A$14:$C$25,3,FALSE)</f>
        <v>0</v>
      </c>
      <c r="U107" s="229">
        <f>IF(O107&gt;0,O107*I107/Y107,0)*VLOOKUP(B107,'2-Kosten per locatie'!$A$14:$C$25,3,FALSE)</f>
        <v>0</v>
      </c>
      <c r="V107" s="229">
        <f>IF(P107&gt;0,P107*I107/Z107,0)*VLOOKUP(B107,'2-Kosten per locatie'!$A$14:$C$25,3,FALSE)</f>
        <v>0</v>
      </c>
      <c r="W107" s="307">
        <f>IF(K107="nio",0,IF(K107&gt;0,VLOOKUP(G107,'3-Productie normen'!A:R,VLOOKUP(K107,'3-Productie normen'!$B$29:$C$41,2,FALSE),FALSE)))</f>
        <v>0</v>
      </c>
      <c r="X107" s="307">
        <f t="shared" si="17"/>
        <v>0</v>
      </c>
      <c r="Y107" s="307">
        <f t="shared" si="18"/>
        <v>0</v>
      </c>
      <c r="Z107" s="307">
        <f t="shared" si="19"/>
        <v>0</v>
      </c>
      <c r="AA107" s="308">
        <f>VLOOKUP(G107,'3-Productie normen'!A:U,15,FALSE)</f>
        <v>0</v>
      </c>
      <c r="AB107" s="309">
        <f>VLOOKUP(G107,'3-Productie normen'!A:U,16,FALSE)</f>
        <v>220.71499999999997</v>
      </c>
      <c r="AC107" s="308"/>
      <c r="AE107" s="310">
        <f t="shared" si="20"/>
        <v>1857.9599999999998</v>
      </c>
    </row>
    <row r="108" spans="1:31" ht="14.1" hidden="1" customHeight="1">
      <c r="A108" s="75">
        <v>104</v>
      </c>
      <c r="B108" s="380" t="s">
        <v>53</v>
      </c>
      <c r="C108" s="276" t="s">
        <v>235</v>
      </c>
      <c r="D108" s="304" t="s">
        <v>236</v>
      </c>
      <c r="E108" s="305">
        <v>37</v>
      </c>
      <c r="F108" s="71" t="s">
        <v>257</v>
      </c>
      <c r="G108" s="71" t="s">
        <v>102</v>
      </c>
      <c r="H108" s="71" t="s">
        <v>226</v>
      </c>
      <c r="I108" s="388">
        <v>45.89</v>
      </c>
      <c r="J108" s="306">
        <f t="shared" si="16"/>
        <v>52</v>
      </c>
      <c r="K108" s="230">
        <v>52</v>
      </c>
      <c r="L108" s="230"/>
      <c r="M108" s="230"/>
      <c r="N108" s="230"/>
      <c r="O108" s="230"/>
      <c r="P108" s="230"/>
      <c r="Q108" s="229" t="e">
        <f>IF(K108="nio",0,IF(K108&gt;0,K108*I108/W108,0))*VLOOKUP(B108,'2-Kosten per locatie'!$A$14:$C$25,3,FALSE)</f>
        <v>#DIV/0!</v>
      </c>
      <c r="R108" s="229">
        <f>IF(L108&gt;0,L108*I108/X108,0)*VLOOKUP(B108,'2-Kosten per locatie'!$A$14:$C$25,3,FALSE)</f>
        <v>0</v>
      </c>
      <c r="S108" s="229">
        <f>IF(M108&gt;0,M108*I108/Y108,0)*VLOOKUP(B108,'2-Kosten per locatie'!$A$14:$C$25,3,FALSE)</f>
        <v>0</v>
      </c>
      <c r="T108" s="229">
        <f>IF(N108&gt;0,N108*I108/Z108,0)*VLOOKUP(B108,'2-Kosten per locatie'!$A$14:$C$25,3,FALSE)</f>
        <v>0</v>
      </c>
      <c r="U108" s="229">
        <f>IF(O108&gt;0,O108*I108/Y108,0)*VLOOKUP(B108,'2-Kosten per locatie'!$A$14:$C$25,3,FALSE)</f>
        <v>0</v>
      </c>
      <c r="V108" s="229">
        <f>IF(P108&gt;0,P108*I108/Z108,0)*VLOOKUP(B108,'2-Kosten per locatie'!$A$14:$C$25,3,FALSE)</f>
        <v>0</v>
      </c>
      <c r="W108" s="307">
        <f>IF(K108="nio",0,IF(K108&gt;0,VLOOKUP(G108,'3-Productie normen'!A:R,VLOOKUP(K108,'3-Productie normen'!$B$29:$C$41,2,FALSE),FALSE)))</f>
        <v>0</v>
      </c>
      <c r="X108" s="307">
        <f t="shared" si="17"/>
        <v>0</v>
      </c>
      <c r="Y108" s="307">
        <f t="shared" si="18"/>
        <v>0</v>
      </c>
      <c r="Z108" s="307">
        <f t="shared" si="19"/>
        <v>0</v>
      </c>
      <c r="AA108" s="308">
        <f>VLOOKUP(G108,'3-Productie normen'!A:U,15,FALSE)</f>
        <v>0</v>
      </c>
      <c r="AB108" s="309">
        <f>VLOOKUP(G108,'3-Productie normen'!A:U,16,FALSE)</f>
        <v>220.71499999999997</v>
      </c>
      <c r="AC108" s="308"/>
      <c r="AE108" s="310">
        <f t="shared" si="20"/>
        <v>2386.2800000000002</v>
      </c>
    </row>
    <row r="109" spans="1:31" ht="14.1" hidden="1" customHeight="1">
      <c r="A109" s="75">
        <v>105</v>
      </c>
      <c r="B109" s="380" t="s">
        <v>53</v>
      </c>
      <c r="C109" s="276" t="s">
        <v>235</v>
      </c>
      <c r="D109" s="304" t="s">
        <v>236</v>
      </c>
      <c r="E109" s="305">
        <v>38</v>
      </c>
      <c r="F109" s="71" t="s">
        <v>257</v>
      </c>
      <c r="G109" s="71" t="s">
        <v>102</v>
      </c>
      <c r="H109" s="71" t="s">
        <v>226</v>
      </c>
      <c r="I109" s="388">
        <v>45.89</v>
      </c>
      <c r="J109" s="306">
        <f t="shared" si="16"/>
        <v>52</v>
      </c>
      <c r="K109" s="230">
        <v>52</v>
      </c>
      <c r="L109" s="230"/>
      <c r="M109" s="230"/>
      <c r="N109" s="230"/>
      <c r="O109" s="230"/>
      <c r="P109" s="230"/>
      <c r="Q109" s="229" t="e">
        <f>IF(K109="nio",0,IF(K109&gt;0,K109*I109/W109,0))*VLOOKUP(B109,'2-Kosten per locatie'!$A$14:$C$25,3,FALSE)</f>
        <v>#DIV/0!</v>
      </c>
      <c r="R109" s="229">
        <f>IF(L109&gt;0,L109*I109/X109,0)*VLOOKUP(B109,'2-Kosten per locatie'!$A$14:$C$25,3,FALSE)</f>
        <v>0</v>
      </c>
      <c r="S109" s="229">
        <f>IF(M109&gt;0,M109*I109/Y109,0)*VLOOKUP(B109,'2-Kosten per locatie'!$A$14:$C$25,3,FALSE)</f>
        <v>0</v>
      </c>
      <c r="T109" s="229">
        <f>IF(N109&gt;0,N109*I109/Z109,0)*VLOOKUP(B109,'2-Kosten per locatie'!$A$14:$C$25,3,FALSE)</f>
        <v>0</v>
      </c>
      <c r="U109" s="229">
        <f>IF(O109&gt;0,O109*I109/Y109,0)*VLOOKUP(B109,'2-Kosten per locatie'!$A$14:$C$25,3,FALSE)</f>
        <v>0</v>
      </c>
      <c r="V109" s="229">
        <f>IF(P109&gt;0,P109*I109/Z109,0)*VLOOKUP(B109,'2-Kosten per locatie'!$A$14:$C$25,3,FALSE)</f>
        <v>0</v>
      </c>
      <c r="W109" s="307">
        <f>IF(K109="nio",0,IF(K109&gt;0,VLOOKUP(G109,'3-Productie normen'!A:R,VLOOKUP(K109,'3-Productie normen'!$B$29:$C$41,2,FALSE),FALSE)))</f>
        <v>0</v>
      </c>
      <c r="X109" s="307">
        <f t="shared" si="17"/>
        <v>0</v>
      </c>
      <c r="Y109" s="307">
        <f t="shared" si="18"/>
        <v>0</v>
      </c>
      <c r="Z109" s="307">
        <f t="shared" si="19"/>
        <v>0</v>
      </c>
      <c r="AA109" s="308">
        <f>VLOOKUP(G109,'3-Productie normen'!A:U,15,FALSE)</f>
        <v>0</v>
      </c>
      <c r="AB109" s="309">
        <f>VLOOKUP(G109,'3-Productie normen'!A:U,16,FALSE)</f>
        <v>220.71499999999997</v>
      </c>
      <c r="AC109" s="308"/>
      <c r="AE109" s="310">
        <f t="shared" si="20"/>
        <v>2386.2800000000002</v>
      </c>
    </row>
    <row r="110" spans="1:31" ht="14.1" hidden="1" customHeight="1">
      <c r="A110" s="75">
        <v>106</v>
      </c>
      <c r="B110" s="380" t="s">
        <v>53</v>
      </c>
      <c r="C110" s="276" t="s">
        <v>235</v>
      </c>
      <c r="D110" s="304" t="s">
        <v>236</v>
      </c>
      <c r="E110" s="305">
        <v>39</v>
      </c>
      <c r="F110" s="71" t="s">
        <v>195</v>
      </c>
      <c r="G110" s="71" t="s">
        <v>196</v>
      </c>
      <c r="H110" s="71" t="s">
        <v>185</v>
      </c>
      <c r="I110" s="388">
        <v>12.7</v>
      </c>
      <c r="J110" s="306">
        <f t="shared" si="16"/>
        <v>0</v>
      </c>
      <c r="K110" s="230" t="s">
        <v>197</v>
      </c>
      <c r="L110" s="230"/>
      <c r="M110" s="230"/>
      <c r="N110" s="230"/>
      <c r="O110" s="230"/>
      <c r="P110" s="230"/>
      <c r="Q110" s="229">
        <f>IF(K110="nio",0,IF(K110&gt;0,K110*I110/W110,0))*VLOOKUP(B110,'2-Kosten per locatie'!$A$14:$C$25,3,FALSE)</f>
        <v>0</v>
      </c>
      <c r="R110" s="229">
        <f>IF(L110&gt;0,L110*I110/X110,0)*VLOOKUP(B110,'2-Kosten per locatie'!$A$14:$C$25,3,FALSE)</f>
        <v>0</v>
      </c>
      <c r="S110" s="229">
        <f>IF(M110&gt;0,M110*I110/Y110,0)*VLOOKUP(B110,'2-Kosten per locatie'!$A$14:$C$25,3,FALSE)</f>
        <v>0</v>
      </c>
      <c r="T110" s="229">
        <f>IF(N110&gt;0,N110*I110/Z110,0)*VLOOKUP(B110,'2-Kosten per locatie'!$A$14:$C$25,3,FALSE)</f>
        <v>0</v>
      </c>
      <c r="U110" s="229">
        <f>IF(O110&gt;0,O110*I110/Y110,0)*VLOOKUP(B110,'2-Kosten per locatie'!$A$14:$C$25,3,FALSE)</f>
        <v>0</v>
      </c>
      <c r="V110" s="229">
        <f>IF(P110&gt;0,P110*I110/Z110,0)*VLOOKUP(B110,'2-Kosten per locatie'!$A$14:$C$25,3,FALSE)</f>
        <v>0</v>
      </c>
      <c r="W110" s="307">
        <f>IF(K110="nio",0,IF(K110&gt;0,VLOOKUP(G110,'3-Productie normen'!A:R,VLOOKUP(K110,'3-Productie normen'!$B$29:$C$41,2,FALSE),FALSE)))</f>
        <v>0</v>
      </c>
      <c r="X110" s="307">
        <f t="shared" si="17"/>
        <v>0</v>
      </c>
      <c r="Y110" s="307">
        <f t="shared" si="18"/>
        <v>0</v>
      </c>
      <c r="Z110" s="307">
        <f t="shared" si="19"/>
        <v>0</v>
      </c>
      <c r="AA110" s="308" t="e">
        <f>VLOOKUP(G110,'3-Productie normen'!A:U,15,FALSE)</f>
        <v>#N/A</v>
      </c>
      <c r="AB110" s="309" t="e">
        <f>VLOOKUP(G110,'3-Productie normen'!A:U,16,FALSE)</f>
        <v>#N/A</v>
      </c>
      <c r="AC110" s="308"/>
      <c r="AE110" s="310">
        <f t="shared" si="20"/>
        <v>0</v>
      </c>
    </row>
    <row r="111" spans="1:31" ht="14.1" hidden="1" customHeight="1">
      <c r="A111" s="75">
        <v>107</v>
      </c>
      <c r="B111" s="380" t="s">
        <v>53</v>
      </c>
      <c r="C111" s="276" t="s">
        <v>235</v>
      </c>
      <c r="D111" s="304" t="s">
        <v>236</v>
      </c>
      <c r="E111" s="305">
        <v>40</v>
      </c>
      <c r="F111" s="71" t="s">
        <v>256</v>
      </c>
      <c r="G111" s="71" t="s">
        <v>196</v>
      </c>
      <c r="H111" s="71" t="s">
        <v>185</v>
      </c>
      <c r="I111" s="388">
        <v>4.92</v>
      </c>
      <c r="J111" s="306">
        <f t="shared" si="16"/>
        <v>0</v>
      </c>
      <c r="K111" s="230" t="s">
        <v>197</v>
      </c>
      <c r="L111" s="230"/>
      <c r="M111" s="230"/>
      <c r="N111" s="230"/>
      <c r="O111" s="230"/>
      <c r="P111" s="230"/>
      <c r="Q111" s="229">
        <f>IF(K111="nio",0,IF(K111&gt;0,K111*I111/W111,0))*VLOOKUP(B111,'2-Kosten per locatie'!$A$14:$C$25,3,FALSE)</f>
        <v>0</v>
      </c>
      <c r="R111" s="229">
        <f>IF(L111&gt;0,L111*I111/X111,0)*VLOOKUP(B111,'2-Kosten per locatie'!$A$14:$C$25,3,FALSE)</f>
        <v>0</v>
      </c>
      <c r="S111" s="229">
        <f>IF(M111&gt;0,M111*I111/Y111,0)*VLOOKUP(B111,'2-Kosten per locatie'!$A$14:$C$25,3,FALSE)</f>
        <v>0</v>
      </c>
      <c r="T111" s="229">
        <f>IF(N111&gt;0,N111*I111/Z111,0)*VLOOKUP(B111,'2-Kosten per locatie'!$A$14:$C$25,3,FALSE)</f>
        <v>0</v>
      </c>
      <c r="U111" s="229">
        <f>IF(O111&gt;0,O111*I111/Y111,0)*VLOOKUP(B111,'2-Kosten per locatie'!$A$14:$C$25,3,FALSE)</f>
        <v>0</v>
      </c>
      <c r="V111" s="229">
        <f>IF(P111&gt;0,P111*I111/Z111,0)*VLOOKUP(B111,'2-Kosten per locatie'!$A$14:$C$25,3,FALSE)</f>
        <v>0</v>
      </c>
      <c r="W111" s="307">
        <f>IF(K111="nio",0,IF(K111&gt;0,VLOOKUP(G111,'3-Productie normen'!A:R,VLOOKUP(K111,'3-Productie normen'!$B$29:$C$41,2,FALSE),FALSE)))</f>
        <v>0</v>
      </c>
      <c r="X111" s="307">
        <f t="shared" si="17"/>
        <v>0</v>
      </c>
      <c r="Y111" s="307">
        <f t="shared" si="18"/>
        <v>0</v>
      </c>
      <c r="Z111" s="307">
        <f t="shared" si="19"/>
        <v>0</v>
      </c>
      <c r="AA111" s="308" t="e">
        <f>VLOOKUP(G111,'3-Productie normen'!A:U,15,FALSE)</f>
        <v>#N/A</v>
      </c>
      <c r="AB111" s="309" t="e">
        <f>VLOOKUP(G111,'3-Productie normen'!A:U,16,FALSE)</f>
        <v>#N/A</v>
      </c>
      <c r="AC111" s="308"/>
      <c r="AE111" s="310">
        <f t="shared" si="20"/>
        <v>0</v>
      </c>
    </row>
    <row r="112" spans="1:31" ht="14.1" hidden="1" customHeight="1">
      <c r="A112" s="75">
        <v>108</v>
      </c>
      <c r="B112" s="380" t="s">
        <v>61</v>
      </c>
      <c r="C112" s="276" t="s">
        <v>258</v>
      </c>
      <c r="D112" s="304" t="s">
        <v>236</v>
      </c>
      <c r="E112" s="305" t="s">
        <v>259</v>
      </c>
      <c r="F112" s="71" t="s">
        <v>260</v>
      </c>
      <c r="G112" s="71" t="s">
        <v>96</v>
      </c>
      <c r="H112" s="71" t="s">
        <v>172</v>
      </c>
      <c r="I112" s="388">
        <v>2.6</v>
      </c>
      <c r="J112" s="306">
        <f t="shared" si="16"/>
        <v>379</v>
      </c>
      <c r="K112" s="230">
        <v>213</v>
      </c>
      <c r="L112" s="230">
        <v>45</v>
      </c>
      <c r="M112" s="230">
        <v>87</v>
      </c>
      <c r="N112" s="230">
        <v>22</v>
      </c>
      <c r="O112" s="230">
        <v>8</v>
      </c>
      <c r="P112" s="230">
        <v>4</v>
      </c>
      <c r="Q112" s="229" t="e">
        <f>IF(K112="nio",0,IF(K112&gt;0,K112*I112/W112,0))*VLOOKUP(B112,'2-Kosten per locatie'!$A$14:$C$25,3,FALSE)</f>
        <v>#DIV/0!</v>
      </c>
      <c r="R112" s="229" t="e">
        <f>IF(L112&gt;0,L112*I112/X112,0)*VLOOKUP(B112,'2-Kosten per locatie'!$A$14:$C$25,3,FALSE)</f>
        <v>#DIV/0!</v>
      </c>
      <c r="S112" s="229" t="e">
        <f>IF(M112&gt;0,M112*I112/Y112,0)*VLOOKUP(B112,'2-Kosten per locatie'!$A$14:$C$25,3,FALSE)</f>
        <v>#DIV/0!</v>
      </c>
      <c r="T112" s="229" t="e">
        <f>IF(N112&gt;0,N112*I112/Z112,0)*VLOOKUP(B112,'2-Kosten per locatie'!$A$14:$C$25,3,FALSE)</f>
        <v>#DIV/0!</v>
      </c>
      <c r="U112" s="229" t="e">
        <f>IF(O112&gt;0,O112*I112/Y112,0)*VLOOKUP(B112,'2-Kosten per locatie'!$A$14:$C$25,3,FALSE)</f>
        <v>#DIV/0!</v>
      </c>
      <c r="V112" s="229" t="e">
        <f>IF(P112&gt;0,P112*I112/Z112,0)*VLOOKUP(B112,'2-Kosten per locatie'!$A$14:$C$25,3,FALSE)</f>
        <v>#DIV/0!</v>
      </c>
      <c r="W112" s="307">
        <f>IF(K112="nio",0,IF(K112&gt;0,VLOOKUP(G112,'3-Productie normen'!A:R,VLOOKUP(K112,'3-Productie normen'!$B$29:$C$41,2,FALSE),FALSE)))</f>
        <v>0</v>
      </c>
      <c r="X112" s="307">
        <f t="shared" si="17"/>
        <v>0</v>
      </c>
      <c r="Y112" s="307">
        <f t="shared" si="18"/>
        <v>0</v>
      </c>
      <c r="Z112" s="307">
        <f t="shared" si="19"/>
        <v>0</v>
      </c>
      <c r="AA112" s="308">
        <f>VLOOKUP(G112,'3-Productie normen'!A:U,15,FALSE)</f>
        <v>0</v>
      </c>
      <c r="AB112" s="309">
        <f>VLOOKUP(G112,'3-Productie normen'!A:U,16,FALSE)</f>
        <v>84.322499999999991</v>
      </c>
      <c r="AC112" s="308"/>
      <c r="AE112" s="310">
        <f t="shared" si="20"/>
        <v>985.4</v>
      </c>
    </row>
    <row r="113" spans="1:31" ht="14.1" hidden="1" customHeight="1">
      <c r="A113" s="75">
        <v>109</v>
      </c>
      <c r="B113" s="380" t="s">
        <v>61</v>
      </c>
      <c r="C113" s="276" t="s">
        <v>258</v>
      </c>
      <c r="D113" s="304" t="s">
        <v>236</v>
      </c>
      <c r="E113" s="305" t="s">
        <v>261</v>
      </c>
      <c r="F113" s="71" t="s">
        <v>262</v>
      </c>
      <c r="G113" s="71" t="s">
        <v>103</v>
      </c>
      <c r="H113" s="71" t="s">
        <v>192</v>
      </c>
      <c r="I113" s="388">
        <v>9.35</v>
      </c>
      <c r="J113" s="306">
        <f t="shared" si="16"/>
        <v>379</v>
      </c>
      <c r="K113" s="230">
        <v>213</v>
      </c>
      <c r="L113" s="230">
        <v>45</v>
      </c>
      <c r="M113" s="230">
        <v>87</v>
      </c>
      <c r="N113" s="230">
        <v>22</v>
      </c>
      <c r="O113" s="230">
        <v>8</v>
      </c>
      <c r="P113" s="230">
        <v>4</v>
      </c>
      <c r="Q113" s="229" t="e">
        <f>IF(K113="nio",0,IF(K113&gt;0,K113*I113/W113,0))*VLOOKUP(B113,'2-Kosten per locatie'!$A$14:$C$25,3,FALSE)</f>
        <v>#DIV/0!</v>
      </c>
      <c r="R113" s="229" t="e">
        <f>IF(L113&gt;0,L113*I113/X113,0)*VLOOKUP(B113,'2-Kosten per locatie'!$A$14:$C$25,3,FALSE)</f>
        <v>#DIV/0!</v>
      </c>
      <c r="S113" s="229" t="e">
        <f>IF(M113&gt;0,M113*I113/Y113,0)*VLOOKUP(B113,'2-Kosten per locatie'!$A$14:$C$25,3,FALSE)</f>
        <v>#DIV/0!</v>
      </c>
      <c r="T113" s="229" t="e">
        <f>IF(N113&gt;0,N113*I113/Z113,0)*VLOOKUP(B113,'2-Kosten per locatie'!$A$14:$C$25,3,FALSE)</f>
        <v>#DIV/0!</v>
      </c>
      <c r="U113" s="229" t="e">
        <f>IF(O113&gt;0,O113*I113/Y113,0)*VLOOKUP(B113,'2-Kosten per locatie'!$A$14:$C$25,3,FALSE)</f>
        <v>#DIV/0!</v>
      </c>
      <c r="V113" s="229" t="e">
        <f>IF(P113&gt;0,P113*I113/Z113,0)*VLOOKUP(B113,'2-Kosten per locatie'!$A$14:$C$25,3,FALSE)</f>
        <v>#DIV/0!</v>
      </c>
      <c r="W113" s="307">
        <f>IF(K113="nio",0,IF(K113&gt;0,VLOOKUP(G113,'3-Productie normen'!A:R,VLOOKUP(K113,'3-Productie normen'!$B$29:$C$41,2,FALSE),FALSE)))</f>
        <v>0</v>
      </c>
      <c r="X113" s="307">
        <f t="shared" si="17"/>
        <v>0</v>
      </c>
      <c r="Y113" s="307">
        <f t="shared" si="18"/>
        <v>0</v>
      </c>
      <c r="Z113" s="307">
        <f t="shared" si="19"/>
        <v>0</v>
      </c>
      <c r="AA113" s="308">
        <f>VLOOKUP(G113,'3-Productie normen'!A:U,15,FALSE)</f>
        <v>0</v>
      </c>
      <c r="AB113" s="309">
        <f>VLOOKUP(G113,'3-Productie normen'!A:U,16,FALSE)</f>
        <v>198.56500000000014</v>
      </c>
      <c r="AC113" s="308"/>
      <c r="AE113" s="310">
        <f t="shared" si="20"/>
        <v>3543.65</v>
      </c>
    </row>
    <row r="114" spans="1:31" ht="14.1" hidden="1" customHeight="1">
      <c r="A114" s="75">
        <v>110</v>
      </c>
      <c r="B114" s="380" t="s">
        <v>61</v>
      </c>
      <c r="C114" s="276" t="s">
        <v>258</v>
      </c>
      <c r="D114" s="304" t="s">
        <v>236</v>
      </c>
      <c r="E114" s="305" t="s">
        <v>263</v>
      </c>
      <c r="F114" s="71" t="s">
        <v>264</v>
      </c>
      <c r="G114" s="71" t="s">
        <v>265</v>
      </c>
      <c r="H114" s="71" t="s">
        <v>192</v>
      </c>
      <c r="I114" s="388">
        <v>1.5</v>
      </c>
      <c r="J114" s="306">
        <f t="shared" si="16"/>
        <v>379</v>
      </c>
      <c r="K114" s="230">
        <v>213</v>
      </c>
      <c r="L114" s="230">
        <v>45</v>
      </c>
      <c r="M114" s="230">
        <v>87</v>
      </c>
      <c r="N114" s="230">
        <v>22</v>
      </c>
      <c r="O114" s="230">
        <v>8</v>
      </c>
      <c r="P114" s="230">
        <v>4</v>
      </c>
      <c r="Q114" s="229" t="e">
        <f>IF(K114="nio",0,IF(K114&gt;0,K114*I114/W114,0))*VLOOKUP(B114,'2-Kosten per locatie'!$A$14:$C$25,3,FALSE)</f>
        <v>#DIV/0!</v>
      </c>
      <c r="R114" s="229" t="e">
        <f>IF(L114&gt;0,L114*I114/X114,0)*VLOOKUP(B114,'2-Kosten per locatie'!$A$14:$C$25,3,FALSE)</f>
        <v>#DIV/0!</v>
      </c>
      <c r="S114" s="229" t="e">
        <f>IF(M114&gt;0,M114*I114/Y114,0)*VLOOKUP(B114,'2-Kosten per locatie'!$A$14:$C$25,3,FALSE)</f>
        <v>#DIV/0!</v>
      </c>
      <c r="T114" s="229" t="e">
        <f>IF(N114&gt;0,N114*I114/Z114,0)*VLOOKUP(B114,'2-Kosten per locatie'!$A$14:$C$25,3,FALSE)</f>
        <v>#DIV/0!</v>
      </c>
      <c r="U114" s="229" t="e">
        <f>IF(O114&gt;0,O114*I114/Y114,0)*VLOOKUP(B114,'2-Kosten per locatie'!$A$14:$C$25,3,FALSE)</f>
        <v>#DIV/0!</v>
      </c>
      <c r="V114" s="229" t="e">
        <f>IF(P114&gt;0,P114*I114/Z114,0)*VLOOKUP(B114,'2-Kosten per locatie'!$A$14:$C$25,3,FALSE)</f>
        <v>#DIV/0!</v>
      </c>
      <c r="W114" s="307">
        <f>IF(K114="nio",0,IF(K114&gt;0,VLOOKUP(G114,'3-Productie normen'!A:R,VLOOKUP(K114,'3-Productie normen'!$B$29:$C$41,2,FALSE),FALSE)))</f>
        <v>0</v>
      </c>
      <c r="X114" s="307">
        <f t="shared" si="17"/>
        <v>0</v>
      </c>
      <c r="Y114" s="307">
        <f t="shared" si="18"/>
        <v>0</v>
      </c>
      <c r="Z114" s="307">
        <f t="shared" si="19"/>
        <v>0</v>
      </c>
      <c r="AA114" s="308">
        <f>VLOOKUP(G114,'3-Productie normen'!A:U,15,FALSE)</f>
        <v>0</v>
      </c>
      <c r="AB114" s="309">
        <f>VLOOKUP(G114,'3-Productie normen'!A:U,16,FALSE)</f>
        <v>76.59999999999998</v>
      </c>
      <c r="AC114" s="308"/>
      <c r="AE114" s="310">
        <f t="shared" si="20"/>
        <v>568.5</v>
      </c>
    </row>
    <row r="115" spans="1:31" ht="14.1" hidden="1" customHeight="1">
      <c r="A115" s="75">
        <v>111</v>
      </c>
      <c r="B115" s="380" t="s">
        <v>61</v>
      </c>
      <c r="C115" s="276" t="s">
        <v>258</v>
      </c>
      <c r="D115" s="304" t="s">
        <v>236</v>
      </c>
      <c r="E115" s="305" t="s">
        <v>266</v>
      </c>
      <c r="F115" s="71" t="s">
        <v>267</v>
      </c>
      <c r="G115" s="71" t="s">
        <v>265</v>
      </c>
      <c r="H115" s="71" t="s">
        <v>192</v>
      </c>
      <c r="I115" s="388">
        <v>1.5</v>
      </c>
      <c r="J115" s="306">
        <f t="shared" si="16"/>
        <v>379</v>
      </c>
      <c r="K115" s="230">
        <v>213</v>
      </c>
      <c r="L115" s="230">
        <v>45</v>
      </c>
      <c r="M115" s="230">
        <v>87</v>
      </c>
      <c r="N115" s="230">
        <v>22</v>
      </c>
      <c r="O115" s="230">
        <v>8</v>
      </c>
      <c r="P115" s="230">
        <v>4</v>
      </c>
      <c r="Q115" s="229" t="e">
        <f>IF(K115="nio",0,IF(K115&gt;0,K115*I115/W115,0))*VLOOKUP(B115,'2-Kosten per locatie'!$A$14:$C$25,3,FALSE)</f>
        <v>#DIV/0!</v>
      </c>
      <c r="R115" s="229" t="e">
        <f>IF(L115&gt;0,L115*I115/X115,0)*VLOOKUP(B115,'2-Kosten per locatie'!$A$14:$C$25,3,FALSE)</f>
        <v>#DIV/0!</v>
      </c>
      <c r="S115" s="229" t="e">
        <f>IF(M115&gt;0,M115*I115/Y115,0)*VLOOKUP(B115,'2-Kosten per locatie'!$A$14:$C$25,3,FALSE)</f>
        <v>#DIV/0!</v>
      </c>
      <c r="T115" s="229" t="e">
        <f>IF(N115&gt;0,N115*I115/Z115,0)*VLOOKUP(B115,'2-Kosten per locatie'!$A$14:$C$25,3,FALSE)</f>
        <v>#DIV/0!</v>
      </c>
      <c r="U115" s="229" t="e">
        <f>IF(O115&gt;0,O115*I115/Y115,0)*VLOOKUP(B115,'2-Kosten per locatie'!$A$14:$C$25,3,FALSE)</f>
        <v>#DIV/0!</v>
      </c>
      <c r="V115" s="229" t="e">
        <f>IF(P115&gt;0,P115*I115/Z115,0)*VLOOKUP(B115,'2-Kosten per locatie'!$A$14:$C$25,3,FALSE)</f>
        <v>#DIV/0!</v>
      </c>
      <c r="W115" s="307">
        <f>IF(K115="nio",0,IF(K115&gt;0,VLOOKUP(G115,'3-Productie normen'!A:R,VLOOKUP(K115,'3-Productie normen'!$B$29:$C$41,2,FALSE),FALSE)))</f>
        <v>0</v>
      </c>
      <c r="X115" s="307">
        <f t="shared" si="17"/>
        <v>0</v>
      </c>
      <c r="Y115" s="307">
        <f t="shared" si="18"/>
        <v>0</v>
      </c>
      <c r="Z115" s="307">
        <f t="shared" si="19"/>
        <v>0</v>
      </c>
      <c r="AA115" s="308">
        <f>VLOOKUP(G115,'3-Productie normen'!A:U,15,FALSE)</f>
        <v>0</v>
      </c>
      <c r="AB115" s="309">
        <f>VLOOKUP(G115,'3-Productie normen'!A:U,16,FALSE)</f>
        <v>76.59999999999998</v>
      </c>
      <c r="AC115" s="308"/>
      <c r="AE115" s="310">
        <f t="shared" si="20"/>
        <v>568.5</v>
      </c>
    </row>
    <row r="116" spans="1:31" ht="14.1" hidden="1" customHeight="1">
      <c r="A116" s="75">
        <v>112</v>
      </c>
      <c r="B116" s="380" t="s">
        <v>61</v>
      </c>
      <c r="C116" s="276" t="s">
        <v>258</v>
      </c>
      <c r="D116" s="304" t="s">
        <v>236</v>
      </c>
      <c r="E116" s="305" t="s">
        <v>268</v>
      </c>
      <c r="F116" s="71" t="s">
        <v>269</v>
      </c>
      <c r="G116" s="71" t="s">
        <v>265</v>
      </c>
      <c r="H116" s="71" t="s">
        <v>192</v>
      </c>
      <c r="I116" s="388">
        <v>1.5</v>
      </c>
      <c r="J116" s="306">
        <f t="shared" si="16"/>
        <v>379</v>
      </c>
      <c r="K116" s="230">
        <v>213</v>
      </c>
      <c r="L116" s="230">
        <v>45</v>
      </c>
      <c r="M116" s="230">
        <v>87</v>
      </c>
      <c r="N116" s="230">
        <v>22</v>
      </c>
      <c r="O116" s="230">
        <v>8</v>
      </c>
      <c r="P116" s="230">
        <v>4</v>
      </c>
      <c r="Q116" s="229" t="e">
        <f>IF(K116="nio",0,IF(K116&gt;0,K116*I116/W116,0))*VLOOKUP(B116,'2-Kosten per locatie'!$A$14:$C$25,3,FALSE)</f>
        <v>#DIV/0!</v>
      </c>
      <c r="R116" s="229" t="e">
        <f>IF(L116&gt;0,L116*I116/X116,0)*VLOOKUP(B116,'2-Kosten per locatie'!$A$14:$C$25,3,FALSE)</f>
        <v>#DIV/0!</v>
      </c>
      <c r="S116" s="229" t="e">
        <f>IF(M116&gt;0,M116*I116/Y116,0)*VLOOKUP(B116,'2-Kosten per locatie'!$A$14:$C$25,3,FALSE)</f>
        <v>#DIV/0!</v>
      </c>
      <c r="T116" s="229" t="e">
        <f>IF(N116&gt;0,N116*I116/Z116,0)*VLOOKUP(B116,'2-Kosten per locatie'!$A$14:$C$25,3,FALSE)</f>
        <v>#DIV/0!</v>
      </c>
      <c r="U116" s="229" t="e">
        <f>IF(O116&gt;0,O116*I116/Y116,0)*VLOOKUP(B116,'2-Kosten per locatie'!$A$14:$C$25,3,FALSE)</f>
        <v>#DIV/0!</v>
      </c>
      <c r="V116" s="229" t="e">
        <f>IF(P116&gt;0,P116*I116/Z116,0)*VLOOKUP(B116,'2-Kosten per locatie'!$A$14:$C$25,3,FALSE)</f>
        <v>#DIV/0!</v>
      </c>
      <c r="W116" s="307">
        <f>IF(K116="nio",0,IF(K116&gt;0,VLOOKUP(G116,'3-Productie normen'!A:R,VLOOKUP(K116,'3-Productie normen'!$B$29:$C$41,2,FALSE),FALSE)))</f>
        <v>0</v>
      </c>
      <c r="X116" s="307">
        <f t="shared" si="17"/>
        <v>0</v>
      </c>
      <c r="Y116" s="307">
        <f t="shared" si="18"/>
        <v>0</v>
      </c>
      <c r="Z116" s="307">
        <f t="shared" si="19"/>
        <v>0</v>
      </c>
      <c r="AA116" s="308">
        <f>VLOOKUP(G116,'3-Productie normen'!A:U,15,FALSE)</f>
        <v>0</v>
      </c>
      <c r="AB116" s="309">
        <f>VLOOKUP(G116,'3-Productie normen'!A:U,16,FALSE)</f>
        <v>76.59999999999998</v>
      </c>
      <c r="AC116" s="308"/>
      <c r="AE116" s="310">
        <f t="shared" si="20"/>
        <v>568.5</v>
      </c>
    </row>
    <row r="117" spans="1:31" ht="14.1" hidden="1" customHeight="1">
      <c r="A117" s="75">
        <v>113</v>
      </c>
      <c r="B117" s="380" t="s">
        <v>61</v>
      </c>
      <c r="C117" s="276" t="s">
        <v>258</v>
      </c>
      <c r="D117" s="304" t="s">
        <v>236</v>
      </c>
      <c r="E117" s="305" t="s">
        <v>270</v>
      </c>
      <c r="F117" s="71" t="s">
        <v>271</v>
      </c>
      <c r="G117" s="71" t="s">
        <v>265</v>
      </c>
      <c r="H117" s="71" t="s">
        <v>192</v>
      </c>
      <c r="I117" s="388">
        <v>1.5</v>
      </c>
      <c r="J117" s="306">
        <f t="shared" si="16"/>
        <v>379</v>
      </c>
      <c r="K117" s="230">
        <v>213</v>
      </c>
      <c r="L117" s="230">
        <v>45</v>
      </c>
      <c r="M117" s="230">
        <v>87</v>
      </c>
      <c r="N117" s="230">
        <v>22</v>
      </c>
      <c r="O117" s="230">
        <v>8</v>
      </c>
      <c r="P117" s="230">
        <v>4</v>
      </c>
      <c r="Q117" s="229" t="e">
        <f>IF(K117="nio",0,IF(K117&gt;0,K117*I117/W117,0))*VLOOKUP(B117,'2-Kosten per locatie'!$A$14:$C$25,3,FALSE)</f>
        <v>#DIV/0!</v>
      </c>
      <c r="R117" s="229" t="e">
        <f>IF(L117&gt;0,L117*I117/X117,0)*VLOOKUP(B117,'2-Kosten per locatie'!$A$14:$C$25,3,FALSE)</f>
        <v>#DIV/0!</v>
      </c>
      <c r="S117" s="229" t="e">
        <f>IF(M117&gt;0,M117*I117/Y117,0)*VLOOKUP(B117,'2-Kosten per locatie'!$A$14:$C$25,3,FALSE)</f>
        <v>#DIV/0!</v>
      </c>
      <c r="T117" s="229" t="e">
        <f>IF(N117&gt;0,N117*I117/Z117,0)*VLOOKUP(B117,'2-Kosten per locatie'!$A$14:$C$25,3,FALSE)</f>
        <v>#DIV/0!</v>
      </c>
      <c r="U117" s="229" t="e">
        <f>IF(O117&gt;0,O117*I117/Y117,0)*VLOOKUP(B117,'2-Kosten per locatie'!$A$14:$C$25,3,FALSE)</f>
        <v>#DIV/0!</v>
      </c>
      <c r="V117" s="229" t="e">
        <f>IF(P117&gt;0,P117*I117/Z117,0)*VLOOKUP(B117,'2-Kosten per locatie'!$A$14:$C$25,3,FALSE)</f>
        <v>#DIV/0!</v>
      </c>
      <c r="W117" s="307">
        <f>IF(K117="nio",0,IF(K117&gt;0,VLOOKUP(G117,'3-Productie normen'!A:R,VLOOKUP(K117,'3-Productie normen'!$B$29:$C$41,2,FALSE),FALSE)))</f>
        <v>0</v>
      </c>
      <c r="X117" s="307">
        <f t="shared" si="17"/>
        <v>0</v>
      </c>
      <c r="Y117" s="307">
        <f t="shared" si="18"/>
        <v>0</v>
      </c>
      <c r="Z117" s="307">
        <f t="shared" si="19"/>
        <v>0</v>
      </c>
      <c r="AA117" s="308">
        <f>VLOOKUP(G117,'3-Productie normen'!A:U,15,FALSE)</f>
        <v>0</v>
      </c>
      <c r="AB117" s="309">
        <f>VLOOKUP(G117,'3-Productie normen'!A:U,16,FALSE)</f>
        <v>76.59999999999998</v>
      </c>
      <c r="AC117" s="308"/>
      <c r="AE117" s="310">
        <f t="shared" si="20"/>
        <v>568.5</v>
      </c>
    </row>
    <row r="118" spans="1:31" ht="14.1" hidden="1" customHeight="1">
      <c r="A118" s="75">
        <v>114</v>
      </c>
      <c r="B118" s="380" t="s">
        <v>61</v>
      </c>
      <c r="C118" s="276" t="s">
        <v>258</v>
      </c>
      <c r="D118" s="304" t="s">
        <v>236</v>
      </c>
      <c r="E118" s="305" t="s">
        <v>272</v>
      </c>
      <c r="F118" s="71" t="s">
        <v>273</v>
      </c>
      <c r="G118" s="71" t="s">
        <v>265</v>
      </c>
      <c r="H118" s="71" t="s">
        <v>192</v>
      </c>
      <c r="I118" s="388">
        <v>1.5</v>
      </c>
      <c r="J118" s="306">
        <f t="shared" si="16"/>
        <v>379</v>
      </c>
      <c r="K118" s="230">
        <v>213</v>
      </c>
      <c r="L118" s="230">
        <v>45</v>
      </c>
      <c r="M118" s="230">
        <v>87</v>
      </c>
      <c r="N118" s="230">
        <v>22</v>
      </c>
      <c r="O118" s="230">
        <v>8</v>
      </c>
      <c r="P118" s="230">
        <v>4</v>
      </c>
      <c r="Q118" s="229" t="e">
        <f>IF(K118="nio",0,IF(K118&gt;0,K118*I118/W118,0))*VLOOKUP(B118,'2-Kosten per locatie'!$A$14:$C$25,3,FALSE)</f>
        <v>#DIV/0!</v>
      </c>
      <c r="R118" s="229" t="e">
        <f>IF(L118&gt;0,L118*I118/X118,0)*VLOOKUP(B118,'2-Kosten per locatie'!$A$14:$C$25,3,FALSE)</f>
        <v>#DIV/0!</v>
      </c>
      <c r="S118" s="229" t="e">
        <f>IF(M118&gt;0,M118*I118/Y118,0)*VLOOKUP(B118,'2-Kosten per locatie'!$A$14:$C$25,3,FALSE)</f>
        <v>#DIV/0!</v>
      </c>
      <c r="T118" s="229" t="e">
        <f>IF(N118&gt;0,N118*I118/Z118,0)*VLOOKUP(B118,'2-Kosten per locatie'!$A$14:$C$25,3,FALSE)</f>
        <v>#DIV/0!</v>
      </c>
      <c r="U118" s="229" t="e">
        <f>IF(O118&gt;0,O118*I118/Y118,0)*VLOOKUP(B118,'2-Kosten per locatie'!$A$14:$C$25,3,FALSE)</f>
        <v>#DIV/0!</v>
      </c>
      <c r="V118" s="229" t="e">
        <f>IF(P118&gt;0,P118*I118/Z118,0)*VLOOKUP(B118,'2-Kosten per locatie'!$A$14:$C$25,3,FALSE)</f>
        <v>#DIV/0!</v>
      </c>
      <c r="W118" s="307">
        <f>IF(K118="nio",0,IF(K118&gt;0,VLOOKUP(G118,'3-Productie normen'!A:R,VLOOKUP(K118,'3-Productie normen'!$B$29:$C$41,2,FALSE),FALSE)))</f>
        <v>0</v>
      </c>
      <c r="X118" s="307">
        <f t="shared" si="17"/>
        <v>0</v>
      </c>
      <c r="Y118" s="307">
        <f t="shared" si="18"/>
        <v>0</v>
      </c>
      <c r="Z118" s="307">
        <f t="shared" si="19"/>
        <v>0</v>
      </c>
      <c r="AA118" s="308">
        <f>VLOOKUP(G118,'3-Productie normen'!A:U,15,FALSE)</f>
        <v>0</v>
      </c>
      <c r="AB118" s="309">
        <f>VLOOKUP(G118,'3-Productie normen'!A:U,16,FALSE)</f>
        <v>76.59999999999998</v>
      </c>
      <c r="AC118" s="308"/>
      <c r="AE118" s="310">
        <f t="shared" si="20"/>
        <v>568.5</v>
      </c>
    </row>
    <row r="119" spans="1:31" ht="14.1" hidden="1" customHeight="1">
      <c r="A119" s="75">
        <v>115</v>
      </c>
      <c r="B119" s="380" t="s">
        <v>61</v>
      </c>
      <c r="C119" s="276" t="s">
        <v>258</v>
      </c>
      <c r="D119" s="304" t="s">
        <v>236</v>
      </c>
      <c r="E119" s="305" t="s">
        <v>274</v>
      </c>
      <c r="F119" s="71" t="s">
        <v>275</v>
      </c>
      <c r="G119" s="71" t="s">
        <v>265</v>
      </c>
      <c r="H119" s="71" t="s">
        <v>192</v>
      </c>
      <c r="I119" s="388">
        <v>1.5</v>
      </c>
      <c r="J119" s="306">
        <f t="shared" si="16"/>
        <v>379</v>
      </c>
      <c r="K119" s="230">
        <v>213</v>
      </c>
      <c r="L119" s="230">
        <v>45</v>
      </c>
      <c r="M119" s="230">
        <v>87</v>
      </c>
      <c r="N119" s="230">
        <v>22</v>
      </c>
      <c r="O119" s="230">
        <v>8</v>
      </c>
      <c r="P119" s="230">
        <v>4</v>
      </c>
      <c r="Q119" s="229" t="e">
        <f>IF(K119="nio",0,IF(K119&gt;0,K119*I119/W119,0))*VLOOKUP(B119,'2-Kosten per locatie'!$A$14:$C$25,3,FALSE)</f>
        <v>#DIV/0!</v>
      </c>
      <c r="R119" s="229" t="e">
        <f>IF(L119&gt;0,L119*I119/X119,0)*VLOOKUP(B119,'2-Kosten per locatie'!$A$14:$C$25,3,FALSE)</f>
        <v>#DIV/0!</v>
      </c>
      <c r="S119" s="229" t="e">
        <f>IF(M119&gt;0,M119*I119/Y119,0)*VLOOKUP(B119,'2-Kosten per locatie'!$A$14:$C$25,3,FALSE)</f>
        <v>#DIV/0!</v>
      </c>
      <c r="T119" s="229" t="e">
        <f>IF(N119&gt;0,N119*I119/Z119,0)*VLOOKUP(B119,'2-Kosten per locatie'!$A$14:$C$25,3,FALSE)</f>
        <v>#DIV/0!</v>
      </c>
      <c r="U119" s="229" t="e">
        <f>IF(O119&gt;0,O119*I119/Y119,0)*VLOOKUP(B119,'2-Kosten per locatie'!$A$14:$C$25,3,FALSE)</f>
        <v>#DIV/0!</v>
      </c>
      <c r="V119" s="229" t="e">
        <f>IF(P119&gt;0,P119*I119/Z119,0)*VLOOKUP(B119,'2-Kosten per locatie'!$A$14:$C$25,3,FALSE)</f>
        <v>#DIV/0!</v>
      </c>
      <c r="W119" s="307">
        <f>IF(K119="nio",0,IF(K119&gt;0,VLOOKUP(G119,'3-Productie normen'!A:R,VLOOKUP(K119,'3-Productie normen'!$B$29:$C$41,2,FALSE),FALSE)))</f>
        <v>0</v>
      </c>
      <c r="X119" s="307">
        <f t="shared" si="17"/>
        <v>0</v>
      </c>
      <c r="Y119" s="307">
        <f t="shared" si="18"/>
        <v>0</v>
      </c>
      <c r="Z119" s="307">
        <f t="shared" si="19"/>
        <v>0</v>
      </c>
      <c r="AA119" s="308">
        <f>VLOOKUP(G119,'3-Productie normen'!A:U,15,FALSE)</f>
        <v>0</v>
      </c>
      <c r="AB119" s="309">
        <f>VLOOKUP(G119,'3-Productie normen'!A:U,16,FALSE)</f>
        <v>76.59999999999998</v>
      </c>
      <c r="AC119" s="308"/>
      <c r="AE119" s="310">
        <f t="shared" si="20"/>
        <v>568.5</v>
      </c>
    </row>
    <row r="120" spans="1:31" ht="14.1" hidden="1" customHeight="1">
      <c r="A120" s="75">
        <v>116</v>
      </c>
      <c r="B120" s="380" t="s">
        <v>61</v>
      </c>
      <c r="C120" s="276" t="s">
        <v>258</v>
      </c>
      <c r="D120" s="304" t="s">
        <v>236</v>
      </c>
      <c r="E120" s="305" t="s">
        <v>276</v>
      </c>
      <c r="F120" s="71" t="s">
        <v>277</v>
      </c>
      <c r="G120" s="71" t="s">
        <v>265</v>
      </c>
      <c r="H120" s="71" t="s">
        <v>192</v>
      </c>
      <c r="I120" s="388">
        <v>1.5</v>
      </c>
      <c r="J120" s="306">
        <f t="shared" si="16"/>
        <v>379</v>
      </c>
      <c r="K120" s="230">
        <v>213</v>
      </c>
      <c r="L120" s="230">
        <v>45</v>
      </c>
      <c r="M120" s="230">
        <v>87</v>
      </c>
      <c r="N120" s="230">
        <v>22</v>
      </c>
      <c r="O120" s="230">
        <v>8</v>
      </c>
      <c r="P120" s="230">
        <v>4</v>
      </c>
      <c r="Q120" s="229" t="e">
        <f>IF(K120="nio",0,IF(K120&gt;0,K120*I120/W120,0))*VLOOKUP(B120,'2-Kosten per locatie'!$A$14:$C$25,3,FALSE)</f>
        <v>#DIV/0!</v>
      </c>
      <c r="R120" s="229" t="e">
        <f>IF(L120&gt;0,L120*I120/X120,0)*VLOOKUP(B120,'2-Kosten per locatie'!$A$14:$C$25,3,FALSE)</f>
        <v>#DIV/0!</v>
      </c>
      <c r="S120" s="229" t="e">
        <f>IF(M120&gt;0,M120*I120/Y120,0)*VLOOKUP(B120,'2-Kosten per locatie'!$A$14:$C$25,3,FALSE)</f>
        <v>#DIV/0!</v>
      </c>
      <c r="T120" s="229" t="e">
        <f>IF(N120&gt;0,N120*I120/Z120,0)*VLOOKUP(B120,'2-Kosten per locatie'!$A$14:$C$25,3,FALSE)</f>
        <v>#DIV/0!</v>
      </c>
      <c r="U120" s="229" t="e">
        <f>IF(O120&gt;0,O120*I120/Y120,0)*VLOOKUP(B120,'2-Kosten per locatie'!$A$14:$C$25,3,FALSE)</f>
        <v>#DIV/0!</v>
      </c>
      <c r="V120" s="229" t="e">
        <f>IF(P120&gt;0,P120*I120/Z120,0)*VLOOKUP(B120,'2-Kosten per locatie'!$A$14:$C$25,3,FALSE)</f>
        <v>#DIV/0!</v>
      </c>
      <c r="W120" s="307">
        <f>IF(K120="nio",0,IF(K120&gt;0,VLOOKUP(G120,'3-Productie normen'!A:R,VLOOKUP(K120,'3-Productie normen'!$B$29:$C$41,2,FALSE),FALSE)))</f>
        <v>0</v>
      </c>
      <c r="X120" s="307">
        <f t="shared" si="17"/>
        <v>0</v>
      </c>
      <c r="Y120" s="307">
        <f t="shared" si="18"/>
        <v>0</v>
      </c>
      <c r="Z120" s="307">
        <f t="shared" si="19"/>
        <v>0</v>
      </c>
      <c r="AA120" s="308">
        <f>VLOOKUP(G120,'3-Productie normen'!A:U,15,FALSE)</f>
        <v>0</v>
      </c>
      <c r="AB120" s="309">
        <f>VLOOKUP(G120,'3-Productie normen'!A:U,16,FALSE)</f>
        <v>76.59999999999998</v>
      </c>
      <c r="AC120" s="308"/>
      <c r="AE120" s="310">
        <f t="shared" si="20"/>
        <v>568.5</v>
      </c>
    </row>
    <row r="121" spans="1:31" ht="14.1" hidden="1" customHeight="1">
      <c r="A121" s="75">
        <v>117</v>
      </c>
      <c r="B121" s="380" t="s">
        <v>61</v>
      </c>
      <c r="C121" s="276" t="s">
        <v>258</v>
      </c>
      <c r="D121" s="304" t="s">
        <v>236</v>
      </c>
      <c r="E121" s="305" t="s">
        <v>278</v>
      </c>
      <c r="F121" s="71" t="s">
        <v>279</v>
      </c>
      <c r="G121" s="71" t="s">
        <v>103</v>
      </c>
      <c r="H121" s="71" t="s">
        <v>192</v>
      </c>
      <c r="I121" s="388">
        <v>1.1200000000000001</v>
      </c>
      <c r="J121" s="306">
        <f t="shared" si="16"/>
        <v>379</v>
      </c>
      <c r="K121" s="230">
        <v>213</v>
      </c>
      <c r="L121" s="230">
        <v>45</v>
      </c>
      <c r="M121" s="230">
        <v>87</v>
      </c>
      <c r="N121" s="230">
        <v>22</v>
      </c>
      <c r="O121" s="230">
        <v>8</v>
      </c>
      <c r="P121" s="230">
        <v>4</v>
      </c>
      <c r="Q121" s="229" t="e">
        <f>IF(K121="nio",0,IF(K121&gt;0,K121*I121/W121,0))*VLOOKUP(B121,'2-Kosten per locatie'!$A$14:$C$25,3,FALSE)</f>
        <v>#DIV/0!</v>
      </c>
      <c r="R121" s="229" t="e">
        <f>IF(L121&gt;0,L121*I121/X121,0)*VLOOKUP(B121,'2-Kosten per locatie'!$A$14:$C$25,3,FALSE)</f>
        <v>#DIV/0!</v>
      </c>
      <c r="S121" s="229" t="e">
        <f>IF(M121&gt;0,M121*I121/Y121,0)*VLOOKUP(B121,'2-Kosten per locatie'!$A$14:$C$25,3,FALSE)</f>
        <v>#DIV/0!</v>
      </c>
      <c r="T121" s="229" t="e">
        <f>IF(N121&gt;0,N121*I121/Z121,0)*VLOOKUP(B121,'2-Kosten per locatie'!$A$14:$C$25,3,FALSE)</f>
        <v>#DIV/0!</v>
      </c>
      <c r="U121" s="229" t="e">
        <f>IF(O121&gt;0,O121*I121/Y121,0)*VLOOKUP(B121,'2-Kosten per locatie'!$A$14:$C$25,3,FALSE)</f>
        <v>#DIV/0!</v>
      </c>
      <c r="V121" s="229" t="e">
        <f>IF(P121&gt;0,P121*I121/Z121,0)*VLOOKUP(B121,'2-Kosten per locatie'!$A$14:$C$25,3,FALSE)</f>
        <v>#DIV/0!</v>
      </c>
      <c r="W121" s="307">
        <f>IF(K121="nio",0,IF(K121&gt;0,VLOOKUP(G121,'3-Productie normen'!A:R,VLOOKUP(K121,'3-Productie normen'!$B$29:$C$41,2,FALSE),FALSE)))</f>
        <v>0</v>
      </c>
      <c r="X121" s="307">
        <f t="shared" si="17"/>
        <v>0</v>
      </c>
      <c r="Y121" s="307">
        <f t="shared" si="18"/>
        <v>0</v>
      </c>
      <c r="Z121" s="307">
        <f t="shared" si="19"/>
        <v>0</v>
      </c>
      <c r="AA121" s="308">
        <f>VLOOKUP(G121,'3-Productie normen'!A:U,15,FALSE)</f>
        <v>0</v>
      </c>
      <c r="AB121" s="309">
        <f>VLOOKUP(G121,'3-Productie normen'!A:U,16,FALSE)</f>
        <v>198.56500000000014</v>
      </c>
      <c r="AC121" s="308"/>
      <c r="AE121" s="310">
        <f t="shared" si="20"/>
        <v>424.48</v>
      </c>
    </row>
    <row r="122" spans="1:31" ht="14.1" hidden="1" customHeight="1">
      <c r="A122" s="75">
        <v>118</v>
      </c>
      <c r="B122" s="380" t="s">
        <v>61</v>
      </c>
      <c r="C122" s="276" t="s">
        <v>258</v>
      </c>
      <c r="D122" s="304" t="s">
        <v>236</v>
      </c>
      <c r="E122" s="305" t="s">
        <v>280</v>
      </c>
      <c r="F122" s="71" t="s">
        <v>281</v>
      </c>
      <c r="G122" s="71" t="s">
        <v>103</v>
      </c>
      <c r="H122" s="71" t="s">
        <v>192</v>
      </c>
      <c r="I122" s="448">
        <v>1.1200000000000001</v>
      </c>
      <c r="J122" s="306">
        <f t="shared" si="16"/>
        <v>379</v>
      </c>
      <c r="K122" s="230">
        <v>213</v>
      </c>
      <c r="L122" s="230">
        <v>45</v>
      </c>
      <c r="M122" s="230">
        <v>87</v>
      </c>
      <c r="N122" s="230">
        <v>22</v>
      </c>
      <c r="O122" s="230">
        <v>8</v>
      </c>
      <c r="P122" s="230">
        <v>4</v>
      </c>
      <c r="Q122" s="229" t="e">
        <f>IF(K122="nio",0,IF(K122&gt;0,K122*I122/W122,0))*VLOOKUP(B122,'2-Kosten per locatie'!$A$14:$C$25,3,FALSE)</f>
        <v>#DIV/0!</v>
      </c>
      <c r="R122" s="229" t="e">
        <f>IF(L122&gt;0,L122*I122/X122,0)*VLOOKUP(B122,'2-Kosten per locatie'!$A$14:$C$25,3,FALSE)</f>
        <v>#DIV/0!</v>
      </c>
      <c r="S122" s="229" t="e">
        <f>IF(M122&gt;0,M122*I122/Y122,0)*VLOOKUP(B122,'2-Kosten per locatie'!$A$14:$C$25,3,FALSE)</f>
        <v>#DIV/0!</v>
      </c>
      <c r="T122" s="229" t="e">
        <f>IF(N122&gt;0,N122*I122/Z122,0)*VLOOKUP(B122,'2-Kosten per locatie'!$A$14:$C$25,3,FALSE)</f>
        <v>#DIV/0!</v>
      </c>
      <c r="U122" s="229" t="e">
        <f>IF(O122&gt;0,O122*I122/Y122,0)*VLOOKUP(B122,'2-Kosten per locatie'!$A$14:$C$25,3,FALSE)</f>
        <v>#DIV/0!</v>
      </c>
      <c r="V122" s="229" t="e">
        <f>IF(P122&gt;0,P122*I122/Z122,0)*VLOOKUP(B122,'2-Kosten per locatie'!$A$14:$C$25,3,FALSE)</f>
        <v>#DIV/0!</v>
      </c>
      <c r="W122" s="307">
        <f>IF(K122="nio",0,IF(K122&gt;0,VLOOKUP(G122,'3-Productie normen'!A:R,VLOOKUP(K122,'3-Productie normen'!$B$29:$C$41,2,FALSE),FALSE)))</f>
        <v>0</v>
      </c>
      <c r="X122" s="307">
        <f t="shared" si="17"/>
        <v>0</v>
      </c>
      <c r="Y122" s="307">
        <f t="shared" si="18"/>
        <v>0</v>
      </c>
      <c r="Z122" s="307">
        <f t="shared" si="19"/>
        <v>0</v>
      </c>
      <c r="AA122" s="308">
        <f>VLOOKUP(G122,'3-Productie normen'!A:U,15,FALSE)</f>
        <v>0</v>
      </c>
      <c r="AB122" s="309">
        <f>VLOOKUP(G122,'3-Productie normen'!A:U,16,FALSE)</f>
        <v>198.56500000000014</v>
      </c>
      <c r="AC122" s="308"/>
      <c r="AE122" s="310">
        <f t="shared" si="20"/>
        <v>424.48</v>
      </c>
    </row>
    <row r="123" spans="1:31" ht="14.1" hidden="1" customHeight="1">
      <c r="A123" s="75">
        <v>119</v>
      </c>
      <c r="B123" s="380" t="s">
        <v>61</v>
      </c>
      <c r="C123" s="276" t="s">
        <v>258</v>
      </c>
      <c r="D123" s="86" t="s">
        <v>236</v>
      </c>
      <c r="E123" s="226" t="s">
        <v>282</v>
      </c>
      <c r="F123" s="85" t="s">
        <v>283</v>
      </c>
      <c r="G123" s="85" t="s">
        <v>103</v>
      </c>
      <c r="H123" s="85" t="s">
        <v>192</v>
      </c>
      <c r="I123" s="388">
        <v>1.1200000000000001</v>
      </c>
      <c r="J123" s="306">
        <f t="shared" si="16"/>
        <v>379</v>
      </c>
      <c r="K123" s="230">
        <v>213</v>
      </c>
      <c r="L123" s="230">
        <v>45</v>
      </c>
      <c r="M123" s="230">
        <v>87</v>
      </c>
      <c r="N123" s="230">
        <v>22</v>
      </c>
      <c r="O123" s="230">
        <v>8</v>
      </c>
      <c r="P123" s="230">
        <v>4</v>
      </c>
      <c r="Q123" s="229" t="e">
        <f>IF(K123="nio",0,IF(K123&gt;0,K123*I123/W123,0))*VLOOKUP(B123,'2-Kosten per locatie'!$A$14:$C$25,3,FALSE)</f>
        <v>#DIV/0!</v>
      </c>
      <c r="R123" s="229" t="e">
        <f>IF(L123&gt;0,L123*I123/X123,0)*VLOOKUP(B123,'2-Kosten per locatie'!$A$14:$C$25,3,FALSE)</f>
        <v>#DIV/0!</v>
      </c>
      <c r="S123" s="229" t="e">
        <f>IF(M123&gt;0,M123*I123/Y123,0)*VLOOKUP(B123,'2-Kosten per locatie'!$A$14:$C$25,3,FALSE)</f>
        <v>#DIV/0!</v>
      </c>
      <c r="T123" s="229" t="e">
        <f>IF(N123&gt;0,N123*I123/Z123,0)*VLOOKUP(B123,'2-Kosten per locatie'!$A$14:$C$25,3,FALSE)</f>
        <v>#DIV/0!</v>
      </c>
      <c r="U123" s="229" t="e">
        <f>IF(O123&gt;0,O123*I123/Y123,0)*VLOOKUP(B123,'2-Kosten per locatie'!$A$14:$C$25,3,FALSE)</f>
        <v>#DIV/0!</v>
      </c>
      <c r="V123" s="229" t="e">
        <f>IF(P123&gt;0,P123*I123/Z123,0)*VLOOKUP(B123,'2-Kosten per locatie'!$A$14:$C$25,3,FALSE)</f>
        <v>#DIV/0!</v>
      </c>
      <c r="W123" s="307">
        <f>IF(K123="nio",0,IF(K123&gt;0,VLOOKUP(G123,'3-Productie normen'!A:R,VLOOKUP(K123,'3-Productie normen'!$B$29:$C$41,2,FALSE),FALSE)))</f>
        <v>0</v>
      </c>
      <c r="X123" s="307">
        <f t="shared" si="17"/>
        <v>0</v>
      </c>
      <c r="Y123" s="307">
        <f t="shared" si="18"/>
        <v>0</v>
      </c>
      <c r="Z123" s="307">
        <f t="shared" si="19"/>
        <v>0</v>
      </c>
      <c r="AA123" s="308">
        <f>VLOOKUP(G123,'3-Productie normen'!A:U,15,FALSE)</f>
        <v>0</v>
      </c>
      <c r="AB123" s="309">
        <f>VLOOKUP(G123,'3-Productie normen'!A:U,16,FALSE)</f>
        <v>198.56500000000014</v>
      </c>
      <c r="AC123" s="308"/>
      <c r="AE123" s="310">
        <f t="shared" si="20"/>
        <v>424.48</v>
      </c>
    </row>
    <row r="124" spans="1:31" ht="14.1" hidden="1" customHeight="1">
      <c r="A124" s="75">
        <v>120</v>
      </c>
      <c r="B124" s="380" t="s">
        <v>61</v>
      </c>
      <c r="C124" s="276" t="s">
        <v>258</v>
      </c>
      <c r="D124" s="304" t="s">
        <v>236</v>
      </c>
      <c r="E124" s="305" t="s">
        <v>284</v>
      </c>
      <c r="F124" s="71" t="s">
        <v>285</v>
      </c>
      <c r="G124" s="71" t="s">
        <v>103</v>
      </c>
      <c r="H124" s="71" t="s">
        <v>192</v>
      </c>
      <c r="I124" s="388">
        <v>1.1200000000000001</v>
      </c>
      <c r="J124" s="306">
        <f t="shared" si="16"/>
        <v>379</v>
      </c>
      <c r="K124" s="230">
        <v>213</v>
      </c>
      <c r="L124" s="230">
        <v>45</v>
      </c>
      <c r="M124" s="230">
        <v>87</v>
      </c>
      <c r="N124" s="230">
        <v>22</v>
      </c>
      <c r="O124" s="230">
        <v>8</v>
      </c>
      <c r="P124" s="230">
        <v>4</v>
      </c>
      <c r="Q124" s="229" t="e">
        <f>IF(K124="nio",0,IF(K124&gt;0,K124*I124/W124,0))*VLOOKUP(B124,'2-Kosten per locatie'!$A$14:$C$25,3,FALSE)</f>
        <v>#DIV/0!</v>
      </c>
      <c r="R124" s="229" t="e">
        <f>IF(L124&gt;0,L124*I124/X124,0)*VLOOKUP(B124,'2-Kosten per locatie'!$A$14:$C$25,3,FALSE)</f>
        <v>#DIV/0!</v>
      </c>
      <c r="S124" s="229" t="e">
        <f>IF(M124&gt;0,M124*I124/Y124,0)*VLOOKUP(B124,'2-Kosten per locatie'!$A$14:$C$25,3,FALSE)</f>
        <v>#DIV/0!</v>
      </c>
      <c r="T124" s="229" t="e">
        <f>IF(N124&gt;0,N124*I124/Z124,0)*VLOOKUP(B124,'2-Kosten per locatie'!$A$14:$C$25,3,FALSE)</f>
        <v>#DIV/0!</v>
      </c>
      <c r="U124" s="229" t="e">
        <f>IF(O124&gt;0,O124*I124/Y124,0)*VLOOKUP(B124,'2-Kosten per locatie'!$A$14:$C$25,3,FALSE)</f>
        <v>#DIV/0!</v>
      </c>
      <c r="V124" s="229" t="e">
        <f>IF(P124&gt;0,P124*I124/Z124,0)*VLOOKUP(B124,'2-Kosten per locatie'!$A$14:$C$25,3,FALSE)</f>
        <v>#DIV/0!</v>
      </c>
      <c r="W124" s="307">
        <f>IF(K124="nio",0,IF(K124&gt;0,VLOOKUP(G124,'3-Productie normen'!A:R,VLOOKUP(K124,'3-Productie normen'!$B$29:$C$41,2,FALSE),FALSE)))</f>
        <v>0</v>
      </c>
      <c r="X124" s="307">
        <f t="shared" si="17"/>
        <v>0</v>
      </c>
      <c r="Y124" s="307">
        <f t="shared" si="18"/>
        <v>0</v>
      </c>
      <c r="Z124" s="307">
        <f t="shared" si="19"/>
        <v>0</v>
      </c>
      <c r="AA124" s="308">
        <f>VLOOKUP(G124,'3-Productie normen'!A:U,15,FALSE)</f>
        <v>0</v>
      </c>
      <c r="AB124" s="309">
        <f>VLOOKUP(G124,'3-Productie normen'!A:U,16,FALSE)</f>
        <v>198.56500000000014</v>
      </c>
      <c r="AC124" s="308"/>
      <c r="AE124" s="310">
        <f t="shared" si="20"/>
        <v>424.48</v>
      </c>
    </row>
    <row r="125" spans="1:31" ht="14.1" hidden="1" customHeight="1">
      <c r="A125" s="75">
        <v>121</v>
      </c>
      <c r="B125" s="380" t="s">
        <v>61</v>
      </c>
      <c r="C125" s="276" t="s">
        <v>258</v>
      </c>
      <c r="D125" s="304" t="s">
        <v>236</v>
      </c>
      <c r="E125" s="305" t="s">
        <v>286</v>
      </c>
      <c r="F125" s="71" t="s">
        <v>287</v>
      </c>
      <c r="G125" s="71" t="s">
        <v>103</v>
      </c>
      <c r="H125" s="71" t="s">
        <v>192</v>
      </c>
      <c r="I125" s="388">
        <v>1.1200000000000001</v>
      </c>
      <c r="J125" s="306">
        <f t="shared" si="16"/>
        <v>379</v>
      </c>
      <c r="K125" s="230">
        <v>213</v>
      </c>
      <c r="L125" s="230">
        <v>45</v>
      </c>
      <c r="M125" s="230">
        <v>87</v>
      </c>
      <c r="N125" s="230">
        <v>22</v>
      </c>
      <c r="O125" s="230">
        <v>8</v>
      </c>
      <c r="P125" s="230">
        <v>4</v>
      </c>
      <c r="Q125" s="229" t="e">
        <f>IF(K125="nio",0,IF(K125&gt;0,K125*I125/W125,0))*VLOOKUP(B125,'2-Kosten per locatie'!$A$14:$C$25,3,FALSE)</f>
        <v>#DIV/0!</v>
      </c>
      <c r="R125" s="229" t="e">
        <f>IF(L125&gt;0,L125*I125/X125,0)*VLOOKUP(B125,'2-Kosten per locatie'!$A$14:$C$25,3,FALSE)</f>
        <v>#DIV/0!</v>
      </c>
      <c r="S125" s="229" t="e">
        <f>IF(M125&gt;0,M125*I125/Y125,0)*VLOOKUP(B125,'2-Kosten per locatie'!$A$14:$C$25,3,FALSE)</f>
        <v>#DIV/0!</v>
      </c>
      <c r="T125" s="229" t="e">
        <f>IF(N125&gt;0,N125*I125/Z125,0)*VLOOKUP(B125,'2-Kosten per locatie'!$A$14:$C$25,3,FALSE)</f>
        <v>#DIV/0!</v>
      </c>
      <c r="U125" s="229" t="e">
        <f>IF(O125&gt;0,O125*I125/Y125,0)*VLOOKUP(B125,'2-Kosten per locatie'!$A$14:$C$25,3,FALSE)</f>
        <v>#DIV/0!</v>
      </c>
      <c r="V125" s="229" t="e">
        <f>IF(P125&gt;0,P125*I125/Z125,0)*VLOOKUP(B125,'2-Kosten per locatie'!$A$14:$C$25,3,FALSE)</f>
        <v>#DIV/0!</v>
      </c>
      <c r="W125" s="307">
        <f>IF(K125="nio",0,IF(K125&gt;0,VLOOKUP(G125,'3-Productie normen'!A:R,VLOOKUP(K125,'3-Productie normen'!$B$29:$C$41,2,FALSE),FALSE)))</f>
        <v>0</v>
      </c>
      <c r="X125" s="307">
        <f t="shared" si="17"/>
        <v>0</v>
      </c>
      <c r="Y125" s="307">
        <f t="shared" si="18"/>
        <v>0</v>
      </c>
      <c r="Z125" s="307">
        <f t="shared" si="19"/>
        <v>0</v>
      </c>
      <c r="AA125" s="308">
        <f>VLOOKUP(G125,'3-Productie normen'!A:U,15,FALSE)</f>
        <v>0</v>
      </c>
      <c r="AB125" s="309">
        <f>VLOOKUP(G125,'3-Productie normen'!A:U,16,FALSE)</f>
        <v>198.56500000000014</v>
      </c>
      <c r="AC125" s="308"/>
      <c r="AE125" s="310">
        <f t="shared" si="20"/>
        <v>424.48</v>
      </c>
    </row>
    <row r="126" spans="1:31" ht="14.1" hidden="1" customHeight="1">
      <c r="A126" s="75">
        <v>122</v>
      </c>
      <c r="B126" s="380" t="s">
        <v>61</v>
      </c>
      <c r="C126" s="276" t="s">
        <v>258</v>
      </c>
      <c r="D126" s="304" t="s">
        <v>236</v>
      </c>
      <c r="E126" s="305" t="s">
        <v>288</v>
      </c>
      <c r="F126" s="71" t="s">
        <v>289</v>
      </c>
      <c r="G126" s="71" t="s">
        <v>103</v>
      </c>
      <c r="H126" s="71" t="s">
        <v>192</v>
      </c>
      <c r="I126" s="388">
        <v>1.1200000000000001</v>
      </c>
      <c r="J126" s="306">
        <f t="shared" si="16"/>
        <v>379</v>
      </c>
      <c r="K126" s="230">
        <v>213</v>
      </c>
      <c r="L126" s="230">
        <v>45</v>
      </c>
      <c r="M126" s="230">
        <v>87</v>
      </c>
      <c r="N126" s="230">
        <v>22</v>
      </c>
      <c r="O126" s="230">
        <v>8</v>
      </c>
      <c r="P126" s="230">
        <v>4</v>
      </c>
      <c r="Q126" s="229" t="e">
        <f>IF(K126="nio",0,IF(K126&gt;0,K126*I126/W126,0))*VLOOKUP(B126,'2-Kosten per locatie'!$A$14:$C$25,3,FALSE)</f>
        <v>#DIV/0!</v>
      </c>
      <c r="R126" s="229" t="e">
        <f>IF(L126&gt;0,L126*I126/X126,0)*VLOOKUP(B126,'2-Kosten per locatie'!$A$14:$C$25,3,FALSE)</f>
        <v>#DIV/0!</v>
      </c>
      <c r="S126" s="229" t="e">
        <f>IF(M126&gt;0,M126*I126/Y126,0)*VLOOKUP(B126,'2-Kosten per locatie'!$A$14:$C$25,3,FALSE)</f>
        <v>#DIV/0!</v>
      </c>
      <c r="T126" s="229" t="e">
        <f>IF(N126&gt;0,N126*I126/Z126,0)*VLOOKUP(B126,'2-Kosten per locatie'!$A$14:$C$25,3,FALSE)</f>
        <v>#DIV/0!</v>
      </c>
      <c r="U126" s="229" t="e">
        <f>IF(O126&gt;0,O126*I126/Y126,0)*VLOOKUP(B126,'2-Kosten per locatie'!$A$14:$C$25,3,FALSE)</f>
        <v>#DIV/0!</v>
      </c>
      <c r="V126" s="229" t="e">
        <f>IF(P126&gt;0,P126*I126/Z126,0)*VLOOKUP(B126,'2-Kosten per locatie'!$A$14:$C$25,3,FALSE)</f>
        <v>#DIV/0!</v>
      </c>
      <c r="W126" s="307">
        <f>IF(K126="nio",0,IF(K126&gt;0,VLOOKUP(G126,'3-Productie normen'!A:R,VLOOKUP(K126,'3-Productie normen'!$B$29:$C$41,2,FALSE),FALSE)))</f>
        <v>0</v>
      </c>
      <c r="X126" s="307">
        <f t="shared" si="17"/>
        <v>0</v>
      </c>
      <c r="Y126" s="307">
        <f t="shared" si="18"/>
        <v>0</v>
      </c>
      <c r="Z126" s="307">
        <f t="shared" si="19"/>
        <v>0</v>
      </c>
      <c r="AA126" s="308">
        <f>VLOOKUP(G126,'3-Productie normen'!A:U,15,FALSE)</f>
        <v>0</v>
      </c>
      <c r="AB126" s="309">
        <f>VLOOKUP(G126,'3-Productie normen'!A:U,16,FALSE)</f>
        <v>198.56500000000014</v>
      </c>
      <c r="AC126" s="308"/>
      <c r="AE126" s="310">
        <f t="shared" si="20"/>
        <v>424.48</v>
      </c>
    </row>
    <row r="127" spans="1:31" ht="14.1" hidden="1" customHeight="1">
      <c r="A127" s="75">
        <v>123</v>
      </c>
      <c r="B127" s="380" t="s">
        <v>61</v>
      </c>
      <c r="C127" s="276" t="s">
        <v>258</v>
      </c>
      <c r="D127" s="304" t="s">
        <v>236</v>
      </c>
      <c r="E127" s="305" t="s">
        <v>290</v>
      </c>
      <c r="F127" s="71" t="s">
        <v>195</v>
      </c>
      <c r="G127" s="71" t="s">
        <v>196</v>
      </c>
      <c r="H127" s="71" t="s">
        <v>192</v>
      </c>
      <c r="I127" s="388">
        <v>1.1200000000000001</v>
      </c>
      <c r="J127" s="306">
        <f t="shared" si="16"/>
        <v>0</v>
      </c>
      <c r="K127" s="230" t="s">
        <v>197</v>
      </c>
      <c r="L127" s="230"/>
      <c r="M127" s="230"/>
      <c r="N127" s="230"/>
      <c r="O127" s="230"/>
      <c r="P127" s="230"/>
      <c r="Q127" s="229">
        <f>IF(K127="nio",0,IF(K127&gt;0,K127*I127/W127,0))*VLOOKUP(B127,'2-Kosten per locatie'!$A$14:$C$25,3,FALSE)</f>
        <v>0</v>
      </c>
      <c r="R127" s="229">
        <f>IF(L127&gt;0,L127*I127/X127,0)*VLOOKUP(B127,'2-Kosten per locatie'!$A$14:$C$25,3,FALSE)</f>
        <v>0</v>
      </c>
      <c r="S127" s="229">
        <f>IF(M127&gt;0,M127*I127/Y127,0)*VLOOKUP(B127,'2-Kosten per locatie'!$A$14:$C$25,3,FALSE)</f>
        <v>0</v>
      </c>
      <c r="T127" s="229">
        <f>IF(N127&gt;0,N127*I127/Z127,0)*VLOOKUP(B127,'2-Kosten per locatie'!$A$14:$C$25,3,FALSE)</f>
        <v>0</v>
      </c>
      <c r="U127" s="229">
        <f>IF(O127&gt;0,O127*I127/Y127,0)*VLOOKUP(B127,'2-Kosten per locatie'!$A$14:$C$25,3,FALSE)</f>
        <v>0</v>
      </c>
      <c r="V127" s="229">
        <f>IF(P127&gt;0,P127*I127/Z127,0)*VLOOKUP(B127,'2-Kosten per locatie'!$A$14:$C$25,3,FALSE)</f>
        <v>0</v>
      </c>
      <c r="W127" s="307">
        <f>IF(K127="nio",0,IF(K127&gt;0,VLOOKUP(G127,'3-Productie normen'!A:R,VLOOKUP(K127,'3-Productie normen'!$B$29:$C$41,2,FALSE),FALSE)))</f>
        <v>0</v>
      </c>
      <c r="X127" s="307">
        <f t="shared" si="17"/>
        <v>0</v>
      </c>
      <c r="Y127" s="307">
        <f t="shared" si="18"/>
        <v>0</v>
      </c>
      <c r="Z127" s="307">
        <f t="shared" si="19"/>
        <v>0</v>
      </c>
      <c r="AA127" s="308" t="e">
        <f>VLOOKUP(G127,'3-Productie normen'!A:U,15,FALSE)</f>
        <v>#N/A</v>
      </c>
      <c r="AB127" s="309" t="e">
        <f>VLOOKUP(G127,'3-Productie normen'!A:U,16,FALSE)</f>
        <v>#N/A</v>
      </c>
      <c r="AC127" s="308"/>
      <c r="AE127" s="310">
        <f t="shared" si="20"/>
        <v>0</v>
      </c>
    </row>
    <row r="128" spans="1:31" ht="14.1" hidden="1" customHeight="1">
      <c r="A128" s="75">
        <v>124</v>
      </c>
      <c r="B128" s="380" t="s">
        <v>61</v>
      </c>
      <c r="C128" s="276" t="s">
        <v>258</v>
      </c>
      <c r="D128" s="304" t="s">
        <v>236</v>
      </c>
      <c r="E128" s="305" t="s">
        <v>291</v>
      </c>
      <c r="F128" s="71" t="s">
        <v>292</v>
      </c>
      <c r="G128" s="71" t="s">
        <v>96</v>
      </c>
      <c r="H128" s="71" t="s">
        <v>172</v>
      </c>
      <c r="I128" s="388">
        <v>2.2999999999999998</v>
      </c>
      <c r="J128" s="306">
        <f t="shared" si="16"/>
        <v>379</v>
      </c>
      <c r="K128" s="230">
        <v>213</v>
      </c>
      <c r="L128" s="230">
        <v>45</v>
      </c>
      <c r="M128" s="230">
        <v>87</v>
      </c>
      <c r="N128" s="230">
        <v>22</v>
      </c>
      <c r="O128" s="230">
        <v>8</v>
      </c>
      <c r="P128" s="230">
        <v>4</v>
      </c>
      <c r="Q128" s="229" t="e">
        <f>IF(K128="nio",0,IF(K128&gt;0,K128*I128/W128,0))*VLOOKUP(B128,'2-Kosten per locatie'!$A$14:$C$25,3,FALSE)</f>
        <v>#DIV/0!</v>
      </c>
      <c r="R128" s="229" t="e">
        <f>IF(L128&gt;0,L128*I128/X128,0)*VLOOKUP(B128,'2-Kosten per locatie'!$A$14:$C$25,3,FALSE)</f>
        <v>#DIV/0!</v>
      </c>
      <c r="S128" s="229" t="e">
        <f>IF(M128&gt;0,M128*I128/Y128,0)*VLOOKUP(B128,'2-Kosten per locatie'!$A$14:$C$25,3,FALSE)</f>
        <v>#DIV/0!</v>
      </c>
      <c r="T128" s="229" t="e">
        <f>IF(N128&gt;0,N128*I128/Z128,0)*VLOOKUP(B128,'2-Kosten per locatie'!$A$14:$C$25,3,FALSE)</f>
        <v>#DIV/0!</v>
      </c>
      <c r="U128" s="229" t="e">
        <f>IF(O128&gt;0,O128*I128/Y128,0)*VLOOKUP(B128,'2-Kosten per locatie'!$A$14:$C$25,3,FALSE)</f>
        <v>#DIV/0!</v>
      </c>
      <c r="V128" s="229" t="e">
        <f>IF(P128&gt;0,P128*I128/Z128,0)*VLOOKUP(B128,'2-Kosten per locatie'!$A$14:$C$25,3,FALSE)</f>
        <v>#DIV/0!</v>
      </c>
      <c r="W128" s="307">
        <f>IF(K128="nio",0,IF(K128&gt;0,VLOOKUP(G128,'3-Productie normen'!A:R,VLOOKUP(K128,'3-Productie normen'!$B$29:$C$41,2,FALSE),FALSE)))</f>
        <v>0</v>
      </c>
      <c r="X128" s="307">
        <f t="shared" si="17"/>
        <v>0</v>
      </c>
      <c r="Y128" s="307">
        <f t="shared" si="18"/>
        <v>0</v>
      </c>
      <c r="Z128" s="307">
        <f t="shared" si="19"/>
        <v>0</v>
      </c>
      <c r="AA128" s="308">
        <f>VLOOKUP(G128,'3-Productie normen'!A:U,15,FALSE)</f>
        <v>0</v>
      </c>
      <c r="AB128" s="309">
        <f>VLOOKUP(G128,'3-Productie normen'!A:U,16,FALSE)</f>
        <v>84.322499999999991</v>
      </c>
      <c r="AC128" s="308"/>
      <c r="AE128" s="310">
        <f t="shared" si="20"/>
        <v>871.69999999999993</v>
      </c>
    </row>
    <row r="129" spans="1:31" ht="14.1" hidden="1" customHeight="1">
      <c r="A129" s="75">
        <v>125</v>
      </c>
      <c r="B129" s="380" t="s">
        <v>61</v>
      </c>
      <c r="C129" s="276" t="s">
        <v>258</v>
      </c>
      <c r="D129" s="304" t="s">
        <v>236</v>
      </c>
      <c r="E129" s="305" t="s">
        <v>293</v>
      </c>
      <c r="F129" s="71" t="s">
        <v>294</v>
      </c>
      <c r="G129" s="71" t="s">
        <v>265</v>
      </c>
      <c r="H129" s="71" t="s">
        <v>192</v>
      </c>
      <c r="I129" s="388">
        <v>10.5</v>
      </c>
      <c r="J129" s="306">
        <f t="shared" si="16"/>
        <v>379</v>
      </c>
      <c r="K129" s="230">
        <v>213</v>
      </c>
      <c r="L129" s="230">
        <v>45</v>
      </c>
      <c r="M129" s="230">
        <v>87</v>
      </c>
      <c r="N129" s="230">
        <v>22</v>
      </c>
      <c r="O129" s="230">
        <v>8</v>
      </c>
      <c r="P129" s="230">
        <v>4</v>
      </c>
      <c r="Q129" s="229" t="e">
        <f>IF(K129="nio",0,IF(K129&gt;0,K129*I129/W129,0))*VLOOKUP(B129,'2-Kosten per locatie'!$A$14:$C$25,3,FALSE)</f>
        <v>#DIV/0!</v>
      </c>
      <c r="R129" s="229" t="e">
        <f>IF(L129&gt;0,L129*I129/X129,0)*VLOOKUP(B129,'2-Kosten per locatie'!$A$14:$C$25,3,FALSE)</f>
        <v>#DIV/0!</v>
      </c>
      <c r="S129" s="229" t="e">
        <f>IF(M129&gt;0,M129*I129/Y129,0)*VLOOKUP(B129,'2-Kosten per locatie'!$A$14:$C$25,3,FALSE)</f>
        <v>#DIV/0!</v>
      </c>
      <c r="T129" s="229" t="e">
        <f>IF(N129&gt;0,N129*I129/Z129,0)*VLOOKUP(B129,'2-Kosten per locatie'!$A$14:$C$25,3,FALSE)</f>
        <v>#DIV/0!</v>
      </c>
      <c r="U129" s="229" t="e">
        <f>IF(O129&gt;0,O129*I129/Y129,0)*VLOOKUP(B129,'2-Kosten per locatie'!$A$14:$C$25,3,FALSE)</f>
        <v>#DIV/0!</v>
      </c>
      <c r="V129" s="229" t="e">
        <f>IF(P129&gt;0,P129*I129/Z129,0)*VLOOKUP(B129,'2-Kosten per locatie'!$A$14:$C$25,3,FALSE)</f>
        <v>#DIV/0!</v>
      </c>
      <c r="W129" s="307">
        <f>IF(K129="nio",0,IF(K129&gt;0,VLOOKUP(G129,'3-Productie normen'!A:R,VLOOKUP(K129,'3-Productie normen'!$B$29:$C$41,2,FALSE),FALSE)))</f>
        <v>0</v>
      </c>
      <c r="X129" s="307">
        <f t="shared" si="17"/>
        <v>0</v>
      </c>
      <c r="Y129" s="307">
        <f t="shared" si="18"/>
        <v>0</v>
      </c>
      <c r="Z129" s="307">
        <f t="shared" si="19"/>
        <v>0</v>
      </c>
      <c r="AA129" s="308">
        <f>VLOOKUP(G129,'3-Productie normen'!A:U,15,FALSE)</f>
        <v>0</v>
      </c>
      <c r="AB129" s="309">
        <f>VLOOKUP(G129,'3-Productie normen'!A:U,16,FALSE)</f>
        <v>76.59999999999998</v>
      </c>
      <c r="AC129" s="308"/>
      <c r="AE129" s="310">
        <f t="shared" si="20"/>
        <v>3979.5</v>
      </c>
    </row>
    <row r="130" spans="1:31" ht="14.1" hidden="1" customHeight="1">
      <c r="A130" s="75">
        <v>126</v>
      </c>
      <c r="B130" s="380" t="s">
        <v>61</v>
      </c>
      <c r="C130" s="276" t="s">
        <v>258</v>
      </c>
      <c r="D130" s="304" t="s">
        <v>236</v>
      </c>
      <c r="E130" s="305" t="s">
        <v>295</v>
      </c>
      <c r="F130" s="71" t="s">
        <v>264</v>
      </c>
      <c r="G130" s="71" t="s">
        <v>265</v>
      </c>
      <c r="H130" s="71" t="s">
        <v>192</v>
      </c>
      <c r="I130" s="388">
        <v>1.5</v>
      </c>
      <c r="J130" s="306">
        <f t="shared" si="16"/>
        <v>379</v>
      </c>
      <c r="K130" s="230">
        <v>213</v>
      </c>
      <c r="L130" s="230">
        <v>45</v>
      </c>
      <c r="M130" s="230">
        <v>87</v>
      </c>
      <c r="N130" s="230">
        <v>22</v>
      </c>
      <c r="O130" s="230">
        <v>8</v>
      </c>
      <c r="P130" s="230">
        <v>4</v>
      </c>
      <c r="Q130" s="229" t="e">
        <f>IF(K130="nio",0,IF(K130&gt;0,K130*I130/W130,0))*VLOOKUP(B130,'2-Kosten per locatie'!$A$14:$C$25,3,FALSE)</f>
        <v>#DIV/0!</v>
      </c>
      <c r="R130" s="229" t="e">
        <f>IF(L130&gt;0,L130*I130/X130,0)*VLOOKUP(B130,'2-Kosten per locatie'!$A$14:$C$25,3,FALSE)</f>
        <v>#DIV/0!</v>
      </c>
      <c r="S130" s="229" t="e">
        <f>IF(M130&gt;0,M130*I130/Y130,0)*VLOOKUP(B130,'2-Kosten per locatie'!$A$14:$C$25,3,FALSE)</f>
        <v>#DIV/0!</v>
      </c>
      <c r="T130" s="229" t="e">
        <f>IF(N130&gt;0,N130*I130/Z130,0)*VLOOKUP(B130,'2-Kosten per locatie'!$A$14:$C$25,3,FALSE)</f>
        <v>#DIV/0!</v>
      </c>
      <c r="U130" s="229" t="e">
        <f>IF(O130&gt;0,O130*I130/Y130,0)*VLOOKUP(B130,'2-Kosten per locatie'!$A$14:$C$25,3,FALSE)</f>
        <v>#DIV/0!</v>
      </c>
      <c r="V130" s="229" t="e">
        <f>IF(P130&gt;0,P130*I130/Z130,0)*VLOOKUP(B130,'2-Kosten per locatie'!$A$14:$C$25,3,FALSE)</f>
        <v>#DIV/0!</v>
      </c>
      <c r="W130" s="307">
        <f>IF(K130="nio",0,IF(K130&gt;0,VLOOKUP(G130,'3-Productie normen'!A:R,VLOOKUP(K130,'3-Productie normen'!$B$29:$C$41,2,FALSE),FALSE)))</f>
        <v>0</v>
      </c>
      <c r="X130" s="307">
        <f t="shared" si="17"/>
        <v>0</v>
      </c>
      <c r="Y130" s="307">
        <f t="shared" si="18"/>
        <v>0</v>
      </c>
      <c r="Z130" s="307">
        <f t="shared" si="19"/>
        <v>0</v>
      </c>
      <c r="AA130" s="308">
        <f>VLOOKUP(G130,'3-Productie normen'!A:U,15,FALSE)</f>
        <v>0</v>
      </c>
      <c r="AB130" s="309">
        <f>VLOOKUP(G130,'3-Productie normen'!A:U,16,FALSE)</f>
        <v>76.59999999999998</v>
      </c>
      <c r="AC130" s="308"/>
      <c r="AE130" s="310">
        <f t="shared" si="20"/>
        <v>568.5</v>
      </c>
    </row>
    <row r="131" spans="1:31" ht="14.1" hidden="1" customHeight="1">
      <c r="A131" s="75">
        <v>127</v>
      </c>
      <c r="B131" s="380" t="s">
        <v>61</v>
      </c>
      <c r="C131" s="276" t="s">
        <v>258</v>
      </c>
      <c r="D131" s="304" t="s">
        <v>236</v>
      </c>
      <c r="E131" s="305" t="s">
        <v>296</v>
      </c>
      <c r="F131" s="71" t="s">
        <v>267</v>
      </c>
      <c r="G131" s="71" t="s">
        <v>265</v>
      </c>
      <c r="H131" s="71" t="s">
        <v>192</v>
      </c>
      <c r="I131" s="388">
        <v>1.5</v>
      </c>
      <c r="J131" s="306">
        <f t="shared" si="16"/>
        <v>379</v>
      </c>
      <c r="K131" s="230">
        <v>213</v>
      </c>
      <c r="L131" s="230">
        <v>45</v>
      </c>
      <c r="M131" s="230">
        <v>87</v>
      </c>
      <c r="N131" s="230">
        <v>22</v>
      </c>
      <c r="O131" s="230">
        <v>8</v>
      </c>
      <c r="P131" s="230">
        <v>4</v>
      </c>
      <c r="Q131" s="229" t="e">
        <f>IF(K131="nio",0,IF(K131&gt;0,K131*I131/W131,0))*VLOOKUP(B131,'2-Kosten per locatie'!$A$14:$C$25,3,FALSE)</f>
        <v>#DIV/0!</v>
      </c>
      <c r="R131" s="229" t="e">
        <f>IF(L131&gt;0,L131*I131/X131,0)*VLOOKUP(B131,'2-Kosten per locatie'!$A$14:$C$25,3,FALSE)</f>
        <v>#DIV/0!</v>
      </c>
      <c r="S131" s="229" t="e">
        <f>IF(M131&gt;0,M131*I131/Y131,0)*VLOOKUP(B131,'2-Kosten per locatie'!$A$14:$C$25,3,FALSE)</f>
        <v>#DIV/0!</v>
      </c>
      <c r="T131" s="229" t="e">
        <f>IF(N131&gt;0,N131*I131/Z131,0)*VLOOKUP(B131,'2-Kosten per locatie'!$A$14:$C$25,3,FALSE)</f>
        <v>#DIV/0!</v>
      </c>
      <c r="U131" s="229" t="e">
        <f>IF(O131&gt;0,O131*I131/Y131,0)*VLOOKUP(B131,'2-Kosten per locatie'!$A$14:$C$25,3,FALSE)</f>
        <v>#DIV/0!</v>
      </c>
      <c r="V131" s="229" t="e">
        <f>IF(P131&gt;0,P131*I131/Z131,0)*VLOOKUP(B131,'2-Kosten per locatie'!$A$14:$C$25,3,FALSE)</f>
        <v>#DIV/0!</v>
      </c>
      <c r="W131" s="307">
        <f>IF(K131="nio",0,IF(K131&gt;0,VLOOKUP(G131,'3-Productie normen'!A:R,VLOOKUP(K131,'3-Productie normen'!$B$29:$C$41,2,FALSE),FALSE)))</f>
        <v>0</v>
      </c>
      <c r="X131" s="307">
        <f t="shared" si="17"/>
        <v>0</v>
      </c>
      <c r="Y131" s="307">
        <f t="shared" si="18"/>
        <v>0</v>
      </c>
      <c r="Z131" s="307">
        <f t="shared" si="19"/>
        <v>0</v>
      </c>
      <c r="AA131" s="308">
        <f>VLOOKUP(G131,'3-Productie normen'!A:U,15,FALSE)</f>
        <v>0</v>
      </c>
      <c r="AB131" s="309">
        <f>VLOOKUP(G131,'3-Productie normen'!A:U,16,FALSE)</f>
        <v>76.59999999999998</v>
      </c>
      <c r="AC131" s="308"/>
      <c r="AE131" s="310">
        <f t="shared" si="20"/>
        <v>568.5</v>
      </c>
    </row>
    <row r="132" spans="1:31" ht="14.1" hidden="1" customHeight="1">
      <c r="A132" s="75">
        <v>128</v>
      </c>
      <c r="B132" s="380" t="s">
        <v>61</v>
      </c>
      <c r="C132" s="276" t="s">
        <v>258</v>
      </c>
      <c r="D132" s="304" t="s">
        <v>236</v>
      </c>
      <c r="E132" s="305" t="s">
        <v>297</v>
      </c>
      <c r="F132" s="71" t="s">
        <v>269</v>
      </c>
      <c r="G132" s="71" t="s">
        <v>265</v>
      </c>
      <c r="H132" s="71" t="s">
        <v>192</v>
      </c>
      <c r="I132" s="388">
        <v>1.5</v>
      </c>
      <c r="J132" s="306">
        <f t="shared" si="16"/>
        <v>379</v>
      </c>
      <c r="K132" s="230">
        <v>213</v>
      </c>
      <c r="L132" s="230">
        <v>45</v>
      </c>
      <c r="M132" s="230">
        <v>87</v>
      </c>
      <c r="N132" s="230">
        <v>22</v>
      </c>
      <c r="O132" s="230">
        <v>8</v>
      </c>
      <c r="P132" s="230">
        <v>4</v>
      </c>
      <c r="Q132" s="229" t="e">
        <f>IF(K132="nio",0,IF(K132&gt;0,K132*I132/W132,0))*VLOOKUP(B132,'2-Kosten per locatie'!$A$14:$C$25,3,FALSE)</f>
        <v>#DIV/0!</v>
      </c>
      <c r="R132" s="229" t="e">
        <f>IF(L132&gt;0,L132*I132/X132,0)*VLOOKUP(B132,'2-Kosten per locatie'!$A$14:$C$25,3,FALSE)</f>
        <v>#DIV/0!</v>
      </c>
      <c r="S132" s="229" t="e">
        <f>IF(M132&gt;0,M132*I132/Y132,0)*VLOOKUP(B132,'2-Kosten per locatie'!$A$14:$C$25,3,FALSE)</f>
        <v>#DIV/0!</v>
      </c>
      <c r="T132" s="229" t="e">
        <f>IF(N132&gt;0,N132*I132/Z132,0)*VLOOKUP(B132,'2-Kosten per locatie'!$A$14:$C$25,3,FALSE)</f>
        <v>#DIV/0!</v>
      </c>
      <c r="U132" s="229" t="e">
        <f>IF(O132&gt;0,O132*I132/Y132,0)*VLOOKUP(B132,'2-Kosten per locatie'!$A$14:$C$25,3,FALSE)</f>
        <v>#DIV/0!</v>
      </c>
      <c r="V132" s="229" t="e">
        <f>IF(P132&gt;0,P132*I132/Z132,0)*VLOOKUP(B132,'2-Kosten per locatie'!$A$14:$C$25,3,FALSE)</f>
        <v>#DIV/0!</v>
      </c>
      <c r="W132" s="307">
        <f>IF(K132="nio",0,IF(K132&gt;0,VLOOKUP(G132,'3-Productie normen'!A:R,VLOOKUP(K132,'3-Productie normen'!$B$29:$C$41,2,FALSE),FALSE)))</f>
        <v>0</v>
      </c>
      <c r="X132" s="307">
        <f t="shared" si="17"/>
        <v>0</v>
      </c>
      <c r="Y132" s="307">
        <f t="shared" si="18"/>
        <v>0</v>
      </c>
      <c r="Z132" s="307">
        <f t="shared" si="19"/>
        <v>0</v>
      </c>
      <c r="AA132" s="308">
        <f>VLOOKUP(G132,'3-Productie normen'!A:U,15,FALSE)</f>
        <v>0</v>
      </c>
      <c r="AB132" s="309">
        <f>VLOOKUP(G132,'3-Productie normen'!A:U,16,FALSE)</f>
        <v>76.59999999999998</v>
      </c>
      <c r="AC132" s="308"/>
      <c r="AE132" s="310">
        <f t="shared" si="20"/>
        <v>568.5</v>
      </c>
    </row>
    <row r="133" spans="1:31" ht="14.1" hidden="1" customHeight="1">
      <c r="A133" s="75">
        <v>129</v>
      </c>
      <c r="B133" s="380" t="s">
        <v>61</v>
      </c>
      <c r="C133" s="276" t="s">
        <v>258</v>
      </c>
      <c r="D133" s="304" t="s">
        <v>236</v>
      </c>
      <c r="E133" s="305" t="s">
        <v>298</v>
      </c>
      <c r="F133" s="71" t="s">
        <v>271</v>
      </c>
      <c r="G133" s="71" t="s">
        <v>265</v>
      </c>
      <c r="H133" s="71" t="s">
        <v>192</v>
      </c>
      <c r="I133" s="388">
        <v>1.5</v>
      </c>
      <c r="J133" s="306">
        <f t="shared" si="16"/>
        <v>379</v>
      </c>
      <c r="K133" s="230">
        <v>213</v>
      </c>
      <c r="L133" s="230">
        <v>45</v>
      </c>
      <c r="M133" s="230">
        <v>87</v>
      </c>
      <c r="N133" s="230">
        <v>22</v>
      </c>
      <c r="O133" s="230">
        <v>8</v>
      </c>
      <c r="P133" s="230">
        <v>4</v>
      </c>
      <c r="Q133" s="229" t="e">
        <f>IF(K133="nio",0,IF(K133&gt;0,K133*I133/W133,0))*VLOOKUP(B133,'2-Kosten per locatie'!$A$14:$C$25,3,FALSE)</f>
        <v>#DIV/0!</v>
      </c>
      <c r="R133" s="229" t="e">
        <f>IF(L133&gt;0,L133*I133/X133,0)*VLOOKUP(B133,'2-Kosten per locatie'!$A$14:$C$25,3,FALSE)</f>
        <v>#DIV/0!</v>
      </c>
      <c r="S133" s="229" t="e">
        <f>IF(M133&gt;0,M133*I133/Y133,0)*VLOOKUP(B133,'2-Kosten per locatie'!$A$14:$C$25,3,FALSE)</f>
        <v>#DIV/0!</v>
      </c>
      <c r="T133" s="229" t="e">
        <f>IF(N133&gt;0,N133*I133/Z133,0)*VLOOKUP(B133,'2-Kosten per locatie'!$A$14:$C$25,3,FALSE)</f>
        <v>#DIV/0!</v>
      </c>
      <c r="U133" s="229" t="e">
        <f>IF(O133&gt;0,O133*I133/Y133,0)*VLOOKUP(B133,'2-Kosten per locatie'!$A$14:$C$25,3,FALSE)</f>
        <v>#DIV/0!</v>
      </c>
      <c r="V133" s="229" t="e">
        <f>IF(P133&gt;0,P133*I133/Z133,0)*VLOOKUP(B133,'2-Kosten per locatie'!$A$14:$C$25,3,FALSE)</f>
        <v>#DIV/0!</v>
      </c>
      <c r="W133" s="307">
        <f>IF(K133="nio",0,IF(K133&gt;0,VLOOKUP(G133,'3-Productie normen'!A:R,VLOOKUP(K133,'3-Productie normen'!$B$29:$C$41,2,FALSE),FALSE)))</f>
        <v>0</v>
      </c>
      <c r="X133" s="307">
        <f t="shared" si="17"/>
        <v>0</v>
      </c>
      <c r="Y133" s="307">
        <f t="shared" si="18"/>
        <v>0</v>
      </c>
      <c r="Z133" s="307">
        <f t="shared" si="19"/>
        <v>0</v>
      </c>
      <c r="AA133" s="308">
        <f>VLOOKUP(G133,'3-Productie normen'!A:U,15,FALSE)</f>
        <v>0</v>
      </c>
      <c r="AB133" s="309">
        <f>VLOOKUP(G133,'3-Productie normen'!A:U,16,FALSE)</f>
        <v>76.59999999999998</v>
      </c>
      <c r="AC133" s="308"/>
      <c r="AE133" s="310">
        <f t="shared" si="20"/>
        <v>568.5</v>
      </c>
    </row>
    <row r="134" spans="1:31" ht="14.1" hidden="1" customHeight="1">
      <c r="A134" s="75">
        <v>130</v>
      </c>
      <c r="B134" s="380" t="s">
        <v>61</v>
      </c>
      <c r="C134" s="276" t="s">
        <v>258</v>
      </c>
      <c r="D134" s="304" t="s">
        <v>236</v>
      </c>
      <c r="E134" s="305" t="s">
        <v>299</v>
      </c>
      <c r="F134" s="71" t="s">
        <v>273</v>
      </c>
      <c r="G134" s="71" t="s">
        <v>265</v>
      </c>
      <c r="H134" s="71" t="s">
        <v>192</v>
      </c>
      <c r="I134" s="388">
        <v>1.5</v>
      </c>
      <c r="J134" s="306">
        <f t="shared" si="16"/>
        <v>379</v>
      </c>
      <c r="K134" s="230">
        <v>213</v>
      </c>
      <c r="L134" s="230">
        <v>45</v>
      </c>
      <c r="M134" s="230">
        <v>87</v>
      </c>
      <c r="N134" s="230">
        <v>22</v>
      </c>
      <c r="O134" s="230">
        <v>8</v>
      </c>
      <c r="P134" s="230">
        <v>4</v>
      </c>
      <c r="Q134" s="229" t="e">
        <f>IF(K134="nio",0,IF(K134&gt;0,K134*I134/W134,0))*VLOOKUP(B134,'2-Kosten per locatie'!$A$14:$C$25,3,FALSE)</f>
        <v>#DIV/0!</v>
      </c>
      <c r="R134" s="229" t="e">
        <f>IF(L134&gt;0,L134*I134/X134,0)*VLOOKUP(B134,'2-Kosten per locatie'!$A$14:$C$25,3,FALSE)</f>
        <v>#DIV/0!</v>
      </c>
      <c r="S134" s="229" t="e">
        <f>IF(M134&gt;0,M134*I134/Y134,0)*VLOOKUP(B134,'2-Kosten per locatie'!$A$14:$C$25,3,FALSE)</f>
        <v>#DIV/0!</v>
      </c>
      <c r="T134" s="229" t="e">
        <f>IF(N134&gt;0,N134*I134/Z134,0)*VLOOKUP(B134,'2-Kosten per locatie'!$A$14:$C$25,3,FALSE)</f>
        <v>#DIV/0!</v>
      </c>
      <c r="U134" s="229" t="e">
        <f>IF(O134&gt;0,O134*I134/Y134,0)*VLOOKUP(B134,'2-Kosten per locatie'!$A$14:$C$25,3,FALSE)</f>
        <v>#DIV/0!</v>
      </c>
      <c r="V134" s="229" t="e">
        <f>IF(P134&gt;0,P134*I134/Z134,0)*VLOOKUP(B134,'2-Kosten per locatie'!$A$14:$C$25,3,FALSE)</f>
        <v>#DIV/0!</v>
      </c>
      <c r="W134" s="307">
        <f>IF(K134="nio",0,IF(K134&gt;0,VLOOKUP(G134,'3-Productie normen'!A:R,VLOOKUP(K134,'3-Productie normen'!$B$29:$C$41,2,FALSE),FALSE)))</f>
        <v>0</v>
      </c>
      <c r="X134" s="307">
        <f t="shared" si="17"/>
        <v>0</v>
      </c>
      <c r="Y134" s="307">
        <f t="shared" si="18"/>
        <v>0</v>
      </c>
      <c r="Z134" s="307">
        <f t="shared" si="19"/>
        <v>0</v>
      </c>
      <c r="AA134" s="308">
        <f>VLOOKUP(G134,'3-Productie normen'!A:U,15,FALSE)</f>
        <v>0</v>
      </c>
      <c r="AB134" s="309">
        <f>VLOOKUP(G134,'3-Productie normen'!A:U,16,FALSE)</f>
        <v>76.59999999999998</v>
      </c>
      <c r="AC134" s="308"/>
      <c r="AE134" s="310">
        <f t="shared" si="20"/>
        <v>568.5</v>
      </c>
    </row>
    <row r="135" spans="1:31" ht="14.1" hidden="1" customHeight="1">
      <c r="A135" s="75">
        <v>131</v>
      </c>
      <c r="B135" s="380" t="s">
        <v>61</v>
      </c>
      <c r="C135" s="276" t="s">
        <v>258</v>
      </c>
      <c r="D135" s="304" t="s">
        <v>236</v>
      </c>
      <c r="E135" s="305" t="s">
        <v>300</v>
      </c>
      <c r="F135" s="71" t="s">
        <v>275</v>
      </c>
      <c r="G135" s="71" t="s">
        <v>265</v>
      </c>
      <c r="H135" s="71" t="s">
        <v>192</v>
      </c>
      <c r="I135" s="388">
        <v>1.5</v>
      </c>
      <c r="J135" s="306">
        <f t="shared" si="16"/>
        <v>379</v>
      </c>
      <c r="K135" s="230">
        <v>213</v>
      </c>
      <c r="L135" s="230">
        <v>45</v>
      </c>
      <c r="M135" s="230">
        <v>87</v>
      </c>
      <c r="N135" s="230">
        <v>22</v>
      </c>
      <c r="O135" s="230">
        <v>8</v>
      </c>
      <c r="P135" s="230">
        <v>4</v>
      </c>
      <c r="Q135" s="229" t="e">
        <f>IF(K135="nio",0,IF(K135&gt;0,K135*I135/W135,0))*VLOOKUP(B135,'2-Kosten per locatie'!$A$14:$C$25,3,FALSE)</f>
        <v>#DIV/0!</v>
      </c>
      <c r="R135" s="229" t="e">
        <f>IF(L135&gt;0,L135*I135/X135,0)*VLOOKUP(B135,'2-Kosten per locatie'!$A$14:$C$25,3,FALSE)</f>
        <v>#DIV/0!</v>
      </c>
      <c r="S135" s="229" t="e">
        <f>IF(M135&gt;0,M135*I135/Y135,0)*VLOOKUP(B135,'2-Kosten per locatie'!$A$14:$C$25,3,FALSE)</f>
        <v>#DIV/0!</v>
      </c>
      <c r="T135" s="229" t="e">
        <f>IF(N135&gt;0,N135*I135/Z135,0)*VLOOKUP(B135,'2-Kosten per locatie'!$A$14:$C$25,3,FALSE)</f>
        <v>#DIV/0!</v>
      </c>
      <c r="U135" s="229" t="e">
        <f>IF(O135&gt;0,O135*I135/Y135,0)*VLOOKUP(B135,'2-Kosten per locatie'!$A$14:$C$25,3,FALSE)</f>
        <v>#DIV/0!</v>
      </c>
      <c r="V135" s="229" t="e">
        <f>IF(P135&gt;0,P135*I135/Z135,0)*VLOOKUP(B135,'2-Kosten per locatie'!$A$14:$C$25,3,FALSE)</f>
        <v>#DIV/0!</v>
      </c>
      <c r="W135" s="307">
        <f>IF(K135="nio",0,IF(K135&gt;0,VLOOKUP(G135,'3-Productie normen'!A:R,VLOOKUP(K135,'3-Productie normen'!$B$29:$C$41,2,FALSE),FALSE)))</f>
        <v>0</v>
      </c>
      <c r="X135" s="307">
        <f t="shared" si="17"/>
        <v>0</v>
      </c>
      <c r="Y135" s="307">
        <f t="shared" si="18"/>
        <v>0</v>
      </c>
      <c r="Z135" s="307">
        <f t="shared" si="19"/>
        <v>0</v>
      </c>
      <c r="AA135" s="308">
        <f>VLOOKUP(G135,'3-Productie normen'!A:U,15,FALSE)</f>
        <v>0</v>
      </c>
      <c r="AB135" s="309">
        <f>VLOOKUP(G135,'3-Productie normen'!A:U,16,FALSE)</f>
        <v>76.59999999999998</v>
      </c>
      <c r="AC135" s="308"/>
      <c r="AE135" s="310">
        <f t="shared" si="20"/>
        <v>568.5</v>
      </c>
    </row>
    <row r="136" spans="1:31" ht="14.1" hidden="1" customHeight="1">
      <c r="A136" s="75">
        <v>132</v>
      </c>
      <c r="B136" s="380" t="s">
        <v>61</v>
      </c>
      <c r="C136" s="276" t="s">
        <v>258</v>
      </c>
      <c r="D136" s="304" t="s">
        <v>236</v>
      </c>
      <c r="E136" s="305" t="s">
        <v>301</v>
      </c>
      <c r="F136" s="71" t="s">
        <v>277</v>
      </c>
      <c r="G136" s="71" t="s">
        <v>265</v>
      </c>
      <c r="H136" s="71" t="s">
        <v>192</v>
      </c>
      <c r="I136" s="388">
        <v>1.5</v>
      </c>
      <c r="J136" s="306">
        <f t="shared" si="16"/>
        <v>379</v>
      </c>
      <c r="K136" s="230">
        <v>213</v>
      </c>
      <c r="L136" s="230">
        <v>45</v>
      </c>
      <c r="M136" s="230">
        <v>87</v>
      </c>
      <c r="N136" s="230">
        <v>22</v>
      </c>
      <c r="O136" s="230">
        <v>8</v>
      </c>
      <c r="P136" s="230">
        <v>4</v>
      </c>
      <c r="Q136" s="229" t="e">
        <f>IF(K136="nio",0,IF(K136&gt;0,K136*I136/W136,0))*VLOOKUP(B136,'2-Kosten per locatie'!$A$14:$C$25,3,FALSE)</f>
        <v>#DIV/0!</v>
      </c>
      <c r="R136" s="229" t="e">
        <f>IF(L136&gt;0,L136*I136/X136,0)*VLOOKUP(B136,'2-Kosten per locatie'!$A$14:$C$25,3,FALSE)</f>
        <v>#DIV/0!</v>
      </c>
      <c r="S136" s="229" t="e">
        <f>IF(M136&gt;0,M136*I136/Y136,0)*VLOOKUP(B136,'2-Kosten per locatie'!$A$14:$C$25,3,FALSE)</f>
        <v>#DIV/0!</v>
      </c>
      <c r="T136" s="229" t="e">
        <f>IF(N136&gt;0,N136*I136/Z136,0)*VLOOKUP(B136,'2-Kosten per locatie'!$A$14:$C$25,3,FALSE)</f>
        <v>#DIV/0!</v>
      </c>
      <c r="U136" s="229" t="e">
        <f>IF(O136&gt;0,O136*I136/Y136,0)*VLOOKUP(B136,'2-Kosten per locatie'!$A$14:$C$25,3,FALSE)</f>
        <v>#DIV/0!</v>
      </c>
      <c r="V136" s="229" t="e">
        <f>IF(P136&gt;0,P136*I136/Z136,0)*VLOOKUP(B136,'2-Kosten per locatie'!$A$14:$C$25,3,FALSE)</f>
        <v>#DIV/0!</v>
      </c>
      <c r="W136" s="307">
        <f>IF(K136="nio",0,IF(K136&gt;0,VLOOKUP(G136,'3-Productie normen'!A:R,VLOOKUP(K136,'3-Productie normen'!$B$29:$C$41,2,FALSE),FALSE)))</f>
        <v>0</v>
      </c>
      <c r="X136" s="307">
        <f t="shared" si="17"/>
        <v>0</v>
      </c>
      <c r="Y136" s="307">
        <f t="shared" si="18"/>
        <v>0</v>
      </c>
      <c r="Z136" s="307">
        <f t="shared" si="19"/>
        <v>0</v>
      </c>
      <c r="AA136" s="308">
        <f>VLOOKUP(G136,'3-Productie normen'!A:U,15,FALSE)</f>
        <v>0</v>
      </c>
      <c r="AB136" s="309">
        <f>VLOOKUP(G136,'3-Productie normen'!A:U,16,FALSE)</f>
        <v>76.59999999999998</v>
      </c>
      <c r="AC136" s="308"/>
      <c r="AE136" s="310">
        <f t="shared" si="20"/>
        <v>568.5</v>
      </c>
    </row>
    <row r="137" spans="1:31" ht="14.1" hidden="1" customHeight="1">
      <c r="A137" s="75">
        <v>133</v>
      </c>
      <c r="B137" s="380" t="s">
        <v>61</v>
      </c>
      <c r="C137" s="276" t="s">
        <v>258</v>
      </c>
      <c r="D137" s="304" t="s">
        <v>236</v>
      </c>
      <c r="E137" s="305" t="s">
        <v>302</v>
      </c>
      <c r="F137" s="71" t="s">
        <v>279</v>
      </c>
      <c r="G137" s="71" t="s">
        <v>103</v>
      </c>
      <c r="H137" s="71" t="s">
        <v>192</v>
      </c>
      <c r="I137" s="388">
        <v>1.06</v>
      </c>
      <c r="J137" s="306">
        <f t="shared" si="16"/>
        <v>379</v>
      </c>
      <c r="K137" s="230">
        <v>213</v>
      </c>
      <c r="L137" s="230">
        <v>45</v>
      </c>
      <c r="M137" s="230">
        <v>87</v>
      </c>
      <c r="N137" s="230">
        <v>22</v>
      </c>
      <c r="O137" s="230">
        <v>8</v>
      </c>
      <c r="P137" s="230">
        <v>4</v>
      </c>
      <c r="Q137" s="229" t="e">
        <f>IF(K137="nio",0,IF(K137&gt;0,K137*I137/W137,0))*VLOOKUP(B137,'2-Kosten per locatie'!$A$14:$C$25,3,FALSE)</f>
        <v>#DIV/0!</v>
      </c>
      <c r="R137" s="229" t="e">
        <f>IF(L137&gt;0,L137*I137/X137,0)*VLOOKUP(B137,'2-Kosten per locatie'!$A$14:$C$25,3,FALSE)</f>
        <v>#DIV/0!</v>
      </c>
      <c r="S137" s="229" t="e">
        <f>IF(M137&gt;0,M137*I137/Y137,0)*VLOOKUP(B137,'2-Kosten per locatie'!$A$14:$C$25,3,FALSE)</f>
        <v>#DIV/0!</v>
      </c>
      <c r="T137" s="229" t="e">
        <f>IF(N137&gt;0,N137*I137/Z137,0)*VLOOKUP(B137,'2-Kosten per locatie'!$A$14:$C$25,3,FALSE)</f>
        <v>#DIV/0!</v>
      </c>
      <c r="U137" s="229" t="e">
        <f>IF(O137&gt;0,O137*I137/Y137,0)*VLOOKUP(B137,'2-Kosten per locatie'!$A$14:$C$25,3,FALSE)</f>
        <v>#DIV/0!</v>
      </c>
      <c r="V137" s="229" t="e">
        <f>IF(P137&gt;0,P137*I137/Z137,0)*VLOOKUP(B137,'2-Kosten per locatie'!$A$14:$C$25,3,FALSE)</f>
        <v>#DIV/0!</v>
      </c>
      <c r="W137" s="307">
        <f>IF(K137="nio",0,IF(K137&gt;0,VLOOKUP(G137,'3-Productie normen'!A:R,VLOOKUP(K137,'3-Productie normen'!$B$29:$C$41,2,FALSE),FALSE)))</f>
        <v>0</v>
      </c>
      <c r="X137" s="307">
        <f t="shared" si="17"/>
        <v>0</v>
      </c>
      <c r="Y137" s="307">
        <f t="shared" si="18"/>
        <v>0</v>
      </c>
      <c r="Z137" s="307">
        <f t="shared" si="19"/>
        <v>0</v>
      </c>
      <c r="AA137" s="308">
        <f>VLOOKUP(G137,'3-Productie normen'!A:U,15,FALSE)</f>
        <v>0</v>
      </c>
      <c r="AB137" s="309">
        <f>VLOOKUP(G137,'3-Productie normen'!A:U,16,FALSE)</f>
        <v>198.56500000000014</v>
      </c>
      <c r="AC137" s="308"/>
      <c r="AE137" s="310">
        <f t="shared" si="20"/>
        <v>401.74</v>
      </c>
    </row>
    <row r="138" spans="1:31" ht="14.1" hidden="1" customHeight="1">
      <c r="A138" s="75">
        <v>134</v>
      </c>
      <c r="B138" s="380" t="s">
        <v>61</v>
      </c>
      <c r="C138" s="276" t="s">
        <v>258</v>
      </c>
      <c r="D138" s="304" t="s">
        <v>236</v>
      </c>
      <c r="E138" s="305" t="s">
        <v>303</v>
      </c>
      <c r="F138" s="71" t="s">
        <v>281</v>
      </c>
      <c r="G138" s="71" t="s">
        <v>103</v>
      </c>
      <c r="H138" s="71" t="s">
        <v>192</v>
      </c>
      <c r="I138" s="388">
        <v>1.06</v>
      </c>
      <c r="J138" s="306">
        <f t="shared" si="16"/>
        <v>379</v>
      </c>
      <c r="K138" s="230">
        <v>213</v>
      </c>
      <c r="L138" s="230">
        <v>45</v>
      </c>
      <c r="M138" s="230">
        <v>87</v>
      </c>
      <c r="N138" s="230">
        <v>22</v>
      </c>
      <c r="O138" s="230">
        <v>8</v>
      </c>
      <c r="P138" s="230">
        <v>4</v>
      </c>
      <c r="Q138" s="229" t="e">
        <f>IF(K138="nio",0,IF(K138&gt;0,K138*I138/W138,0))*VLOOKUP(B138,'2-Kosten per locatie'!$A$14:$C$25,3,FALSE)</f>
        <v>#DIV/0!</v>
      </c>
      <c r="R138" s="229" t="e">
        <f>IF(L138&gt;0,L138*I138/X138,0)*VLOOKUP(B138,'2-Kosten per locatie'!$A$14:$C$25,3,FALSE)</f>
        <v>#DIV/0!</v>
      </c>
      <c r="S138" s="229" t="e">
        <f>IF(M138&gt;0,M138*I138/Y138,0)*VLOOKUP(B138,'2-Kosten per locatie'!$A$14:$C$25,3,FALSE)</f>
        <v>#DIV/0!</v>
      </c>
      <c r="T138" s="229" t="e">
        <f>IF(N138&gt;0,N138*I138/Z138,0)*VLOOKUP(B138,'2-Kosten per locatie'!$A$14:$C$25,3,FALSE)</f>
        <v>#DIV/0!</v>
      </c>
      <c r="U138" s="229" t="e">
        <f>IF(O138&gt;0,O138*I138/Y138,0)*VLOOKUP(B138,'2-Kosten per locatie'!$A$14:$C$25,3,FALSE)</f>
        <v>#DIV/0!</v>
      </c>
      <c r="V138" s="229" t="e">
        <f>IF(P138&gt;0,P138*I138/Z138,0)*VLOOKUP(B138,'2-Kosten per locatie'!$A$14:$C$25,3,FALSE)</f>
        <v>#DIV/0!</v>
      </c>
      <c r="W138" s="307">
        <f>IF(K138="nio",0,IF(K138&gt;0,VLOOKUP(G138,'3-Productie normen'!A:R,VLOOKUP(K138,'3-Productie normen'!$B$29:$C$41,2,FALSE),FALSE)))</f>
        <v>0</v>
      </c>
      <c r="X138" s="307">
        <f t="shared" si="17"/>
        <v>0</v>
      </c>
      <c r="Y138" s="307">
        <f t="shared" si="18"/>
        <v>0</v>
      </c>
      <c r="Z138" s="307">
        <f t="shared" si="19"/>
        <v>0</v>
      </c>
      <c r="AA138" s="308">
        <f>VLOOKUP(G138,'3-Productie normen'!A:U,15,FALSE)</f>
        <v>0</v>
      </c>
      <c r="AB138" s="309">
        <f>VLOOKUP(G138,'3-Productie normen'!A:U,16,FALSE)</f>
        <v>198.56500000000014</v>
      </c>
      <c r="AC138" s="308"/>
      <c r="AE138" s="310">
        <f t="shared" si="20"/>
        <v>401.74</v>
      </c>
    </row>
    <row r="139" spans="1:31" ht="14.1" hidden="1" customHeight="1">
      <c r="A139" s="75">
        <v>135</v>
      </c>
      <c r="B139" s="380" t="s">
        <v>61</v>
      </c>
      <c r="C139" s="276" t="s">
        <v>258</v>
      </c>
      <c r="D139" s="304" t="s">
        <v>236</v>
      </c>
      <c r="E139" s="305" t="s">
        <v>304</v>
      </c>
      <c r="F139" s="71" t="s">
        <v>283</v>
      </c>
      <c r="G139" s="71" t="s">
        <v>103</v>
      </c>
      <c r="H139" s="71" t="s">
        <v>192</v>
      </c>
      <c r="I139" s="388">
        <v>1.06</v>
      </c>
      <c r="J139" s="306">
        <f t="shared" si="16"/>
        <v>379</v>
      </c>
      <c r="K139" s="230">
        <v>213</v>
      </c>
      <c r="L139" s="230">
        <v>45</v>
      </c>
      <c r="M139" s="230">
        <v>87</v>
      </c>
      <c r="N139" s="230">
        <v>22</v>
      </c>
      <c r="O139" s="230">
        <v>8</v>
      </c>
      <c r="P139" s="230">
        <v>4</v>
      </c>
      <c r="Q139" s="229" t="e">
        <f>IF(K139="nio",0,IF(K139&gt;0,K139*I139/W139,0))*VLOOKUP(B139,'2-Kosten per locatie'!$A$14:$C$25,3,FALSE)</f>
        <v>#DIV/0!</v>
      </c>
      <c r="R139" s="229" t="e">
        <f>IF(L139&gt;0,L139*I139/X139,0)*VLOOKUP(B139,'2-Kosten per locatie'!$A$14:$C$25,3,FALSE)</f>
        <v>#DIV/0!</v>
      </c>
      <c r="S139" s="229" t="e">
        <f>IF(M139&gt;0,M139*I139/Y139,0)*VLOOKUP(B139,'2-Kosten per locatie'!$A$14:$C$25,3,FALSE)</f>
        <v>#DIV/0!</v>
      </c>
      <c r="T139" s="229" t="e">
        <f>IF(N139&gt;0,N139*I139/Z139,0)*VLOOKUP(B139,'2-Kosten per locatie'!$A$14:$C$25,3,FALSE)</f>
        <v>#DIV/0!</v>
      </c>
      <c r="U139" s="229" t="e">
        <f>IF(O139&gt;0,O139*I139/Y139,0)*VLOOKUP(B139,'2-Kosten per locatie'!$A$14:$C$25,3,FALSE)</f>
        <v>#DIV/0!</v>
      </c>
      <c r="V139" s="229" t="e">
        <f>IF(P139&gt;0,P139*I139/Z139,0)*VLOOKUP(B139,'2-Kosten per locatie'!$A$14:$C$25,3,FALSE)</f>
        <v>#DIV/0!</v>
      </c>
      <c r="W139" s="307">
        <f>IF(K139="nio",0,IF(K139&gt;0,VLOOKUP(G139,'3-Productie normen'!A:R,VLOOKUP(K139,'3-Productie normen'!$B$29:$C$41,2,FALSE),FALSE)))</f>
        <v>0</v>
      </c>
      <c r="X139" s="307">
        <f t="shared" si="17"/>
        <v>0</v>
      </c>
      <c r="Y139" s="307">
        <f t="shared" si="18"/>
        <v>0</v>
      </c>
      <c r="Z139" s="307">
        <f t="shared" si="19"/>
        <v>0</v>
      </c>
      <c r="AA139" s="308">
        <f>VLOOKUP(G139,'3-Productie normen'!A:U,15,FALSE)</f>
        <v>0</v>
      </c>
      <c r="AB139" s="309">
        <f>VLOOKUP(G139,'3-Productie normen'!A:U,16,FALSE)</f>
        <v>198.56500000000014</v>
      </c>
      <c r="AC139" s="308"/>
      <c r="AE139" s="310">
        <f t="shared" si="20"/>
        <v>401.74</v>
      </c>
    </row>
    <row r="140" spans="1:31" ht="14.1" hidden="1" customHeight="1">
      <c r="A140" s="75">
        <v>136</v>
      </c>
      <c r="B140" s="380" t="s">
        <v>61</v>
      </c>
      <c r="C140" s="276" t="s">
        <v>258</v>
      </c>
      <c r="D140" s="304" t="s">
        <v>236</v>
      </c>
      <c r="E140" s="305" t="s">
        <v>305</v>
      </c>
      <c r="F140" s="71" t="s">
        <v>285</v>
      </c>
      <c r="G140" s="71" t="s">
        <v>103</v>
      </c>
      <c r="H140" s="71" t="s">
        <v>192</v>
      </c>
      <c r="I140" s="388">
        <v>1.06</v>
      </c>
      <c r="J140" s="306">
        <f t="shared" si="16"/>
        <v>379</v>
      </c>
      <c r="K140" s="230">
        <v>213</v>
      </c>
      <c r="L140" s="230">
        <v>45</v>
      </c>
      <c r="M140" s="230">
        <v>87</v>
      </c>
      <c r="N140" s="230">
        <v>22</v>
      </c>
      <c r="O140" s="230">
        <v>8</v>
      </c>
      <c r="P140" s="230">
        <v>4</v>
      </c>
      <c r="Q140" s="229" t="e">
        <f>IF(K140="nio",0,IF(K140&gt;0,K140*I140/W140,0))*VLOOKUP(B140,'2-Kosten per locatie'!$A$14:$C$25,3,FALSE)</f>
        <v>#DIV/0!</v>
      </c>
      <c r="R140" s="229" t="e">
        <f>IF(L140&gt;0,L140*I140/X140,0)*VLOOKUP(B140,'2-Kosten per locatie'!$A$14:$C$25,3,FALSE)</f>
        <v>#DIV/0!</v>
      </c>
      <c r="S140" s="229" t="e">
        <f>IF(M140&gt;0,M140*I140/Y140,0)*VLOOKUP(B140,'2-Kosten per locatie'!$A$14:$C$25,3,FALSE)</f>
        <v>#DIV/0!</v>
      </c>
      <c r="T140" s="229" t="e">
        <f>IF(N140&gt;0,N140*I140/Z140,0)*VLOOKUP(B140,'2-Kosten per locatie'!$A$14:$C$25,3,FALSE)</f>
        <v>#DIV/0!</v>
      </c>
      <c r="U140" s="229" t="e">
        <f>IF(O140&gt;0,O140*I140/Y140,0)*VLOOKUP(B140,'2-Kosten per locatie'!$A$14:$C$25,3,FALSE)</f>
        <v>#DIV/0!</v>
      </c>
      <c r="V140" s="229" t="e">
        <f>IF(P140&gt;0,P140*I140/Z140,0)*VLOOKUP(B140,'2-Kosten per locatie'!$A$14:$C$25,3,FALSE)</f>
        <v>#DIV/0!</v>
      </c>
      <c r="W140" s="307">
        <f>IF(K140="nio",0,IF(K140&gt;0,VLOOKUP(G140,'3-Productie normen'!A:R,VLOOKUP(K140,'3-Productie normen'!$B$29:$C$41,2,FALSE),FALSE)))</f>
        <v>0</v>
      </c>
      <c r="X140" s="307">
        <f t="shared" si="17"/>
        <v>0</v>
      </c>
      <c r="Y140" s="307">
        <f t="shared" si="18"/>
        <v>0</v>
      </c>
      <c r="Z140" s="307">
        <f t="shared" si="19"/>
        <v>0</v>
      </c>
      <c r="AA140" s="308">
        <f>VLOOKUP(G140,'3-Productie normen'!A:U,15,FALSE)</f>
        <v>0</v>
      </c>
      <c r="AB140" s="309">
        <f>VLOOKUP(G140,'3-Productie normen'!A:U,16,FALSE)</f>
        <v>198.56500000000014</v>
      </c>
      <c r="AC140" s="308"/>
      <c r="AE140" s="310">
        <f t="shared" si="20"/>
        <v>401.74</v>
      </c>
    </row>
    <row r="141" spans="1:31" ht="14.1" hidden="1" customHeight="1">
      <c r="A141" s="75">
        <v>137</v>
      </c>
      <c r="B141" s="380" t="s">
        <v>61</v>
      </c>
      <c r="C141" s="276" t="s">
        <v>258</v>
      </c>
      <c r="D141" s="304" t="s">
        <v>236</v>
      </c>
      <c r="E141" s="305" t="s">
        <v>306</v>
      </c>
      <c r="F141" s="71" t="s">
        <v>287</v>
      </c>
      <c r="G141" s="71" t="s">
        <v>103</v>
      </c>
      <c r="H141" s="71" t="s">
        <v>192</v>
      </c>
      <c r="I141" s="388">
        <v>1.06</v>
      </c>
      <c r="J141" s="306">
        <f t="shared" si="16"/>
        <v>379</v>
      </c>
      <c r="K141" s="230">
        <v>213</v>
      </c>
      <c r="L141" s="230">
        <v>45</v>
      </c>
      <c r="M141" s="230">
        <v>87</v>
      </c>
      <c r="N141" s="230">
        <v>22</v>
      </c>
      <c r="O141" s="230">
        <v>8</v>
      </c>
      <c r="P141" s="230">
        <v>4</v>
      </c>
      <c r="Q141" s="229" t="e">
        <f>IF(K141="nio",0,IF(K141&gt;0,K141*I141/W141,0))*VLOOKUP(B141,'2-Kosten per locatie'!$A$14:$C$25,3,FALSE)</f>
        <v>#DIV/0!</v>
      </c>
      <c r="R141" s="229" t="e">
        <f>IF(L141&gt;0,L141*I141/X141,0)*VLOOKUP(B141,'2-Kosten per locatie'!$A$14:$C$25,3,FALSE)</f>
        <v>#DIV/0!</v>
      </c>
      <c r="S141" s="229" t="e">
        <f>IF(M141&gt;0,M141*I141/Y141,0)*VLOOKUP(B141,'2-Kosten per locatie'!$A$14:$C$25,3,FALSE)</f>
        <v>#DIV/0!</v>
      </c>
      <c r="T141" s="229" t="e">
        <f>IF(N141&gt;0,N141*I141/Z141,0)*VLOOKUP(B141,'2-Kosten per locatie'!$A$14:$C$25,3,FALSE)</f>
        <v>#DIV/0!</v>
      </c>
      <c r="U141" s="229" t="e">
        <f>IF(O141&gt;0,O141*I141/Y141,0)*VLOOKUP(B141,'2-Kosten per locatie'!$A$14:$C$25,3,FALSE)</f>
        <v>#DIV/0!</v>
      </c>
      <c r="V141" s="229" t="e">
        <f>IF(P141&gt;0,P141*I141/Z141,0)*VLOOKUP(B141,'2-Kosten per locatie'!$A$14:$C$25,3,FALSE)</f>
        <v>#DIV/0!</v>
      </c>
      <c r="W141" s="307">
        <f>IF(K141="nio",0,IF(K141&gt;0,VLOOKUP(G141,'3-Productie normen'!A:R,VLOOKUP(K141,'3-Productie normen'!$B$29:$C$41,2,FALSE),FALSE)))</f>
        <v>0</v>
      </c>
      <c r="X141" s="307">
        <f t="shared" si="17"/>
        <v>0</v>
      </c>
      <c r="Y141" s="307">
        <f t="shared" si="18"/>
        <v>0</v>
      </c>
      <c r="Z141" s="307">
        <f t="shared" si="19"/>
        <v>0</v>
      </c>
      <c r="AA141" s="308">
        <f>VLOOKUP(G141,'3-Productie normen'!A:U,15,FALSE)</f>
        <v>0</v>
      </c>
      <c r="AB141" s="309">
        <f>VLOOKUP(G141,'3-Productie normen'!A:U,16,FALSE)</f>
        <v>198.56500000000014</v>
      </c>
      <c r="AC141" s="308"/>
      <c r="AE141" s="310">
        <f t="shared" si="20"/>
        <v>401.74</v>
      </c>
    </row>
    <row r="142" spans="1:31" ht="14.1" hidden="1" customHeight="1">
      <c r="A142" s="75">
        <v>138</v>
      </c>
      <c r="B142" s="380" t="s">
        <v>61</v>
      </c>
      <c r="C142" s="276" t="s">
        <v>258</v>
      </c>
      <c r="D142" s="304" t="s">
        <v>236</v>
      </c>
      <c r="E142" s="305" t="s">
        <v>307</v>
      </c>
      <c r="F142" s="71" t="s">
        <v>289</v>
      </c>
      <c r="G142" s="71" t="s">
        <v>103</v>
      </c>
      <c r="H142" s="71" t="s">
        <v>192</v>
      </c>
      <c r="I142" s="388">
        <v>1.06</v>
      </c>
      <c r="J142" s="306">
        <f t="shared" si="16"/>
        <v>379</v>
      </c>
      <c r="K142" s="230">
        <v>213</v>
      </c>
      <c r="L142" s="230">
        <v>45</v>
      </c>
      <c r="M142" s="230">
        <v>87</v>
      </c>
      <c r="N142" s="230">
        <v>22</v>
      </c>
      <c r="O142" s="230">
        <v>8</v>
      </c>
      <c r="P142" s="230">
        <v>4</v>
      </c>
      <c r="Q142" s="229" t="e">
        <f>IF(K142="nio",0,IF(K142&gt;0,K142*I142/W142,0))*VLOOKUP(B142,'2-Kosten per locatie'!$A$14:$C$25,3,FALSE)</f>
        <v>#DIV/0!</v>
      </c>
      <c r="R142" s="229" t="e">
        <f>IF(L142&gt;0,L142*I142/X142,0)*VLOOKUP(B142,'2-Kosten per locatie'!$A$14:$C$25,3,FALSE)</f>
        <v>#DIV/0!</v>
      </c>
      <c r="S142" s="229" t="e">
        <f>IF(M142&gt;0,M142*I142/Y142,0)*VLOOKUP(B142,'2-Kosten per locatie'!$A$14:$C$25,3,FALSE)</f>
        <v>#DIV/0!</v>
      </c>
      <c r="T142" s="229" t="e">
        <f>IF(N142&gt;0,N142*I142/Z142,0)*VLOOKUP(B142,'2-Kosten per locatie'!$A$14:$C$25,3,FALSE)</f>
        <v>#DIV/0!</v>
      </c>
      <c r="U142" s="229" t="e">
        <f>IF(O142&gt;0,O142*I142/Y142,0)*VLOOKUP(B142,'2-Kosten per locatie'!$A$14:$C$25,3,FALSE)</f>
        <v>#DIV/0!</v>
      </c>
      <c r="V142" s="229" t="e">
        <f>IF(P142&gt;0,P142*I142/Z142,0)*VLOOKUP(B142,'2-Kosten per locatie'!$A$14:$C$25,3,FALSE)</f>
        <v>#DIV/0!</v>
      </c>
      <c r="W142" s="307">
        <f>IF(K142="nio",0,IF(K142&gt;0,VLOOKUP(G142,'3-Productie normen'!A:R,VLOOKUP(K142,'3-Productie normen'!$B$29:$C$41,2,FALSE),FALSE)))</f>
        <v>0</v>
      </c>
      <c r="X142" s="307">
        <f t="shared" si="17"/>
        <v>0</v>
      </c>
      <c r="Y142" s="307">
        <f t="shared" si="18"/>
        <v>0</v>
      </c>
      <c r="Z142" s="307">
        <f t="shared" si="19"/>
        <v>0</v>
      </c>
      <c r="AA142" s="308">
        <f>VLOOKUP(G142,'3-Productie normen'!A:U,15,FALSE)</f>
        <v>0</v>
      </c>
      <c r="AB142" s="309">
        <f>VLOOKUP(G142,'3-Productie normen'!A:U,16,FALSE)</f>
        <v>198.56500000000014</v>
      </c>
      <c r="AC142" s="308"/>
      <c r="AE142" s="310">
        <f t="shared" si="20"/>
        <v>401.74</v>
      </c>
    </row>
    <row r="143" spans="1:31" ht="14.1" hidden="1" customHeight="1">
      <c r="A143" s="75">
        <v>139</v>
      </c>
      <c r="B143" s="380" t="s">
        <v>61</v>
      </c>
      <c r="C143" s="276" t="s">
        <v>258</v>
      </c>
      <c r="D143" s="304" t="s">
        <v>236</v>
      </c>
      <c r="E143" s="305" t="s">
        <v>308</v>
      </c>
      <c r="F143" s="71" t="s">
        <v>309</v>
      </c>
      <c r="G143" s="71" t="s">
        <v>103</v>
      </c>
      <c r="H143" s="71" t="s">
        <v>192</v>
      </c>
      <c r="I143" s="388">
        <v>1.1200000000000001</v>
      </c>
      <c r="J143" s="306">
        <f t="shared" ref="J143:J207" si="21">SUM(K143:P143)</f>
        <v>379</v>
      </c>
      <c r="K143" s="230">
        <v>213</v>
      </c>
      <c r="L143" s="230">
        <v>45</v>
      </c>
      <c r="M143" s="230">
        <v>87</v>
      </c>
      <c r="N143" s="230">
        <v>22</v>
      </c>
      <c r="O143" s="230">
        <v>8</v>
      </c>
      <c r="P143" s="230">
        <v>4</v>
      </c>
      <c r="Q143" s="229" t="e">
        <f>IF(K143="nio",0,IF(K143&gt;0,K143*I143/W143,0))*VLOOKUP(B143,'2-Kosten per locatie'!$A$14:$C$25,3,FALSE)</f>
        <v>#DIV/0!</v>
      </c>
      <c r="R143" s="229" t="e">
        <f>IF(L143&gt;0,L143*I143/X143,0)*VLOOKUP(B143,'2-Kosten per locatie'!$A$14:$C$25,3,FALSE)</f>
        <v>#DIV/0!</v>
      </c>
      <c r="S143" s="229" t="e">
        <f>IF(M143&gt;0,M143*I143/Y143,0)*VLOOKUP(B143,'2-Kosten per locatie'!$A$14:$C$25,3,FALSE)</f>
        <v>#DIV/0!</v>
      </c>
      <c r="T143" s="229" t="e">
        <f>IF(N143&gt;0,N143*I143/Z143,0)*VLOOKUP(B143,'2-Kosten per locatie'!$A$14:$C$25,3,FALSE)</f>
        <v>#DIV/0!</v>
      </c>
      <c r="U143" s="229" t="e">
        <f>IF(O143&gt;0,O143*I143/Y143,0)*VLOOKUP(B143,'2-Kosten per locatie'!$A$14:$C$25,3,FALSE)</f>
        <v>#DIV/0!</v>
      </c>
      <c r="V143" s="229" t="e">
        <f>IF(P143&gt;0,P143*I143/Z143,0)*VLOOKUP(B143,'2-Kosten per locatie'!$A$14:$C$25,3,FALSE)</f>
        <v>#DIV/0!</v>
      </c>
      <c r="W143" s="307">
        <f>IF(K143="nio",0,IF(K143&gt;0,VLOOKUP(G143,'3-Productie normen'!A:R,VLOOKUP(K143,'3-Productie normen'!$B$29:$C$41,2,FALSE),FALSE)))</f>
        <v>0</v>
      </c>
      <c r="X143" s="307">
        <f t="shared" ref="X143:X207" si="22">IF(L143&gt;0,W143*$X$8,0)</f>
        <v>0</v>
      </c>
      <c r="Y143" s="307">
        <f t="shared" ref="Y143:Y207" si="23">IF((OR(M143&gt;0,O143&gt;0)),W143*$Y$8,0)</f>
        <v>0</v>
      </c>
      <c r="Z143" s="307">
        <f t="shared" ref="Z143:Z207" si="24">IF((OR(N143&gt;0,P143&gt;0)),W143*$Z$8,0)</f>
        <v>0</v>
      </c>
      <c r="AA143" s="308">
        <f>VLOOKUP(G143,'3-Productie normen'!A:U,15,FALSE)</f>
        <v>0</v>
      </c>
      <c r="AB143" s="309">
        <f>VLOOKUP(G143,'3-Productie normen'!A:U,16,FALSE)</f>
        <v>198.56500000000014</v>
      </c>
      <c r="AC143" s="308"/>
      <c r="AE143" s="310">
        <f t="shared" ref="AE143:AE207" si="25">J143*I143</f>
        <v>424.48</v>
      </c>
    </row>
    <row r="144" spans="1:31" ht="14.1" hidden="1" customHeight="1">
      <c r="A144" s="75">
        <v>140</v>
      </c>
      <c r="B144" s="380" t="s">
        <v>61</v>
      </c>
      <c r="C144" s="276" t="s">
        <v>258</v>
      </c>
      <c r="D144" s="304" t="s">
        <v>236</v>
      </c>
      <c r="E144" s="305" t="s">
        <v>310</v>
      </c>
      <c r="F144" s="71" t="s">
        <v>311</v>
      </c>
      <c r="G144" s="71" t="s">
        <v>103</v>
      </c>
      <c r="H144" s="71" t="s">
        <v>192</v>
      </c>
      <c r="I144" s="388">
        <v>1.45</v>
      </c>
      <c r="J144" s="306">
        <f t="shared" si="21"/>
        <v>379</v>
      </c>
      <c r="K144" s="230">
        <v>213</v>
      </c>
      <c r="L144" s="230">
        <v>45</v>
      </c>
      <c r="M144" s="230">
        <v>87</v>
      </c>
      <c r="N144" s="230">
        <v>22</v>
      </c>
      <c r="O144" s="230">
        <v>8</v>
      </c>
      <c r="P144" s="230">
        <v>4</v>
      </c>
      <c r="Q144" s="229" t="e">
        <f>IF(K144="nio",0,IF(K144&gt;0,K144*I144/W144,0))*VLOOKUP(B144,'2-Kosten per locatie'!$A$14:$C$25,3,FALSE)</f>
        <v>#DIV/0!</v>
      </c>
      <c r="R144" s="229" t="e">
        <f>IF(L144&gt;0,L144*I144/X144,0)*VLOOKUP(B144,'2-Kosten per locatie'!$A$14:$C$25,3,FALSE)</f>
        <v>#DIV/0!</v>
      </c>
      <c r="S144" s="229" t="e">
        <f>IF(M144&gt;0,M144*I144/Y144,0)*VLOOKUP(B144,'2-Kosten per locatie'!$A$14:$C$25,3,FALSE)</f>
        <v>#DIV/0!</v>
      </c>
      <c r="T144" s="229" t="e">
        <f>IF(N144&gt;0,N144*I144/Z144,0)*VLOOKUP(B144,'2-Kosten per locatie'!$A$14:$C$25,3,FALSE)</f>
        <v>#DIV/0!</v>
      </c>
      <c r="U144" s="229" t="e">
        <f>IF(O144&gt;0,O144*I144/Y144,0)*VLOOKUP(B144,'2-Kosten per locatie'!$A$14:$C$25,3,FALSE)</f>
        <v>#DIV/0!</v>
      </c>
      <c r="V144" s="229" t="e">
        <f>IF(P144&gt;0,P144*I144/Z144,0)*VLOOKUP(B144,'2-Kosten per locatie'!$A$14:$C$25,3,FALSE)</f>
        <v>#DIV/0!</v>
      </c>
      <c r="W144" s="307">
        <f>IF(K144="nio",0,IF(K144&gt;0,VLOOKUP(G144,'3-Productie normen'!A:R,VLOOKUP(K144,'3-Productie normen'!$B$29:$C$41,2,FALSE),FALSE)))</f>
        <v>0</v>
      </c>
      <c r="X144" s="307">
        <f t="shared" si="22"/>
        <v>0</v>
      </c>
      <c r="Y144" s="307">
        <f t="shared" si="23"/>
        <v>0</v>
      </c>
      <c r="Z144" s="307">
        <f t="shared" si="24"/>
        <v>0</v>
      </c>
      <c r="AA144" s="308">
        <f>VLOOKUP(G144,'3-Productie normen'!A:U,15,FALSE)</f>
        <v>0</v>
      </c>
      <c r="AB144" s="309">
        <f>VLOOKUP(G144,'3-Productie normen'!A:U,16,FALSE)</f>
        <v>198.56500000000014</v>
      </c>
      <c r="AC144" s="308"/>
      <c r="AE144" s="310">
        <f t="shared" si="25"/>
        <v>549.54999999999995</v>
      </c>
    </row>
    <row r="145" spans="1:31" ht="14.1" hidden="1" customHeight="1">
      <c r="A145" s="75">
        <v>141</v>
      </c>
      <c r="B145" s="380" t="s">
        <v>61</v>
      </c>
      <c r="C145" s="276" t="s">
        <v>258</v>
      </c>
      <c r="D145" s="304" t="s">
        <v>236</v>
      </c>
      <c r="E145" s="305" t="s">
        <v>312</v>
      </c>
      <c r="F145" s="71" t="s">
        <v>313</v>
      </c>
      <c r="G145" s="71" t="s">
        <v>103</v>
      </c>
      <c r="H145" s="71" t="s">
        <v>192</v>
      </c>
      <c r="I145" s="388">
        <v>3.3</v>
      </c>
      <c r="J145" s="306">
        <f t="shared" ref="J145" si="26">SUM(K145:P145)</f>
        <v>379</v>
      </c>
      <c r="K145" s="230">
        <v>213</v>
      </c>
      <c r="L145" s="230">
        <v>45</v>
      </c>
      <c r="M145" s="230">
        <v>87</v>
      </c>
      <c r="N145" s="230">
        <v>22</v>
      </c>
      <c r="O145" s="230">
        <v>8</v>
      </c>
      <c r="P145" s="230">
        <v>4</v>
      </c>
      <c r="Q145" s="229" t="e">
        <f>IF(K145="nio",0,IF(K145&gt;0,K145*I145/W145,0))*VLOOKUP(B145,'2-Kosten per locatie'!$A$14:$C$25,3,FALSE)</f>
        <v>#DIV/0!</v>
      </c>
      <c r="R145" s="229" t="e">
        <f>IF(L145&gt;0,L145*I145/X145,0)*VLOOKUP(B145,'2-Kosten per locatie'!$A$14:$C$25,3,FALSE)</f>
        <v>#DIV/0!</v>
      </c>
      <c r="S145" s="229" t="e">
        <f>IF(M145&gt;0,M145*I145/Y145,0)*VLOOKUP(B145,'2-Kosten per locatie'!$A$14:$C$25,3,FALSE)</f>
        <v>#DIV/0!</v>
      </c>
      <c r="T145" s="229" t="e">
        <f>IF(N145&gt;0,N145*I145/Z145,0)*VLOOKUP(B145,'2-Kosten per locatie'!$A$14:$C$25,3,FALSE)</f>
        <v>#DIV/0!</v>
      </c>
      <c r="U145" s="229" t="e">
        <f>IF(O145&gt;0,O145*I145/Y145,0)*VLOOKUP(B145,'2-Kosten per locatie'!$A$14:$C$25,3,FALSE)</f>
        <v>#DIV/0!</v>
      </c>
      <c r="V145" s="229" t="e">
        <f>IF(P145&gt;0,P145*I145/Z145,0)*VLOOKUP(B145,'2-Kosten per locatie'!$A$14:$C$25,3,FALSE)</f>
        <v>#DIV/0!</v>
      </c>
      <c r="W145" s="307">
        <f>IF(K145="nio",0,IF(K145&gt;0,VLOOKUP(G145,'3-Productie normen'!A:R,VLOOKUP(K145,'3-Productie normen'!$B$29:$C$41,2,FALSE),FALSE)))</f>
        <v>0</v>
      </c>
      <c r="X145" s="307">
        <f t="shared" ref="X145" si="27">IF(L145&gt;0,W145*$X$8,0)</f>
        <v>0</v>
      </c>
      <c r="Y145" s="307">
        <f t="shared" ref="Y145" si="28">IF((OR(M145&gt;0,O145&gt;0)),W145*$Y$8,0)</f>
        <v>0</v>
      </c>
      <c r="Z145" s="307">
        <f t="shared" ref="Z145" si="29">IF((OR(N145&gt;0,P145&gt;0)),W145*$Z$8,0)</f>
        <v>0</v>
      </c>
      <c r="AA145" s="308">
        <f>VLOOKUP(G145,'3-Productie normen'!A:U,15,FALSE)</f>
        <v>0</v>
      </c>
      <c r="AB145" s="309">
        <f>VLOOKUP(G145,'3-Productie normen'!A:U,16,FALSE)</f>
        <v>198.56500000000014</v>
      </c>
      <c r="AC145" s="308"/>
      <c r="AE145" s="310">
        <f t="shared" ref="AE145" si="30">J145*I145</f>
        <v>1250.7</v>
      </c>
    </row>
    <row r="146" spans="1:31" ht="14.1" hidden="1" customHeight="1">
      <c r="A146" s="75">
        <v>142</v>
      </c>
      <c r="B146" s="380" t="s">
        <v>61</v>
      </c>
      <c r="C146" s="276" t="s">
        <v>258</v>
      </c>
      <c r="D146" s="304" t="s">
        <v>236</v>
      </c>
      <c r="E146" s="305" t="s">
        <v>314</v>
      </c>
      <c r="F146" s="71" t="s">
        <v>315</v>
      </c>
      <c r="G146" s="71" t="s">
        <v>103</v>
      </c>
      <c r="H146" s="71" t="s">
        <v>192</v>
      </c>
      <c r="I146" s="388">
        <v>2.9</v>
      </c>
      <c r="J146" s="306">
        <f t="shared" si="21"/>
        <v>379</v>
      </c>
      <c r="K146" s="230">
        <v>213</v>
      </c>
      <c r="L146" s="230">
        <v>45</v>
      </c>
      <c r="M146" s="230">
        <v>87</v>
      </c>
      <c r="N146" s="230">
        <v>22</v>
      </c>
      <c r="O146" s="230">
        <v>8</v>
      </c>
      <c r="P146" s="230">
        <v>4</v>
      </c>
      <c r="Q146" s="229" t="e">
        <f>IF(K146="nio",0,IF(K146&gt;0,K146*I146/W146,0))*VLOOKUP(B146,'2-Kosten per locatie'!$A$14:$C$25,3,FALSE)</f>
        <v>#DIV/0!</v>
      </c>
      <c r="R146" s="229" t="e">
        <f>IF(L146&gt;0,L146*I146/X146,0)*VLOOKUP(B146,'2-Kosten per locatie'!$A$14:$C$25,3,FALSE)</f>
        <v>#DIV/0!</v>
      </c>
      <c r="S146" s="229" t="e">
        <f>IF(M146&gt;0,M146*I146/Y146,0)*VLOOKUP(B146,'2-Kosten per locatie'!$A$14:$C$25,3,FALSE)</f>
        <v>#DIV/0!</v>
      </c>
      <c r="T146" s="229" t="e">
        <f>IF(N146&gt;0,N146*I146/Z146,0)*VLOOKUP(B146,'2-Kosten per locatie'!$A$14:$C$25,3,FALSE)</f>
        <v>#DIV/0!</v>
      </c>
      <c r="U146" s="229" t="e">
        <f>IF(O146&gt;0,O146*I146/Y146,0)*VLOOKUP(B146,'2-Kosten per locatie'!$A$14:$C$25,3,FALSE)</f>
        <v>#DIV/0!</v>
      </c>
      <c r="V146" s="229" t="e">
        <f>IF(P146&gt;0,P146*I146/Z146,0)*VLOOKUP(B146,'2-Kosten per locatie'!$A$14:$C$25,3,FALSE)</f>
        <v>#DIV/0!</v>
      </c>
      <c r="W146" s="307">
        <f>IF(K146="nio",0,IF(K146&gt;0,VLOOKUP(G146,'3-Productie normen'!A:R,VLOOKUP(K146,'3-Productie normen'!$B$29:$C$41,2,FALSE),FALSE)))</f>
        <v>0</v>
      </c>
      <c r="X146" s="307">
        <f t="shared" si="22"/>
        <v>0</v>
      </c>
      <c r="Y146" s="307">
        <f t="shared" si="23"/>
        <v>0</v>
      </c>
      <c r="Z146" s="307">
        <f t="shared" si="24"/>
        <v>0</v>
      </c>
      <c r="AA146" s="308">
        <f>VLOOKUP(G146,'3-Productie normen'!A:U,15,FALSE)</f>
        <v>0</v>
      </c>
      <c r="AB146" s="309">
        <f>VLOOKUP(G146,'3-Productie normen'!A:U,16,FALSE)</f>
        <v>198.56500000000014</v>
      </c>
      <c r="AC146" s="308"/>
      <c r="AE146" s="310">
        <f t="shared" si="25"/>
        <v>1099.0999999999999</v>
      </c>
    </row>
    <row r="147" spans="1:31" ht="14.1" hidden="1" customHeight="1">
      <c r="A147" s="75">
        <v>142</v>
      </c>
      <c r="B147" s="380" t="s">
        <v>57</v>
      </c>
      <c r="C147" s="276" t="s">
        <v>316</v>
      </c>
      <c r="D147" s="304" t="s">
        <v>176</v>
      </c>
      <c r="E147" s="305" t="s">
        <v>317</v>
      </c>
      <c r="F147" s="71" t="s">
        <v>318</v>
      </c>
      <c r="G147" s="71" t="s">
        <v>96</v>
      </c>
      <c r="H147" s="71" t="s">
        <v>172</v>
      </c>
      <c r="I147" s="388">
        <v>5</v>
      </c>
      <c r="J147" s="306">
        <f t="shared" si="21"/>
        <v>255</v>
      </c>
      <c r="K147" s="230">
        <v>255</v>
      </c>
      <c r="L147" s="230"/>
      <c r="M147" s="230"/>
      <c r="N147" s="230"/>
      <c r="O147" s="230"/>
      <c r="P147" s="230"/>
      <c r="Q147" s="229" t="e">
        <f>IF(K147="nio",0,IF(K147&gt;0,K147*I147/W147,0))*VLOOKUP(B147,'2-Kosten per locatie'!$A$14:$C$25,3,FALSE)</f>
        <v>#DIV/0!</v>
      </c>
      <c r="R147" s="229">
        <f>IF(L147&gt;0,L147*I147/X147,0)*VLOOKUP(B147,'2-Kosten per locatie'!$A$14:$C$25,3,FALSE)</f>
        <v>0</v>
      </c>
      <c r="S147" s="229">
        <f>IF(M147&gt;0,M147*I147/Y147,0)*VLOOKUP(B147,'2-Kosten per locatie'!$A$14:$C$25,3,FALSE)</f>
        <v>0</v>
      </c>
      <c r="T147" s="229">
        <f>IF(N147&gt;0,N147*I147/Z147,0)*VLOOKUP(B147,'2-Kosten per locatie'!$A$14:$C$25,3,FALSE)</f>
        <v>0</v>
      </c>
      <c r="U147" s="229">
        <f>IF(O147&gt;0,O147*I147/Y147,0)*VLOOKUP(B147,'2-Kosten per locatie'!$A$14:$C$25,3,FALSE)</f>
        <v>0</v>
      </c>
      <c r="V147" s="229">
        <f>IF(P147&gt;0,P147*I147/Z147,0)*VLOOKUP(B147,'2-Kosten per locatie'!$A$14:$C$25,3,FALSE)</f>
        <v>0</v>
      </c>
      <c r="W147" s="307">
        <f>IF(K147="nio",0,IF(K147&gt;0,VLOOKUP(G147,'3-Productie normen'!A:R,VLOOKUP(K147,'3-Productie normen'!$B$29:$C$41,2,FALSE),FALSE)))</f>
        <v>0</v>
      </c>
      <c r="X147" s="307">
        <f t="shared" si="22"/>
        <v>0</v>
      </c>
      <c r="Y147" s="307">
        <f t="shared" si="23"/>
        <v>0</v>
      </c>
      <c r="Z147" s="307">
        <f t="shared" si="24"/>
        <v>0</v>
      </c>
      <c r="AA147" s="308">
        <f>VLOOKUP(G147,'3-Productie normen'!A:U,15,FALSE)</f>
        <v>0</v>
      </c>
      <c r="AB147" s="309">
        <f>VLOOKUP(G147,'3-Productie normen'!A:U,16,FALSE)</f>
        <v>84.322499999999991</v>
      </c>
      <c r="AC147" s="308"/>
      <c r="AE147" s="310">
        <f t="shared" si="25"/>
        <v>1275</v>
      </c>
    </row>
    <row r="148" spans="1:31" ht="14.1" hidden="1" customHeight="1">
      <c r="A148" s="75">
        <v>143</v>
      </c>
      <c r="B148" s="380" t="s">
        <v>57</v>
      </c>
      <c r="C148" s="276" t="s">
        <v>316</v>
      </c>
      <c r="D148" s="304" t="s">
        <v>176</v>
      </c>
      <c r="E148" s="305" t="s">
        <v>319</v>
      </c>
      <c r="F148" s="276" t="s">
        <v>320</v>
      </c>
      <c r="G148" s="276" t="s">
        <v>98</v>
      </c>
      <c r="H148" s="71" t="s">
        <v>321</v>
      </c>
      <c r="I148" s="388">
        <v>27</v>
      </c>
      <c r="J148" s="306">
        <f t="shared" si="21"/>
        <v>255</v>
      </c>
      <c r="K148" s="230">
        <v>255</v>
      </c>
      <c r="L148" s="230"/>
      <c r="M148" s="230"/>
      <c r="N148" s="230"/>
      <c r="O148" s="230"/>
      <c r="P148" s="230"/>
      <c r="Q148" s="229" t="e">
        <f>IF(K148="nio",0,IF(K148&gt;0,K148*I148/W148,0))*VLOOKUP(B148,'2-Kosten per locatie'!$A$14:$C$25,3,FALSE)</f>
        <v>#DIV/0!</v>
      </c>
      <c r="R148" s="229">
        <f>IF(L148&gt;0,L148*I148/X148,0)*VLOOKUP(B148,'2-Kosten per locatie'!$A$14:$C$25,3,FALSE)</f>
        <v>0</v>
      </c>
      <c r="S148" s="229">
        <f>IF(M148&gt;0,M148*I148/Y148,0)*VLOOKUP(B148,'2-Kosten per locatie'!$A$14:$C$25,3,FALSE)</f>
        <v>0</v>
      </c>
      <c r="T148" s="229">
        <f>IF(N148&gt;0,N148*I148/Z148,0)*VLOOKUP(B148,'2-Kosten per locatie'!$A$14:$C$25,3,FALSE)</f>
        <v>0</v>
      </c>
      <c r="U148" s="229">
        <f>IF(O148&gt;0,O148*I148/Y148,0)*VLOOKUP(B148,'2-Kosten per locatie'!$A$14:$C$25,3,FALSE)</f>
        <v>0</v>
      </c>
      <c r="V148" s="229">
        <f>IF(P148&gt;0,P148*I148/Z148,0)*VLOOKUP(B148,'2-Kosten per locatie'!$A$14:$C$25,3,FALSE)</f>
        <v>0</v>
      </c>
      <c r="W148" s="307">
        <f>IF(K148="nio",0,IF(K148&gt;0,VLOOKUP(G148,'3-Productie normen'!A:R,VLOOKUP(K148,'3-Productie normen'!$B$29:$C$41,2,FALSE),FALSE)))</f>
        <v>0</v>
      </c>
      <c r="X148" s="307">
        <f t="shared" si="22"/>
        <v>0</v>
      </c>
      <c r="Y148" s="307">
        <f t="shared" si="23"/>
        <v>0</v>
      </c>
      <c r="Z148" s="307">
        <f t="shared" si="24"/>
        <v>0</v>
      </c>
      <c r="AA148" s="308">
        <f>VLOOKUP(G148,'3-Productie normen'!A:U,15,FALSE)</f>
        <v>0</v>
      </c>
      <c r="AB148" s="309">
        <f>VLOOKUP(G148,'3-Productie normen'!A:U,16,FALSE)</f>
        <v>467.3</v>
      </c>
      <c r="AC148" s="308"/>
      <c r="AE148" s="310">
        <f t="shared" si="25"/>
        <v>6885</v>
      </c>
    </row>
    <row r="149" spans="1:31" ht="14.1" hidden="1" customHeight="1">
      <c r="A149" s="75">
        <v>144</v>
      </c>
      <c r="B149" s="380" t="s">
        <v>57</v>
      </c>
      <c r="C149" s="276" t="s">
        <v>316</v>
      </c>
      <c r="D149" s="304" t="s">
        <v>176</v>
      </c>
      <c r="E149" s="305" t="s">
        <v>322</v>
      </c>
      <c r="F149" s="276" t="s">
        <v>323</v>
      </c>
      <c r="G149" s="276" t="s">
        <v>105</v>
      </c>
      <c r="H149" s="71" t="s">
        <v>324</v>
      </c>
      <c r="I149" s="388">
        <v>5</v>
      </c>
      <c r="J149" s="306">
        <f t="shared" si="21"/>
        <v>255</v>
      </c>
      <c r="K149" s="230">
        <v>255</v>
      </c>
      <c r="L149" s="230"/>
      <c r="M149" s="230"/>
      <c r="N149" s="230"/>
      <c r="O149" s="230"/>
      <c r="P149" s="230"/>
      <c r="Q149" s="230"/>
      <c r="R149" s="230"/>
      <c r="S149" s="230"/>
      <c r="T149" s="230"/>
      <c r="U149" s="230"/>
      <c r="V149" s="230"/>
      <c r="W149" s="230"/>
      <c r="X149" s="307">
        <f t="shared" si="22"/>
        <v>0</v>
      </c>
      <c r="Y149" s="307">
        <f t="shared" si="23"/>
        <v>0</v>
      </c>
      <c r="Z149" s="307">
        <f t="shared" si="24"/>
        <v>0</v>
      </c>
      <c r="AA149" s="308">
        <f>VLOOKUP(G149,'3-Productie normen'!A:U,15,FALSE)</f>
        <v>0</v>
      </c>
      <c r="AB149" s="309">
        <f>VLOOKUP(G149,'3-Productie normen'!A:U,16,FALSE)</f>
        <v>75.828800000000015</v>
      </c>
      <c r="AC149" s="308"/>
      <c r="AE149" s="310">
        <f t="shared" si="25"/>
        <v>1275</v>
      </c>
    </row>
    <row r="150" spans="1:31" ht="14.1" hidden="1" customHeight="1">
      <c r="A150" s="75">
        <v>145</v>
      </c>
      <c r="B150" s="380" t="s">
        <v>57</v>
      </c>
      <c r="C150" s="276" t="s">
        <v>316</v>
      </c>
      <c r="D150" s="304" t="s">
        <v>176</v>
      </c>
      <c r="E150" s="305" t="s">
        <v>325</v>
      </c>
      <c r="F150" s="276" t="s">
        <v>326</v>
      </c>
      <c r="G150" s="276" t="s">
        <v>92</v>
      </c>
      <c r="H150" s="71" t="s">
        <v>156</v>
      </c>
      <c r="I150" s="388">
        <v>12</v>
      </c>
      <c r="J150" s="306">
        <f t="shared" si="21"/>
        <v>255</v>
      </c>
      <c r="K150" s="230">
        <v>255</v>
      </c>
      <c r="L150" s="230"/>
      <c r="M150" s="230"/>
      <c r="N150" s="230"/>
      <c r="O150" s="230"/>
      <c r="P150" s="230"/>
      <c r="Q150" s="229" t="e">
        <f>IF(K150="nio",0,IF(K150&gt;0,K150*I150/W150,0))*VLOOKUP(B150,'2-Kosten per locatie'!$A$14:$C$25,3,FALSE)</f>
        <v>#DIV/0!</v>
      </c>
      <c r="R150" s="229">
        <f>IF(L150&gt;0,L150*I150/X150,0)*VLOOKUP(B150,'2-Kosten per locatie'!$A$14:$C$25,3,FALSE)</f>
        <v>0</v>
      </c>
      <c r="S150" s="229">
        <f>IF(M150&gt;0,M150*I150/Y150,0)*VLOOKUP(B150,'2-Kosten per locatie'!$A$14:$C$25,3,FALSE)</f>
        <v>0</v>
      </c>
      <c r="T150" s="229">
        <f>IF(N150&gt;0,N150*I150/Z150,0)*VLOOKUP(B150,'2-Kosten per locatie'!$A$14:$C$25,3,FALSE)</f>
        <v>0</v>
      </c>
      <c r="U150" s="229">
        <f>IF(O150&gt;0,O150*I150/Y150,0)*VLOOKUP(B150,'2-Kosten per locatie'!$A$14:$C$25,3,FALSE)</f>
        <v>0</v>
      </c>
      <c r="V150" s="229">
        <f>IF(P150&gt;0,P150*I150/Z150,0)*VLOOKUP(B150,'2-Kosten per locatie'!$A$14:$C$25,3,FALSE)</f>
        <v>0</v>
      </c>
      <c r="W150" s="307">
        <f>IF(K150="nio",0,IF(K150&gt;0,VLOOKUP(G150,'3-Productie normen'!A:R,VLOOKUP(K150,'3-Productie normen'!$B$29:$C$41,2,FALSE),FALSE)))</f>
        <v>0</v>
      </c>
      <c r="X150" s="307">
        <f t="shared" si="22"/>
        <v>0</v>
      </c>
      <c r="Y150" s="307">
        <f t="shared" si="23"/>
        <v>0</v>
      </c>
      <c r="Z150" s="307">
        <f t="shared" si="24"/>
        <v>0</v>
      </c>
      <c r="AA150" s="308">
        <f>VLOOKUP(G150,'3-Productie normen'!A:U,15,FALSE)</f>
        <v>0</v>
      </c>
      <c r="AB150" s="309">
        <f>VLOOKUP(G150,'3-Productie normen'!A:U,16,FALSE)</f>
        <v>915.88999999999976</v>
      </c>
      <c r="AC150" s="308"/>
      <c r="AE150" s="310">
        <f t="shared" si="25"/>
        <v>3060</v>
      </c>
    </row>
    <row r="151" spans="1:31" ht="14.1" hidden="1" customHeight="1">
      <c r="A151" s="75">
        <v>146</v>
      </c>
      <c r="B151" s="380" t="s">
        <v>57</v>
      </c>
      <c r="C151" s="276" t="s">
        <v>316</v>
      </c>
      <c r="D151" s="304" t="s">
        <v>176</v>
      </c>
      <c r="E151" s="305" t="s">
        <v>327</v>
      </c>
      <c r="F151" s="71" t="s">
        <v>328</v>
      </c>
      <c r="G151" s="71" t="s">
        <v>99</v>
      </c>
      <c r="H151" s="71" t="s">
        <v>156</v>
      </c>
      <c r="I151" s="388">
        <v>10.25</v>
      </c>
      <c r="J151" s="306">
        <f t="shared" si="21"/>
        <v>255</v>
      </c>
      <c r="K151" s="230">
        <v>255</v>
      </c>
      <c r="L151" s="230"/>
      <c r="M151" s="230"/>
      <c r="N151" s="230"/>
      <c r="O151" s="230"/>
      <c r="P151" s="230"/>
      <c r="Q151" s="229" t="e">
        <f>IF(K151="nio",0,IF(K151&gt;0,K151*I151/W151,0))*VLOOKUP(B151,'2-Kosten per locatie'!$A$14:$C$25,3,FALSE)</f>
        <v>#DIV/0!</v>
      </c>
      <c r="R151" s="229">
        <f>IF(L151&gt;0,L151*I151/X151,0)*VLOOKUP(B151,'2-Kosten per locatie'!$A$14:$C$25,3,FALSE)</f>
        <v>0</v>
      </c>
      <c r="S151" s="229">
        <f>IF(M151&gt;0,M151*I151/Y151,0)*VLOOKUP(B151,'2-Kosten per locatie'!$A$14:$C$25,3,FALSE)</f>
        <v>0</v>
      </c>
      <c r="T151" s="229">
        <f>IF(N151&gt;0,N151*I151/Z151,0)*VLOOKUP(B151,'2-Kosten per locatie'!$A$14:$C$25,3,FALSE)</f>
        <v>0</v>
      </c>
      <c r="U151" s="229">
        <f>IF(O151&gt;0,O151*I151/Y151,0)*VLOOKUP(B151,'2-Kosten per locatie'!$A$14:$C$25,3,FALSE)</f>
        <v>0</v>
      </c>
      <c r="V151" s="229">
        <f>IF(P151&gt;0,P151*I151/Z151,0)*VLOOKUP(B151,'2-Kosten per locatie'!$A$14:$C$25,3,FALSE)</f>
        <v>0</v>
      </c>
      <c r="W151" s="307">
        <f>IF(K151="nio",0,IF(K151&gt;0,VLOOKUP(G151,'3-Productie normen'!A:R,VLOOKUP(K151,'3-Productie normen'!$B$29:$C$41,2,FALSE),FALSE)))</f>
        <v>0</v>
      </c>
      <c r="X151" s="307">
        <f t="shared" si="22"/>
        <v>0</v>
      </c>
      <c r="Y151" s="307">
        <f t="shared" si="23"/>
        <v>0</v>
      </c>
      <c r="Z151" s="307">
        <f t="shared" si="24"/>
        <v>0</v>
      </c>
      <c r="AA151" s="308">
        <f>VLOOKUP(G151,'3-Productie normen'!A:U,15,FALSE)</f>
        <v>0</v>
      </c>
      <c r="AB151" s="309">
        <f>VLOOKUP(G151,'3-Productie normen'!A:U,16,FALSE)</f>
        <v>98.211600000000004</v>
      </c>
      <c r="AC151" s="308"/>
      <c r="AE151" s="310">
        <f t="shared" si="25"/>
        <v>2613.75</v>
      </c>
    </row>
    <row r="152" spans="1:31" ht="14.1" hidden="1" customHeight="1">
      <c r="A152" s="75">
        <v>147</v>
      </c>
      <c r="B152" s="380" t="s">
        <v>57</v>
      </c>
      <c r="C152" s="276" t="s">
        <v>316</v>
      </c>
      <c r="D152" s="304" t="s">
        <v>176</v>
      </c>
      <c r="E152" s="305" t="s">
        <v>329</v>
      </c>
      <c r="F152" s="71" t="s">
        <v>330</v>
      </c>
      <c r="G152" s="71" t="s">
        <v>92</v>
      </c>
      <c r="H152" s="71" t="s">
        <v>156</v>
      </c>
      <c r="I152" s="388">
        <v>34.15</v>
      </c>
      <c r="J152" s="306">
        <f t="shared" si="21"/>
        <v>255</v>
      </c>
      <c r="K152" s="230">
        <v>255</v>
      </c>
      <c r="L152" s="230"/>
      <c r="M152" s="230"/>
      <c r="N152" s="230"/>
      <c r="O152" s="230"/>
      <c r="P152" s="230"/>
      <c r="Q152" s="229" t="e">
        <f>IF(K152="nio",0,IF(K152&gt;0,K152*I152/W152,0))*VLOOKUP(B152,'2-Kosten per locatie'!$A$14:$C$25,3,FALSE)</f>
        <v>#DIV/0!</v>
      </c>
      <c r="R152" s="229">
        <f>IF(L152&gt;0,L152*I152/X152,0)*VLOOKUP(B152,'2-Kosten per locatie'!$A$14:$C$25,3,FALSE)</f>
        <v>0</v>
      </c>
      <c r="S152" s="229">
        <f>IF(M152&gt;0,M152*I152/Y152,0)*VLOOKUP(B152,'2-Kosten per locatie'!$A$14:$C$25,3,FALSE)</f>
        <v>0</v>
      </c>
      <c r="T152" s="229">
        <f>IF(N152&gt;0,N152*I152/Z152,0)*VLOOKUP(B152,'2-Kosten per locatie'!$A$14:$C$25,3,FALSE)</f>
        <v>0</v>
      </c>
      <c r="U152" s="229">
        <f>IF(O152&gt;0,O152*I152/Y152,0)*VLOOKUP(B152,'2-Kosten per locatie'!$A$14:$C$25,3,FALSE)</f>
        <v>0</v>
      </c>
      <c r="V152" s="229">
        <f>IF(P152&gt;0,P152*I152/Z152,0)*VLOOKUP(B152,'2-Kosten per locatie'!$A$14:$C$25,3,FALSE)</f>
        <v>0</v>
      </c>
      <c r="W152" s="307">
        <f>IF(K152="nio",0,IF(K152&gt;0,VLOOKUP(G152,'3-Productie normen'!A:R,VLOOKUP(K152,'3-Productie normen'!$B$29:$C$41,2,FALSE),FALSE)))</f>
        <v>0</v>
      </c>
      <c r="X152" s="307">
        <f t="shared" si="22"/>
        <v>0</v>
      </c>
      <c r="Y152" s="307">
        <f t="shared" si="23"/>
        <v>0</v>
      </c>
      <c r="Z152" s="307">
        <f t="shared" si="24"/>
        <v>0</v>
      </c>
      <c r="AA152" s="308">
        <f>VLOOKUP(G152,'3-Productie normen'!A:U,15,FALSE)</f>
        <v>0</v>
      </c>
      <c r="AB152" s="309">
        <f>VLOOKUP(G152,'3-Productie normen'!A:U,16,FALSE)</f>
        <v>915.88999999999976</v>
      </c>
      <c r="AC152" s="308"/>
      <c r="AE152" s="310">
        <f t="shared" si="25"/>
        <v>8708.25</v>
      </c>
    </row>
    <row r="153" spans="1:31" ht="14.1" hidden="1" customHeight="1">
      <c r="A153" s="75">
        <v>148</v>
      </c>
      <c r="B153" s="380" t="s">
        <v>57</v>
      </c>
      <c r="C153" s="276" t="s">
        <v>316</v>
      </c>
      <c r="D153" s="304" t="s">
        <v>176</v>
      </c>
      <c r="E153" s="305" t="s">
        <v>331</v>
      </c>
      <c r="F153" s="71" t="s">
        <v>332</v>
      </c>
      <c r="G153" s="71" t="s">
        <v>92</v>
      </c>
      <c r="H153" s="71" t="s">
        <v>156</v>
      </c>
      <c r="I153" s="388">
        <v>17.75</v>
      </c>
      <c r="J153" s="306">
        <f t="shared" si="21"/>
        <v>255</v>
      </c>
      <c r="K153" s="230">
        <v>255</v>
      </c>
      <c r="L153" s="230"/>
      <c r="M153" s="230"/>
      <c r="N153" s="230"/>
      <c r="O153" s="230"/>
      <c r="P153" s="230"/>
      <c r="Q153" s="229" t="e">
        <f>IF(K153="nio",0,IF(K153&gt;0,K153*I153/W153,0))*VLOOKUP(B153,'2-Kosten per locatie'!$A$14:$C$25,3,FALSE)</f>
        <v>#DIV/0!</v>
      </c>
      <c r="R153" s="229">
        <f>IF(L153&gt;0,L153*I153/X153,0)*VLOOKUP(B153,'2-Kosten per locatie'!$A$14:$C$25,3,FALSE)</f>
        <v>0</v>
      </c>
      <c r="S153" s="229">
        <f>IF(M153&gt;0,M153*I153/Y153,0)*VLOOKUP(B153,'2-Kosten per locatie'!$A$14:$C$25,3,FALSE)</f>
        <v>0</v>
      </c>
      <c r="T153" s="229">
        <f>IF(N153&gt;0,N153*I153/Z153,0)*VLOOKUP(B153,'2-Kosten per locatie'!$A$14:$C$25,3,FALSE)</f>
        <v>0</v>
      </c>
      <c r="U153" s="229">
        <f>IF(O153&gt;0,O153*I153/Y153,0)*VLOOKUP(B153,'2-Kosten per locatie'!$A$14:$C$25,3,FALSE)</f>
        <v>0</v>
      </c>
      <c r="V153" s="229">
        <f>IF(P153&gt;0,P153*I153/Z153,0)*VLOOKUP(B153,'2-Kosten per locatie'!$A$14:$C$25,3,FALSE)</f>
        <v>0</v>
      </c>
      <c r="W153" s="307">
        <f>IF(K153="nio",0,IF(K153&gt;0,VLOOKUP(G153,'3-Productie normen'!A:R,VLOOKUP(K153,'3-Productie normen'!$B$29:$C$41,2,FALSE),FALSE)))</f>
        <v>0</v>
      </c>
      <c r="X153" s="307">
        <f t="shared" si="22"/>
        <v>0</v>
      </c>
      <c r="Y153" s="307">
        <f t="shared" si="23"/>
        <v>0</v>
      </c>
      <c r="Z153" s="307">
        <f t="shared" si="24"/>
        <v>0</v>
      </c>
      <c r="AA153" s="308">
        <f>VLOOKUP(G153,'3-Productie normen'!A:U,15,FALSE)</f>
        <v>0</v>
      </c>
      <c r="AB153" s="309">
        <f>VLOOKUP(G153,'3-Productie normen'!A:U,16,FALSE)</f>
        <v>915.88999999999976</v>
      </c>
      <c r="AC153" s="308"/>
      <c r="AE153" s="310">
        <f t="shared" si="25"/>
        <v>4526.25</v>
      </c>
    </row>
    <row r="154" spans="1:31" ht="14.1" hidden="1" customHeight="1">
      <c r="A154" s="75">
        <v>149</v>
      </c>
      <c r="B154" s="380" t="s">
        <v>57</v>
      </c>
      <c r="C154" s="276" t="s">
        <v>316</v>
      </c>
      <c r="D154" s="304" t="s">
        <v>176</v>
      </c>
      <c r="E154" s="305" t="s">
        <v>333</v>
      </c>
      <c r="F154" s="71" t="s">
        <v>334</v>
      </c>
      <c r="G154" s="71" t="s">
        <v>196</v>
      </c>
      <c r="H154" s="71" t="s">
        <v>223</v>
      </c>
      <c r="I154" s="388">
        <v>2</v>
      </c>
      <c r="J154" s="306">
        <f t="shared" si="21"/>
        <v>0</v>
      </c>
      <c r="K154" s="230" t="s">
        <v>197</v>
      </c>
      <c r="L154" s="230"/>
      <c r="M154" s="230"/>
      <c r="N154" s="230"/>
      <c r="O154" s="230"/>
      <c r="P154" s="230"/>
      <c r="Q154" s="229">
        <f>IF(K154="nio",0,IF(K154&gt;0,K154*I154/W154,0))*VLOOKUP(B154,'2-Kosten per locatie'!$A$14:$C$25,3,FALSE)</f>
        <v>0</v>
      </c>
      <c r="R154" s="229">
        <f>IF(L154&gt;0,L154*I154/X154,0)*VLOOKUP(B154,'2-Kosten per locatie'!$A$14:$C$25,3,FALSE)</f>
        <v>0</v>
      </c>
      <c r="S154" s="229">
        <f>IF(M154&gt;0,M154*I154/Y154,0)*VLOOKUP(B154,'2-Kosten per locatie'!$A$14:$C$25,3,FALSE)</f>
        <v>0</v>
      </c>
      <c r="T154" s="229">
        <f>IF(N154&gt;0,N154*I154/Z154,0)*VLOOKUP(B154,'2-Kosten per locatie'!$A$14:$C$25,3,FALSE)</f>
        <v>0</v>
      </c>
      <c r="U154" s="229">
        <f>IF(O154&gt;0,O154*I154/Y154,0)*VLOOKUP(B154,'2-Kosten per locatie'!$A$14:$C$25,3,FALSE)</f>
        <v>0</v>
      </c>
      <c r="V154" s="229">
        <f>IF(P154&gt;0,P154*I154/Z154,0)*VLOOKUP(B154,'2-Kosten per locatie'!$A$14:$C$25,3,FALSE)</f>
        <v>0</v>
      </c>
      <c r="W154" s="307">
        <f>IF(K154="nio",0,IF(K154&gt;0,VLOOKUP(G154,'3-Productie normen'!A:R,VLOOKUP(K154,'3-Productie normen'!$B$29:$C$41,2,FALSE),FALSE)))</f>
        <v>0</v>
      </c>
      <c r="X154" s="307">
        <f t="shared" si="22"/>
        <v>0</v>
      </c>
      <c r="Y154" s="307">
        <f t="shared" si="23"/>
        <v>0</v>
      </c>
      <c r="Z154" s="307">
        <f t="shared" si="24"/>
        <v>0</v>
      </c>
      <c r="AA154" s="308" t="e">
        <f>VLOOKUP(G154,'3-Productie normen'!A:U,15,FALSE)</f>
        <v>#N/A</v>
      </c>
      <c r="AB154" s="309" t="e">
        <f>VLOOKUP(G154,'3-Productie normen'!A:U,16,FALSE)</f>
        <v>#N/A</v>
      </c>
      <c r="AC154" s="308"/>
      <c r="AE154" s="310">
        <f t="shared" si="25"/>
        <v>0</v>
      </c>
    </row>
    <row r="155" spans="1:31" ht="14.1" hidden="1" customHeight="1">
      <c r="A155" s="75">
        <v>150</v>
      </c>
      <c r="B155" s="380" t="s">
        <v>57</v>
      </c>
      <c r="C155" s="276" t="s">
        <v>316</v>
      </c>
      <c r="D155" s="304" t="s">
        <v>176</v>
      </c>
      <c r="E155" s="305" t="s">
        <v>335</v>
      </c>
      <c r="F155" s="311" t="s">
        <v>254</v>
      </c>
      <c r="G155" s="311" t="s">
        <v>103</v>
      </c>
      <c r="H155" s="71" t="s">
        <v>192</v>
      </c>
      <c r="I155" s="388">
        <v>1.05</v>
      </c>
      <c r="J155" s="306">
        <f t="shared" si="21"/>
        <v>255</v>
      </c>
      <c r="K155" s="230">
        <v>255</v>
      </c>
      <c r="L155" s="230"/>
      <c r="M155" s="230"/>
      <c r="N155" s="230"/>
      <c r="O155" s="230"/>
      <c r="P155" s="230"/>
      <c r="Q155" s="229" t="e">
        <f>IF(K155="nio",0,IF(K155&gt;0,K155*I155/W155,0))*VLOOKUP(B155,'2-Kosten per locatie'!$A$14:$C$25,3,FALSE)</f>
        <v>#DIV/0!</v>
      </c>
      <c r="R155" s="229">
        <f>IF(L155&gt;0,L155*I155/X155,0)*VLOOKUP(B155,'2-Kosten per locatie'!$A$14:$C$25,3,FALSE)</f>
        <v>0</v>
      </c>
      <c r="S155" s="229">
        <f>IF(M155&gt;0,M155*I155/Y155,0)*VLOOKUP(B155,'2-Kosten per locatie'!$A$14:$C$25,3,FALSE)</f>
        <v>0</v>
      </c>
      <c r="T155" s="229">
        <f>IF(N155&gt;0,N155*I155/Z155,0)*VLOOKUP(B155,'2-Kosten per locatie'!$A$14:$C$25,3,FALSE)</f>
        <v>0</v>
      </c>
      <c r="U155" s="229">
        <f>IF(O155&gt;0,O155*I155/Y155,0)*VLOOKUP(B155,'2-Kosten per locatie'!$A$14:$C$25,3,FALSE)</f>
        <v>0</v>
      </c>
      <c r="V155" s="229">
        <f>IF(P155&gt;0,P155*I155/Z155,0)*VLOOKUP(B155,'2-Kosten per locatie'!$A$14:$C$25,3,FALSE)</f>
        <v>0</v>
      </c>
      <c r="W155" s="307">
        <f>IF(K155="nio",0,IF(K155&gt;0,VLOOKUP(G155,'3-Productie normen'!A:R,VLOOKUP(K155,'3-Productie normen'!$B$29:$C$41,2,FALSE),FALSE)))</f>
        <v>0</v>
      </c>
      <c r="X155" s="307">
        <f t="shared" si="22"/>
        <v>0</v>
      </c>
      <c r="Y155" s="307">
        <f t="shared" si="23"/>
        <v>0</v>
      </c>
      <c r="Z155" s="307">
        <f t="shared" si="24"/>
        <v>0</v>
      </c>
      <c r="AA155" s="308">
        <f>VLOOKUP(G155,'3-Productie normen'!A:U,15,FALSE)</f>
        <v>0</v>
      </c>
      <c r="AB155" s="309">
        <f>VLOOKUP(G155,'3-Productie normen'!A:U,16,FALSE)</f>
        <v>198.56500000000014</v>
      </c>
      <c r="AC155" s="308"/>
      <c r="AE155" s="310">
        <f t="shared" si="25"/>
        <v>267.75</v>
      </c>
    </row>
    <row r="156" spans="1:31" ht="14.1" hidden="1" customHeight="1">
      <c r="A156" s="75">
        <v>151</v>
      </c>
      <c r="B156" s="380" t="s">
        <v>57</v>
      </c>
      <c r="C156" s="276" t="s">
        <v>316</v>
      </c>
      <c r="D156" s="304" t="s">
        <v>176</v>
      </c>
      <c r="E156" s="305" t="s">
        <v>336</v>
      </c>
      <c r="F156" s="71" t="s">
        <v>253</v>
      </c>
      <c r="G156" s="71" t="s">
        <v>103</v>
      </c>
      <c r="H156" s="447" t="s">
        <v>192</v>
      </c>
      <c r="I156" s="388">
        <v>1.05</v>
      </c>
      <c r="J156" s="306">
        <f t="shared" si="21"/>
        <v>255</v>
      </c>
      <c r="K156" s="230">
        <v>255</v>
      </c>
      <c r="L156" s="230"/>
      <c r="M156" s="230"/>
      <c r="N156" s="230"/>
      <c r="O156" s="230"/>
      <c r="P156" s="230"/>
      <c r="Q156" s="229" t="e">
        <f>IF(K156="nio",0,IF(K156&gt;0,K156*I156/W156,0))*VLOOKUP(B156,'2-Kosten per locatie'!$A$14:$C$25,3,FALSE)</f>
        <v>#DIV/0!</v>
      </c>
      <c r="R156" s="229">
        <f>IF(L156&gt;0,L156*I156/X156,0)*VLOOKUP(B156,'2-Kosten per locatie'!$A$14:$C$25,3,FALSE)</f>
        <v>0</v>
      </c>
      <c r="S156" s="229">
        <f>IF(M156&gt;0,M156*I156/Y156,0)*VLOOKUP(B156,'2-Kosten per locatie'!$A$14:$C$25,3,FALSE)</f>
        <v>0</v>
      </c>
      <c r="T156" s="229">
        <f>IF(N156&gt;0,N156*I156/Z156,0)*VLOOKUP(B156,'2-Kosten per locatie'!$A$14:$C$25,3,FALSE)</f>
        <v>0</v>
      </c>
      <c r="U156" s="229">
        <f>IF(O156&gt;0,O156*I156/Y156,0)*VLOOKUP(B156,'2-Kosten per locatie'!$A$14:$C$25,3,FALSE)</f>
        <v>0</v>
      </c>
      <c r="V156" s="229">
        <f>IF(P156&gt;0,P156*I156/Z156,0)*VLOOKUP(B156,'2-Kosten per locatie'!$A$14:$C$25,3,FALSE)</f>
        <v>0</v>
      </c>
      <c r="W156" s="307">
        <f>IF(K156="nio",0,IF(K156&gt;0,VLOOKUP(G156,'3-Productie normen'!A:R,VLOOKUP(K156,'3-Productie normen'!$B$29:$C$41,2,FALSE),FALSE)))</f>
        <v>0</v>
      </c>
      <c r="X156" s="307">
        <f t="shared" si="22"/>
        <v>0</v>
      </c>
      <c r="Y156" s="307">
        <f t="shared" si="23"/>
        <v>0</v>
      </c>
      <c r="Z156" s="307">
        <f t="shared" si="24"/>
        <v>0</v>
      </c>
      <c r="AA156" s="308">
        <f>VLOOKUP(G156,'3-Productie normen'!A:U,15,FALSE)</f>
        <v>0</v>
      </c>
      <c r="AB156" s="309">
        <f>VLOOKUP(G156,'3-Productie normen'!A:U,16,FALSE)</f>
        <v>198.56500000000014</v>
      </c>
      <c r="AC156" s="308"/>
      <c r="AE156" s="310">
        <f t="shared" si="25"/>
        <v>267.75</v>
      </c>
    </row>
    <row r="157" spans="1:31" ht="14.1" hidden="1" customHeight="1">
      <c r="A157" s="75">
        <v>152</v>
      </c>
      <c r="B157" s="380" t="s">
        <v>57</v>
      </c>
      <c r="C157" s="276" t="s">
        <v>316</v>
      </c>
      <c r="D157" s="86" t="s">
        <v>176</v>
      </c>
      <c r="E157" s="226" t="s">
        <v>337</v>
      </c>
      <c r="F157" s="85" t="s">
        <v>338</v>
      </c>
      <c r="G157" s="85" t="s">
        <v>103</v>
      </c>
      <c r="H157" s="71" t="s">
        <v>185</v>
      </c>
      <c r="I157" s="388">
        <v>3.35</v>
      </c>
      <c r="J157" s="306">
        <f t="shared" si="21"/>
        <v>255</v>
      </c>
      <c r="K157" s="230">
        <v>255</v>
      </c>
      <c r="L157" s="230"/>
      <c r="M157" s="230"/>
      <c r="N157" s="230"/>
      <c r="O157" s="230"/>
      <c r="P157" s="230"/>
      <c r="Q157" s="229" t="e">
        <f>IF(K157="nio",0,IF(K157&gt;0,K157*I157/W157,0))*VLOOKUP(B157,'2-Kosten per locatie'!$A$14:$C$25,3,FALSE)</f>
        <v>#DIV/0!</v>
      </c>
      <c r="R157" s="229">
        <f>IF(L157&gt;0,L157*I157/X157,0)*VLOOKUP(B157,'2-Kosten per locatie'!$A$14:$C$25,3,FALSE)</f>
        <v>0</v>
      </c>
      <c r="S157" s="229">
        <f>IF(M157&gt;0,M157*I157/Y157,0)*VLOOKUP(B157,'2-Kosten per locatie'!$A$14:$C$25,3,FALSE)</f>
        <v>0</v>
      </c>
      <c r="T157" s="229">
        <f>IF(N157&gt;0,N157*I157/Z157,0)*VLOOKUP(B157,'2-Kosten per locatie'!$A$14:$C$25,3,FALSE)</f>
        <v>0</v>
      </c>
      <c r="U157" s="229">
        <f>IF(O157&gt;0,O157*I157/Y157,0)*VLOOKUP(B157,'2-Kosten per locatie'!$A$14:$C$25,3,FALSE)</f>
        <v>0</v>
      </c>
      <c r="V157" s="229">
        <f>IF(P157&gt;0,P157*I157/Z157,0)*VLOOKUP(B157,'2-Kosten per locatie'!$A$14:$C$25,3,FALSE)</f>
        <v>0</v>
      </c>
      <c r="W157" s="307">
        <f>IF(K157="nio",0,IF(K157&gt;0,VLOOKUP(G157,'3-Productie normen'!A:R,VLOOKUP(K157,'3-Productie normen'!$B$29:$C$41,2,FALSE),FALSE)))</f>
        <v>0</v>
      </c>
      <c r="X157" s="307">
        <f t="shared" si="22"/>
        <v>0</v>
      </c>
      <c r="Y157" s="307">
        <f t="shared" si="23"/>
        <v>0</v>
      </c>
      <c r="Z157" s="307">
        <f t="shared" si="24"/>
        <v>0</v>
      </c>
      <c r="AA157" s="308">
        <f>VLOOKUP(G157,'3-Productie normen'!A:U,15,FALSE)</f>
        <v>0</v>
      </c>
      <c r="AB157" s="309">
        <f>VLOOKUP(G157,'3-Productie normen'!A:U,16,FALSE)</f>
        <v>198.56500000000014</v>
      </c>
      <c r="AC157" s="308"/>
      <c r="AE157" s="310">
        <f t="shared" si="25"/>
        <v>854.25</v>
      </c>
    </row>
    <row r="158" spans="1:31" ht="14.1" hidden="1" customHeight="1">
      <c r="A158" s="75">
        <v>153</v>
      </c>
      <c r="B158" s="380" t="s">
        <v>57</v>
      </c>
      <c r="C158" s="276" t="s">
        <v>316</v>
      </c>
      <c r="D158" s="304" t="s">
        <v>176</v>
      </c>
      <c r="E158" s="305" t="s">
        <v>339</v>
      </c>
      <c r="F158" s="71" t="s">
        <v>340</v>
      </c>
      <c r="G158" s="71" t="s">
        <v>196</v>
      </c>
      <c r="H158" s="71" t="s">
        <v>223</v>
      </c>
      <c r="I158" s="388">
        <v>10.5</v>
      </c>
      <c r="J158" s="306">
        <f t="shared" si="21"/>
        <v>0</v>
      </c>
      <c r="K158" s="230" t="s">
        <v>197</v>
      </c>
      <c r="L158" s="230"/>
      <c r="M158" s="230"/>
      <c r="N158" s="230"/>
      <c r="O158" s="230"/>
      <c r="P158" s="230"/>
      <c r="Q158" s="229">
        <f>IF(K158="nio",0,IF(K158&gt;0,K158*I158/W158,0))*VLOOKUP(B158,'2-Kosten per locatie'!$A$14:$C$25,3,FALSE)</f>
        <v>0</v>
      </c>
      <c r="R158" s="229">
        <f>IF(L158&gt;0,L158*I158/X158,0)*VLOOKUP(B158,'2-Kosten per locatie'!$A$14:$C$25,3,FALSE)</f>
        <v>0</v>
      </c>
      <c r="S158" s="229">
        <f>IF(M158&gt;0,M158*I158/Y158,0)*VLOOKUP(B158,'2-Kosten per locatie'!$A$14:$C$25,3,FALSE)</f>
        <v>0</v>
      </c>
      <c r="T158" s="229">
        <f>IF(N158&gt;0,N158*I158/Z158,0)*VLOOKUP(B158,'2-Kosten per locatie'!$A$14:$C$25,3,FALSE)</f>
        <v>0</v>
      </c>
      <c r="U158" s="229">
        <f>IF(O158&gt;0,O158*I158/Y158,0)*VLOOKUP(B158,'2-Kosten per locatie'!$A$14:$C$25,3,FALSE)</f>
        <v>0</v>
      </c>
      <c r="V158" s="229">
        <f>IF(P158&gt;0,P158*I158/Z158,0)*VLOOKUP(B158,'2-Kosten per locatie'!$A$14:$C$25,3,FALSE)</f>
        <v>0</v>
      </c>
      <c r="W158" s="307">
        <f>IF(K158="nio",0,IF(K158&gt;0,VLOOKUP(G158,'3-Productie normen'!A:R,VLOOKUP(K158,'3-Productie normen'!$B$29:$C$41,2,FALSE),FALSE)))</f>
        <v>0</v>
      </c>
      <c r="X158" s="307">
        <f t="shared" si="22"/>
        <v>0</v>
      </c>
      <c r="Y158" s="307">
        <f t="shared" si="23"/>
        <v>0</v>
      </c>
      <c r="Z158" s="307">
        <f t="shared" si="24"/>
        <v>0</v>
      </c>
      <c r="AA158" s="308" t="e">
        <f>VLOOKUP(G158,'3-Productie normen'!A:U,15,FALSE)</f>
        <v>#N/A</v>
      </c>
      <c r="AB158" s="309" t="e">
        <f>VLOOKUP(G158,'3-Productie normen'!A:U,16,FALSE)</f>
        <v>#N/A</v>
      </c>
      <c r="AC158" s="308"/>
      <c r="AE158" s="310">
        <f t="shared" si="25"/>
        <v>0</v>
      </c>
    </row>
    <row r="159" spans="1:31" ht="14.1" hidden="1" customHeight="1">
      <c r="A159" s="75">
        <v>154</v>
      </c>
      <c r="B159" s="380" t="s">
        <v>57</v>
      </c>
      <c r="C159" s="276" t="s">
        <v>316</v>
      </c>
      <c r="D159" s="304" t="s">
        <v>176</v>
      </c>
      <c r="E159" s="305" t="s">
        <v>341</v>
      </c>
      <c r="F159" s="71" t="s">
        <v>342</v>
      </c>
      <c r="G159" s="71" t="s">
        <v>196</v>
      </c>
      <c r="H159" s="71" t="s">
        <v>185</v>
      </c>
      <c r="I159" s="388">
        <v>3.65</v>
      </c>
      <c r="J159" s="306">
        <f t="shared" si="21"/>
        <v>0</v>
      </c>
      <c r="K159" s="230" t="s">
        <v>197</v>
      </c>
      <c r="L159" s="230"/>
      <c r="M159" s="230"/>
      <c r="N159" s="230"/>
      <c r="O159" s="230"/>
      <c r="P159" s="230"/>
      <c r="Q159" s="229">
        <f>IF(K159="nio",0,IF(K159&gt;0,K159*I159/W159,0))*VLOOKUP(B159,'2-Kosten per locatie'!$A$14:$C$25,3,FALSE)</f>
        <v>0</v>
      </c>
      <c r="R159" s="229">
        <f>IF(L159&gt;0,L159*I159/X159,0)*VLOOKUP(B159,'2-Kosten per locatie'!$A$14:$C$25,3,FALSE)</f>
        <v>0</v>
      </c>
      <c r="S159" s="229">
        <f>IF(M159&gt;0,M159*I159/Y159,0)*VLOOKUP(B159,'2-Kosten per locatie'!$A$14:$C$25,3,FALSE)</f>
        <v>0</v>
      </c>
      <c r="T159" s="229">
        <f>IF(N159&gt;0,N159*I159/Z159,0)*VLOOKUP(B159,'2-Kosten per locatie'!$A$14:$C$25,3,FALSE)</f>
        <v>0</v>
      </c>
      <c r="U159" s="229">
        <f>IF(O159&gt;0,O159*I159/Y159,0)*VLOOKUP(B159,'2-Kosten per locatie'!$A$14:$C$25,3,FALSE)</f>
        <v>0</v>
      </c>
      <c r="V159" s="229">
        <f>IF(P159&gt;0,P159*I159/Z159,0)*VLOOKUP(B159,'2-Kosten per locatie'!$A$14:$C$25,3,FALSE)</f>
        <v>0</v>
      </c>
      <c r="W159" s="307">
        <f>IF(K159="nio",0,IF(K159&gt;0,VLOOKUP(G159,'3-Productie normen'!A:R,VLOOKUP(K159,'3-Productie normen'!$B$29:$C$41,2,FALSE),FALSE)))</f>
        <v>0</v>
      </c>
      <c r="X159" s="307">
        <f t="shared" si="22"/>
        <v>0</v>
      </c>
      <c r="Y159" s="307">
        <f t="shared" si="23"/>
        <v>0</v>
      </c>
      <c r="Z159" s="307">
        <f t="shared" si="24"/>
        <v>0</v>
      </c>
      <c r="AA159" s="308" t="e">
        <f>VLOOKUP(G159,'3-Productie normen'!A:U,15,FALSE)</f>
        <v>#N/A</v>
      </c>
      <c r="AB159" s="309" t="e">
        <f>VLOOKUP(G159,'3-Productie normen'!A:U,16,FALSE)</f>
        <v>#N/A</v>
      </c>
      <c r="AC159" s="308"/>
      <c r="AE159" s="310">
        <f t="shared" si="25"/>
        <v>0</v>
      </c>
    </row>
    <row r="160" spans="1:31" ht="14.1" hidden="1" customHeight="1">
      <c r="A160" s="75">
        <v>155</v>
      </c>
      <c r="B160" s="380" t="s">
        <v>57</v>
      </c>
      <c r="C160" s="276" t="s">
        <v>316</v>
      </c>
      <c r="D160" s="304" t="s">
        <v>176</v>
      </c>
      <c r="E160" s="305" t="s">
        <v>343</v>
      </c>
      <c r="F160" s="71" t="s">
        <v>344</v>
      </c>
      <c r="G160" s="71" t="s">
        <v>196</v>
      </c>
      <c r="H160" s="71" t="s">
        <v>223</v>
      </c>
      <c r="I160" s="388">
        <v>5</v>
      </c>
      <c r="J160" s="306">
        <f t="shared" si="21"/>
        <v>0</v>
      </c>
      <c r="K160" s="230" t="s">
        <v>197</v>
      </c>
      <c r="L160" s="230"/>
      <c r="M160" s="230"/>
      <c r="N160" s="230"/>
      <c r="O160" s="230"/>
      <c r="P160" s="230"/>
      <c r="Q160" s="229">
        <f>IF(K160="nio",0,IF(K160&gt;0,K160*I160/W160,0))*VLOOKUP(B160,'2-Kosten per locatie'!$A$14:$C$25,3,FALSE)</f>
        <v>0</v>
      </c>
      <c r="R160" s="229">
        <f>IF(L160&gt;0,L160*I160/X160,0)*VLOOKUP(B160,'2-Kosten per locatie'!$A$14:$C$25,3,FALSE)</f>
        <v>0</v>
      </c>
      <c r="S160" s="229">
        <f>IF(M160&gt;0,M160*I160/Y160,0)*VLOOKUP(B160,'2-Kosten per locatie'!$A$14:$C$25,3,FALSE)</f>
        <v>0</v>
      </c>
      <c r="T160" s="229">
        <f>IF(N160&gt;0,N160*I160/Z160,0)*VLOOKUP(B160,'2-Kosten per locatie'!$A$14:$C$25,3,FALSE)</f>
        <v>0</v>
      </c>
      <c r="U160" s="229">
        <f>IF(O160&gt;0,O160*I160/Y160,0)*VLOOKUP(B160,'2-Kosten per locatie'!$A$14:$C$25,3,FALSE)</f>
        <v>0</v>
      </c>
      <c r="V160" s="229">
        <f>IF(P160&gt;0,P160*I160/Z160,0)*VLOOKUP(B160,'2-Kosten per locatie'!$A$14:$C$25,3,FALSE)</f>
        <v>0</v>
      </c>
      <c r="W160" s="307">
        <f>IF(K160="nio",0,IF(K160&gt;0,VLOOKUP(G160,'3-Productie normen'!A:R,VLOOKUP(K160,'3-Productie normen'!$B$29:$C$41,2,FALSE),FALSE)))</f>
        <v>0</v>
      </c>
      <c r="X160" s="307">
        <f t="shared" si="22"/>
        <v>0</v>
      </c>
      <c r="Y160" s="307">
        <f t="shared" si="23"/>
        <v>0</v>
      </c>
      <c r="Z160" s="307">
        <f t="shared" si="24"/>
        <v>0</v>
      </c>
      <c r="AA160" s="308" t="e">
        <f>VLOOKUP(G160,'3-Productie normen'!A:U,15,FALSE)</f>
        <v>#N/A</v>
      </c>
      <c r="AB160" s="309" t="e">
        <f>VLOOKUP(G160,'3-Productie normen'!A:U,16,FALSE)</f>
        <v>#N/A</v>
      </c>
      <c r="AC160" s="308"/>
      <c r="AE160" s="310">
        <f t="shared" si="25"/>
        <v>0</v>
      </c>
    </row>
    <row r="161" spans="1:31" ht="14.1" hidden="1" customHeight="1">
      <c r="A161" s="75">
        <v>156</v>
      </c>
      <c r="B161" s="380" t="s">
        <v>57</v>
      </c>
      <c r="C161" s="276" t="s">
        <v>316</v>
      </c>
      <c r="D161" s="304" t="s">
        <v>236</v>
      </c>
      <c r="E161" s="305" t="s">
        <v>345</v>
      </c>
      <c r="F161" s="71" t="s">
        <v>346</v>
      </c>
      <c r="G161" s="71" t="s">
        <v>96</v>
      </c>
      <c r="H161" s="71" t="s">
        <v>172</v>
      </c>
      <c r="I161" s="388">
        <v>3</v>
      </c>
      <c r="J161" s="306">
        <f t="shared" si="21"/>
        <v>347</v>
      </c>
      <c r="K161" s="230">
        <v>190</v>
      </c>
      <c r="L161" s="230">
        <v>45</v>
      </c>
      <c r="M161" s="230">
        <v>78</v>
      </c>
      <c r="N161" s="230">
        <v>22</v>
      </c>
      <c r="O161" s="230">
        <v>8</v>
      </c>
      <c r="P161" s="230">
        <v>4</v>
      </c>
      <c r="Q161" s="229" t="e">
        <f>IF(K161="nio",0,IF(K161&gt;0,K161*I161/W161,0))*VLOOKUP(B161,'2-Kosten per locatie'!$A$14:$C$25,3,FALSE)</f>
        <v>#DIV/0!</v>
      </c>
      <c r="R161" s="229" t="e">
        <f>IF(L161&gt;0,L161*I161/X161,0)*VLOOKUP(B161,'2-Kosten per locatie'!$A$14:$C$25,3,FALSE)</f>
        <v>#DIV/0!</v>
      </c>
      <c r="S161" s="229" t="e">
        <f>IF(M161&gt;0,M161*I161/Y161,0)*VLOOKUP(B161,'2-Kosten per locatie'!$A$14:$C$25,3,FALSE)</f>
        <v>#DIV/0!</v>
      </c>
      <c r="T161" s="229" t="e">
        <f>IF(N161&gt;0,N161*I161/Z161,0)*VLOOKUP(B161,'2-Kosten per locatie'!$A$14:$C$25,3,FALSE)</f>
        <v>#DIV/0!</v>
      </c>
      <c r="U161" s="229" t="e">
        <f>IF(O161&gt;0,O161*I161/Y161,0)*VLOOKUP(B161,'2-Kosten per locatie'!$A$14:$C$25,3,FALSE)</f>
        <v>#DIV/0!</v>
      </c>
      <c r="V161" s="229" t="e">
        <f>IF(P161&gt;0,P161*I161/Z161,0)*VLOOKUP(B161,'2-Kosten per locatie'!$A$14:$C$25,3,FALSE)</f>
        <v>#DIV/0!</v>
      </c>
      <c r="W161" s="307">
        <f>IF(K161="nio",0,IF(K161&gt;0,VLOOKUP(G161,'3-Productie normen'!A:R,VLOOKUP(K161,'3-Productie normen'!$B$29:$C$41,2,FALSE),FALSE)))</f>
        <v>0</v>
      </c>
      <c r="X161" s="307">
        <f t="shared" si="22"/>
        <v>0</v>
      </c>
      <c r="Y161" s="307">
        <f t="shared" si="23"/>
        <v>0</v>
      </c>
      <c r="Z161" s="307">
        <f t="shared" si="24"/>
        <v>0</v>
      </c>
      <c r="AA161" s="308">
        <f>VLOOKUP(G161,'3-Productie normen'!A:U,15,FALSE)</f>
        <v>0</v>
      </c>
      <c r="AB161" s="309">
        <f>VLOOKUP(G161,'3-Productie normen'!A:U,16,FALSE)</f>
        <v>84.322499999999991</v>
      </c>
      <c r="AC161" s="308"/>
      <c r="AE161" s="310">
        <f t="shared" si="25"/>
        <v>1041</v>
      </c>
    </row>
    <row r="162" spans="1:31" ht="14.1" hidden="1" customHeight="1">
      <c r="A162" s="75">
        <v>157</v>
      </c>
      <c r="B162" s="380" t="s">
        <v>57</v>
      </c>
      <c r="C162" s="276" t="s">
        <v>316</v>
      </c>
      <c r="D162" s="304" t="s">
        <v>236</v>
      </c>
      <c r="E162" s="305" t="s">
        <v>347</v>
      </c>
      <c r="F162" s="71" t="s">
        <v>348</v>
      </c>
      <c r="G162" s="71" t="s">
        <v>265</v>
      </c>
      <c r="H162" s="71" t="s">
        <v>192</v>
      </c>
      <c r="I162" s="388">
        <v>8</v>
      </c>
      <c r="J162" s="306">
        <f t="shared" si="21"/>
        <v>347</v>
      </c>
      <c r="K162" s="230">
        <v>190</v>
      </c>
      <c r="L162" s="230">
        <v>45</v>
      </c>
      <c r="M162" s="230">
        <v>78</v>
      </c>
      <c r="N162" s="230">
        <v>22</v>
      </c>
      <c r="O162" s="230">
        <v>8</v>
      </c>
      <c r="P162" s="230">
        <v>4</v>
      </c>
      <c r="Q162" s="229" t="e">
        <f>IF(K162="nio",0,IF(K162&gt;0,K162*I162/W162,0))*VLOOKUP(B162,'2-Kosten per locatie'!$A$14:$C$25,3,FALSE)</f>
        <v>#DIV/0!</v>
      </c>
      <c r="R162" s="229" t="e">
        <f>IF(L162&gt;0,L162*I162/X162,0)*VLOOKUP(B162,'2-Kosten per locatie'!$A$14:$C$25,3,FALSE)</f>
        <v>#DIV/0!</v>
      </c>
      <c r="S162" s="229" t="e">
        <f>IF(M162&gt;0,M162*I162/Y162,0)*VLOOKUP(B162,'2-Kosten per locatie'!$A$14:$C$25,3,FALSE)</f>
        <v>#DIV/0!</v>
      </c>
      <c r="T162" s="229" t="e">
        <f>IF(N162&gt;0,N162*I162/Z162,0)*VLOOKUP(B162,'2-Kosten per locatie'!$A$14:$C$25,3,FALSE)</f>
        <v>#DIV/0!</v>
      </c>
      <c r="U162" s="229" t="e">
        <f>IF(O162&gt;0,O162*I162/Y162,0)*VLOOKUP(B162,'2-Kosten per locatie'!$A$14:$C$25,3,FALSE)</f>
        <v>#DIV/0!</v>
      </c>
      <c r="V162" s="229" t="e">
        <f>IF(P162&gt;0,P162*I162/Z162,0)*VLOOKUP(B162,'2-Kosten per locatie'!$A$14:$C$25,3,FALSE)</f>
        <v>#DIV/0!</v>
      </c>
      <c r="W162" s="307">
        <f>IF(K162="nio",0,IF(K162&gt;0,VLOOKUP(G162,'3-Productie normen'!A:R,VLOOKUP(K162,'3-Productie normen'!$B$29:$C$41,2,FALSE),FALSE)))</f>
        <v>0</v>
      </c>
      <c r="X162" s="307">
        <f t="shared" si="22"/>
        <v>0</v>
      </c>
      <c r="Y162" s="307">
        <f t="shared" si="23"/>
        <v>0</v>
      </c>
      <c r="Z162" s="307">
        <f t="shared" si="24"/>
        <v>0</v>
      </c>
      <c r="AA162" s="308">
        <f>VLOOKUP(G162,'3-Productie normen'!A:U,15,FALSE)</f>
        <v>0</v>
      </c>
      <c r="AB162" s="309">
        <f>VLOOKUP(G162,'3-Productie normen'!A:U,16,FALSE)</f>
        <v>76.59999999999998</v>
      </c>
      <c r="AC162" s="308"/>
      <c r="AE162" s="310">
        <f t="shared" si="25"/>
        <v>2776</v>
      </c>
    </row>
    <row r="163" spans="1:31" ht="14.1" hidden="1" customHeight="1">
      <c r="A163" s="75">
        <v>158</v>
      </c>
      <c r="B163" s="380" t="s">
        <v>57</v>
      </c>
      <c r="C163" s="276" t="s">
        <v>316</v>
      </c>
      <c r="D163" s="304" t="s">
        <v>236</v>
      </c>
      <c r="E163" s="305" t="s">
        <v>349</v>
      </c>
      <c r="F163" s="276" t="s">
        <v>350</v>
      </c>
      <c r="G163" s="276" t="s">
        <v>103</v>
      </c>
      <c r="H163" s="71" t="s">
        <v>192</v>
      </c>
      <c r="I163" s="388">
        <v>1.3</v>
      </c>
      <c r="J163" s="306">
        <f t="shared" si="21"/>
        <v>347</v>
      </c>
      <c r="K163" s="230">
        <v>190</v>
      </c>
      <c r="L163" s="230">
        <v>45</v>
      </c>
      <c r="M163" s="230">
        <v>78</v>
      </c>
      <c r="N163" s="230">
        <v>22</v>
      </c>
      <c r="O163" s="230">
        <v>8</v>
      </c>
      <c r="P163" s="230">
        <v>4</v>
      </c>
      <c r="Q163" s="229" t="e">
        <f>IF(K163="nio",0,IF(K163&gt;0,K163*I163/W163,0))*VLOOKUP(B163,'2-Kosten per locatie'!$A$14:$C$25,3,FALSE)</f>
        <v>#DIV/0!</v>
      </c>
      <c r="R163" s="229" t="e">
        <f>IF(L163&gt;0,L163*I163/X163,0)*VLOOKUP(B163,'2-Kosten per locatie'!$A$14:$C$25,3,FALSE)</f>
        <v>#DIV/0!</v>
      </c>
      <c r="S163" s="229" t="e">
        <f>IF(M163&gt;0,M163*I163/Y163,0)*VLOOKUP(B163,'2-Kosten per locatie'!$A$14:$C$25,3,FALSE)</f>
        <v>#DIV/0!</v>
      </c>
      <c r="T163" s="229" t="e">
        <f>IF(N163&gt;0,N163*I163/Z163,0)*VLOOKUP(B163,'2-Kosten per locatie'!$A$14:$C$25,3,FALSE)</f>
        <v>#DIV/0!</v>
      </c>
      <c r="U163" s="229" t="e">
        <f>IF(O163&gt;0,O163*I163/Y163,0)*VLOOKUP(B163,'2-Kosten per locatie'!$A$14:$C$25,3,FALSE)</f>
        <v>#DIV/0!</v>
      </c>
      <c r="V163" s="229" t="e">
        <f>IF(P163&gt;0,P163*I163/Z163,0)*VLOOKUP(B163,'2-Kosten per locatie'!$A$14:$C$25,3,FALSE)</f>
        <v>#DIV/0!</v>
      </c>
      <c r="W163" s="307">
        <f>IF(K163="nio",0,IF(K163&gt;0,VLOOKUP(G163,'3-Productie normen'!A:R,VLOOKUP(K163,'3-Productie normen'!$B$29:$C$41,2,FALSE),FALSE)))</f>
        <v>0</v>
      </c>
      <c r="X163" s="307">
        <f t="shared" si="22"/>
        <v>0</v>
      </c>
      <c r="Y163" s="307">
        <f t="shared" si="23"/>
        <v>0</v>
      </c>
      <c r="Z163" s="307">
        <f t="shared" si="24"/>
        <v>0</v>
      </c>
      <c r="AA163" s="308">
        <f>VLOOKUP(G163,'3-Productie normen'!A:U,15,FALSE)</f>
        <v>0</v>
      </c>
      <c r="AB163" s="309">
        <f>VLOOKUP(G163,'3-Productie normen'!A:U,16,FALSE)</f>
        <v>198.56500000000014</v>
      </c>
      <c r="AC163" s="308"/>
      <c r="AE163" s="310">
        <f t="shared" si="25"/>
        <v>451.1</v>
      </c>
    </row>
    <row r="164" spans="1:31" ht="14.1" hidden="1" customHeight="1">
      <c r="A164" s="75">
        <v>159</v>
      </c>
      <c r="B164" s="380" t="s">
        <v>57</v>
      </c>
      <c r="C164" s="276" t="s">
        <v>316</v>
      </c>
      <c r="D164" s="304" t="s">
        <v>236</v>
      </c>
      <c r="E164" s="305" t="s">
        <v>351</v>
      </c>
      <c r="F164" s="276" t="s">
        <v>350</v>
      </c>
      <c r="G164" s="276" t="s">
        <v>103</v>
      </c>
      <c r="H164" s="71" t="s">
        <v>192</v>
      </c>
      <c r="I164" s="388">
        <v>1.3</v>
      </c>
      <c r="J164" s="306">
        <f t="shared" si="21"/>
        <v>347</v>
      </c>
      <c r="K164" s="230">
        <v>190</v>
      </c>
      <c r="L164" s="230">
        <v>45</v>
      </c>
      <c r="M164" s="230">
        <v>78</v>
      </c>
      <c r="N164" s="230">
        <v>22</v>
      </c>
      <c r="O164" s="230">
        <v>8</v>
      </c>
      <c r="P164" s="230">
        <v>4</v>
      </c>
      <c r="Q164" s="229" t="e">
        <f>IF(K164="nio",0,IF(K164&gt;0,K164*I164/W164,0))*VLOOKUP(B164,'2-Kosten per locatie'!$A$14:$C$25,3,FALSE)</f>
        <v>#DIV/0!</v>
      </c>
      <c r="R164" s="229" t="e">
        <f>IF(L164&gt;0,L164*I164/X164,0)*VLOOKUP(B164,'2-Kosten per locatie'!$A$14:$C$25,3,FALSE)</f>
        <v>#DIV/0!</v>
      </c>
      <c r="S164" s="229" t="e">
        <f>IF(M164&gt;0,M164*I164/Y164,0)*VLOOKUP(B164,'2-Kosten per locatie'!$A$14:$C$25,3,FALSE)</f>
        <v>#DIV/0!</v>
      </c>
      <c r="T164" s="229" t="e">
        <f>IF(N164&gt;0,N164*I164/Z164,0)*VLOOKUP(B164,'2-Kosten per locatie'!$A$14:$C$25,3,FALSE)</f>
        <v>#DIV/0!</v>
      </c>
      <c r="U164" s="229" t="e">
        <f>IF(O164&gt;0,O164*I164/Y164,0)*VLOOKUP(B164,'2-Kosten per locatie'!$A$14:$C$25,3,FALSE)</f>
        <v>#DIV/0!</v>
      </c>
      <c r="V164" s="229" t="e">
        <f>IF(P164&gt;0,P164*I164/Z164,0)*VLOOKUP(B164,'2-Kosten per locatie'!$A$14:$C$25,3,FALSE)</f>
        <v>#DIV/0!</v>
      </c>
      <c r="W164" s="307">
        <f>IF(K164="nio",0,IF(K164&gt;0,VLOOKUP(G164,'3-Productie normen'!A:R,VLOOKUP(K164,'3-Productie normen'!$B$29:$C$41,2,FALSE),FALSE)))</f>
        <v>0</v>
      </c>
      <c r="X164" s="307">
        <f t="shared" si="22"/>
        <v>0</v>
      </c>
      <c r="Y164" s="307">
        <f t="shared" si="23"/>
        <v>0</v>
      </c>
      <c r="Z164" s="307">
        <f t="shared" si="24"/>
        <v>0</v>
      </c>
      <c r="AA164" s="308">
        <f>VLOOKUP(G164,'3-Productie normen'!A:U,15,FALSE)</f>
        <v>0</v>
      </c>
      <c r="AB164" s="309">
        <f>VLOOKUP(G164,'3-Productie normen'!A:U,16,FALSE)</f>
        <v>198.56500000000014</v>
      </c>
      <c r="AC164" s="308"/>
      <c r="AE164" s="310">
        <f t="shared" si="25"/>
        <v>451.1</v>
      </c>
    </row>
    <row r="165" spans="1:31" ht="14.1" hidden="1" customHeight="1">
      <c r="A165" s="75">
        <v>160</v>
      </c>
      <c r="B165" s="380" t="s">
        <v>57</v>
      </c>
      <c r="C165" s="276" t="s">
        <v>316</v>
      </c>
      <c r="D165" s="304" t="s">
        <v>236</v>
      </c>
      <c r="E165" s="305" t="s">
        <v>352</v>
      </c>
      <c r="F165" s="276" t="s">
        <v>269</v>
      </c>
      <c r="G165" s="276" t="s">
        <v>103</v>
      </c>
      <c r="H165" s="71" t="s">
        <v>192</v>
      </c>
      <c r="I165" s="388">
        <v>1.3</v>
      </c>
      <c r="J165" s="306">
        <f t="shared" si="21"/>
        <v>347</v>
      </c>
      <c r="K165" s="230">
        <v>190</v>
      </c>
      <c r="L165" s="230">
        <v>45</v>
      </c>
      <c r="M165" s="230">
        <v>78</v>
      </c>
      <c r="N165" s="230">
        <v>22</v>
      </c>
      <c r="O165" s="230">
        <v>8</v>
      </c>
      <c r="P165" s="230">
        <v>4</v>
      </c>
      <c r="Q165" s="229" t="e">
        <f>IF(K165="nio",0,IF(K165&gt;0,K165*I165/W165,0))*VLOOKUP(B165,'2-Kosten per locatie'!$A$14:$C$25,3,FALSE)</f>
        <v>#DIV/0!</v>
      </c>
      <c r="R165" s="229" t="e">
        <f>IF(L165&gt;0,L165*I165/X165,0)*VLOOKUP(B165,'2-Kosten per locatie'!$A$14:$C$25,3,FALSE)</f>
        <v>#DIV/0!</v>
      </c>
      <c r="S165" s="229" t="e">
        <f>IF(M165&gt;0,M165*I165/Y165,0)*VLOOKUP(B165,'2-Kosten per locatie'!$A$14:$C$25,3,FALSE)</f>
        <v>#DIV/0!</v>
      </c>
      <c r="T165" s="229" t="e">
        <f>IF(N165&gt;0,N165*I165/Z165,0)*VLOOKUP(B165,'2-Kosten per locatie'!$A$14:$C$25,3,FALSE)</f>
        <v>#DIV/0!</v>
      </c>
      <c r="U165" s="229" t="e">
        <f>IF(O165&gt;0,O165*I165/Y165,0)*VLOOKUP(B165,'2-Kosten per locatie'!$A$14:$C$25,3,FALSE)</f>
        <v>#DIV/0!</v>
      </c>
      <c r="V165" s="229" t="e">
        <f>IF(P165&gt;0,P165*I165/Z165,0)*VLOOKUP(B165,'2-Kosten per locatie'!$A$14:$C$25,3,FALSE)</f>
        <v>#DIV/0!</v>
      </c>
      <c r="W165" s="307">
        <f>IF(K165="nio",0,IF(K165&gt;0,VLOOKUP(G165,'3-Productie normen'!A:R,VLOOKUP(K165,'3-Productie normen'!$B$29:$C$41,2,FALSE),FALSE)))</f>
        <v>0</v>
      </c>
      <c r="X165" s="307">
        <f t="shared" si="22"/>
        <v>0</v>
      </c>
      <c r="Y165" s="307">
        <f t="shared" si="23"/>
        <v>0</v>
      </c>
      <c r="Z165" s="307">
        <f t="shared" si="24"/>
        <v>0</v>
      </c>
      <c r="AA165" s="308">
        <f>VLOOKUP(G165,'3-Productie normen'!A:U,15,FALSE)</f>
        <v>0</v>
      </c>
      <c r="AB165" s="309">
        <f>VLOOKUP(G165,'3-Productie normen'!A:U,16,FALSE)</f>
        <v>198.56500000000014</v>
      </c>
      <c r="AC165" s="308"/>
      <c r="AE165" s="310">
        <f t="shared" si="25"/>
        <v>451.1</v>
      </c>
    </row>
    <row r="166" spans="1:31" ht="14.1" hidden="1" customHeight="1">
      <c r="A166" s="75">
        <v>161</v>
      </c>
      <c r="B166" s="380" t="s">
        <v>57</v>
      </c>
      <c r="C166" s="276" t="s">
        <v>316</v>
      </c>
      <c r="D166" s="304" t="s">
        <v>236</v>
      </c>
      <c r="E166" s="305" t="s">
        <v>353</v>
      </c>
      <c r="F166" s="71" t="s">
        <v>271</v>
      </c>
      <c r="G166" s="71" t="s">
        <v>103</v>
      </c>
      <c r="H166" s="71" t="s">
        <v>192</v>
      </c>
      <c r="I166" s="388">
        <v>1.3</v>
      </c>
      <c r="J166" s="306">
        <f t="shared" si="21"/>
        <v>347</v>
      </c>
      <c r="K166" s="230">
        <v>190</v>
      </c>
      <c r="L166" s="230">
        <v>45</v>
      </c>
      <c r="M166" s="230">
        <v>78</v>
      </c>
      <c r="N166" s="230">
        <v>22</v>
      </c>
      <c r="O166" s="230">
        <v>8</v>
      </c>
      <c r="P166" s="230">
        <v>4</v>
      </c>
      <c r="Q166" s="229" t="e">
        <f>IF(K166="nio",0,IF(K166&gt;0,K166*I166/W166,0))*VLOOKUP(B166,'2-Kosten per locatie'!$A$14:$C$25,3,FALSE)</f>
        <v>#DIV/0!</v>
      </c>
      <c r="R166" s="229" t="e">
        <f>IF(L166&gt;0,L166*I166/X166,0)*VLOOKUP(B166,'2-Kosten per locatie'!$A$14:$C$25,3,FALSE)</f>
        <v>#DIV/0!</v>
      </c>
      <c r="S166" s="229" t="e">
        <f>IF(M166&gt;0,M166*I166/Y166,0)*VLOOKUP(B166,'2-Kosten per locatie'!$A$14:$C$25,3,FALSE)</f>
        <v>#DIV/0!</v>
      </c>
      <c r="T166" s="229" t="e">
        <f>IF(N166&gt;0,N166*I166/Z166,0)*VLOOKUP(B166,'2-Kosten per locatie'!$A$14:$C$25,3,FALSE)</f>
        <v>#DIV/0!</v>
      </c>
      <c r="U166" s="229" t="e">
        <f>IF(O166&gt;0,O166*I166/Y166,0)*VLOOKUP(B166,'2-Kosten per locatie'!$A$14:$C$25,3,FALSE)</f>
        <v>#DIV/0!</v>
      </c>
      <c r="V166" s="229" t="e">
        <f>IF(P166&gt;0,P166*I166/Z166,0)*VLOOKUP(B166,'2-Kosten per locatie'!$A$14:$C$25,3,FALSE)</f>
        <v>#DIV/0!</v>
      </c>
      <c r="W166" s="307">
        <f>IF(K166="nio",0,IF(K166&gt;0,VLOOKUP(G166,'3-Productie normen'!A:R,VLOOKUP(K166,'3-Productie normen'!$B$29:$C$41,2,FALSE),FALSE)))</f>
        <v>0</v>
      </c>
      <c r="X166" s="307">
        <f t="shared" si="22"/>
        <v>0</v>
      </c>
      <c r="Y166" s="307">
        <f t="shared" si="23"/>
        <v>0</v>
      </c>
      <c r="Z166" s="307">
        <f t="shared" si="24"/>
        <v>0</v>
      </c>
      <c r="AA166" s="308">
        <f>VLOOKUP(G166,'3-Productie normen'!A:U,15,FALSE)</f>
        <v>0</v>
      </c>
      <c r="AB166" s="309">
        <f>VLOOKUP(G166,'3-Productie normen'!A:U,16,FALSE)</f>
        <v>198.56500000000014</v>
      </c>
      <c r="AC166" s="308"/>
      <c r="AE166" s="310">
        <f t="shared" si="25"/>
        <v>451.1</v>
      </c>
    </row>
    <row r="167" spans="1:31" ht="14.1" hidden="1" customHeight="1">
      <c r="A167" s="75">
        <v>162</v>
      </c>
      <c r="B167" s="380" t="s">
        <v>57</v>
      </c>
      <c r="C167" s="276" t="s">
        <v>316</v>
      </c>
      <c r="D167" s="304" t="s">
        <v>236</v>
      </c>
      <c r="E167" s="305" t="s">
        <v>354</v>
      </c>
      <c r="F167" s="71" t="s">
        <v>273</v>
      </c>
      <c r="G167" s="71" t="s">
        <v>103</v>
      </c>
      <c r="H167" s="71" t="s">
        <v>192</v>
      </c>
      <c r="I167" s="388">
        <v>1.3</v>
      </c>
      <c r="J167" s="306">
        <f t="shared" si="21"/>
        <v>347</v>
      </c>
      <c r="K167" s="230">
        <v>190</v>
      </c>
      <c r="L167" s="230">
        <v>45</v>
      </c>
      <c r="M167" s="230">
        <v>78</v>
      </c>
      <c r="N167" s="230">
        <v>22</v>
      </c>
      <c r="O167" s="230">
        <v>8</v>
      </c>
      <c r="P167" s="230">
        <v>4</v>
      </c>
      <c r="Q167" s="229" t="e">
        <f>IF(K167="nio",0,IF(K167&gt;0,K167*I167/W167,0))*VLOOKUP(B167,'2-Kosten per locatie'!$A$14:$C$25,3,FALSE)</f>
        <v>#DIV/0!</v>
      </c>
      <c r="R167" s="229" t="e">
        <f>IF(L167&gt;0,L167*I167/X167,0)*VLOOKUP(B167,'2-Kosten per locatie'!$A$14:$C$25,3,FALSE)</f>
        <v>#DIV/0!</v>
      </c>
      <c r="S167" s="229" t="e">
        <f>IF(M167&gt;0,M167*I167/Y167,0)*VLOOKUP(B167,'2-Kosten per locatie'!$A$14:$C$25,3,FALSE)</f>
        <v>#DIV/0!</v>
      </c>
      <c r="T167" s="229" t="e">
        <f>IF(N167&gt;0,N167*I167/Z167,0)*VLOOKUP(B167,'2-Kosten per locatie'!$A$14:$C$25,3,FALSE)</f>
        <v>#DIV/0!</v>
      </c>
      <c r="U167" s="229" t="e">
        <f>IF(O167&gt;0,O167*I167/Y167,0)*VLOOKUP(B167,'2-Kosten per locatie'!$A$14:$C$25,3,FALSE)</f>
        <v>#DIV/0!</v>
      </c>
      <c r="V167" s="229" t="e">
        <f>IF(P167&gt;0,P167*I167/Z167,0)*VLOOKUP(B167,'2-Kosten per locatie'!$A$14:$C$25,3,FALSE)</f>
        <v>#DIV/0!</v>
      </c>
      <c r="W167" s="307">
        <f>IF(K167="nio",0,IF(K167&gt;0,VLOOKUP(G167,'3-Productie normen'!A:R,VLOOKUP(K167,'3-Productie normen'!$B$29:$C$41,2,FALSE),FALSE)))</f>
        <v>0</v>
      </c>
      <c r="X167" s="307">
        <f t="shared" si="22"/>
        <v>0</v>
      </c>
      <c r="Y167" s="307">
        <f t="shared" si="23"/>
        <v>0</v>
      </c>
      <c r="Z167" s="307">
        <f t="shared" si="24"/>
        <v>0</v>
      </c>
      <c r="AA167" s="308">
        <f>VLOOKUP(G167,'3-Productie normen'!A:U,15,FALSE)</f>
        <v>0</v>
      </c>
      <c r="AB167" s="309">
        <f>VLOOKUP(G167,'3-Productie normen'!A:U,16,FALSE)</f>
        <v>198.56500000000014</v>
      </c>
      <c r="AC167" s="308"/>
      <c r="AE167" s="310">
        <f t="shared" si="25"/>
        <v>451.1</v>
      </c>
    </row>
    <row r="168" spans="1:31" ht="14.1" hidden="1" customHeight="1">
      <c r="A168" s="75">
        <v>163</v>
      </c>
      <c r="B168" s="380" t="s">
        <v>57</v>
      </c>
      <c r="C168" s="276" t="s">
        <v>316</v>
      </c>
      <c r="D168" s="304" t="s">
        <v>236</v>
      </c>
      <c r="E168" s="305" t="s">
        <v>355</v>
      </c>
      <c r="F168" s="71" t="s">
        <v>356</v>
      </c>
      <c r="G168" s="71" t="s">
        <v>103</v>
      </c>
      <c r="H168" s="71" t="s">
        <v>192</v>
      </c>
      <c r="I168" s="388">
        <v>1.8</v>
      </c>
      <c r="J168" s="306">
        <f t="shared" si="21"/>
        <v>347</v>
      </c>
      <c r="K168" s="230">
        <v>190</v>
      </c>
      <c r="L168" s="230">
        <v>45</v>
      </c>
      <c r="M168" s="230">
        <v>78</v>
      </c>
      <c r="N168" s="230">
        <v>22</v>
      </c>
      <c r="O168" s="230">
        <v>8</v>
      </c>
      <c r="P168" s="230">
        <v>4</v>
      </c>
      <c r="Q168" s="229" t="e">
        <f>IF(K168="nio",0,IF(K168&gt;0,K168*I168/W168,0))*VLOOKUP(B168,'2-Kosten per locatie'!$A$14:$C$25,3,FALSE)</f>
        <v>#DIV/0!</v>
      </c>
      <c r="R168" s="229" t="e">
        <f>IF(L168&gt;0,L168*I168/X168,0)*VLOOKUP(B168,'2-Kosten per locatie'!$A$14:$C$25,3,FALSE)</f>
        <v>#DIV/0!</v>
      </c>
      <c r="S168" s="229" t="e">
        <f>IF(M168&gt;0,M168*I168/Y168,0)*VLOOKUP(B168,'2-Kosten per locatie'!$A$14:$C$25,3,FALSE)</f>
        <v>#DIV/0!</v>
      </c>
      <c r="T168" s="229" t="e">
        <f>IF(N168&gt;0,N168*I168/Z168,0)*VLOOKUP(B168,'2-Kosten per locatie'!$A$14:$C$25,3,FALSE)</f>
        <v>#DIV/0!</v>
      </c>
      <c r="U168" s="229" t="e">
        <f>IF(O168&gt;0,O168*I168/Y168,0)*VLOOKUP(B168,'2-Kosten per locatie'!$A$14:$C$25,3,FALSE)</f>
        <v>#DIV/0!</v>
      </c>
      <c r="V168" s="229" t="e">
        <f>IF(P168&gt;0,P168*I168/Z168,0)*VLOOKUP(B168,'2-Kosten per locatie'!$A$14:$C$25,3,FALSE)</f>
        <v>#DIV/0!</v>
      </c>
      <c r="W168" s="307">
        <f>IF(K168="nio",0,IF(K168&gt;0,VLOOKUP(G168,'3-Productie normen'!A:R,VLOOKUP(K168,'3-Productie normen'!$B$29:$C$41,2,FALSE),FALSE)))</f>
        <v>0</v>
      </c>
      <c r="X168" s="307">
        <f t="shared" si="22"/>
        <v>0</v>
      </c>
      <c r="Y168" s="307">
        <f t="shared" si="23"/>
        <v>0</v>
      </c>
      <c r="Z168" s="307">
        <f t="shared" si="24"/>
        <v>0</v>
      </c>
      <c r="AA168" s="308">
        <f>VLOOKUP(G168,'3-Productie normen'!A:U,15,FALSE)</f>
        <v>0</v>
      </c>
      <c r="AB168" s="309">
        <f>VLOOKUP(G168,'3-Productie normen'!A:U,16,FALSE)</f>
        <v>198.56500000000014</v>
      </c>
      <c r="AC168" s="308"/>
      <c r="AE168" s="310">
        <f t="shared" si="25"/>
        <v>624.6</v>
      </c>
    </row>
    <row r="169" spans="1:31" ht="14.1" hidden="1" customHeight="1">
      <c r="A169" s="75">
        <v>164</v>
      </c>
      <c r="B169" s="380" t="s">
        <v>57</v>
      </c>
      <c r="C169" s="276" t="s">
        <v>316</v>
      </c>
      <c r="D169" s="304" t="s">
        <v>236</v>
      </c>
      <c r="E169" s="305" t="s">
        <v>357</v>
      </c>
      <c r="F169" s="71" t="s">
        <v>358</v>
      </c>
      <c r="G169" s="71" t="s">
        <v>196</v>
      </c>
      <c r="H169" s="71" t="s">
        <v>192</v>
      </c>
      <c r="I169" s="388">
        <v>2</v>
      </c>
      <c r="J169" s="306">
        <f t="shared" si="21"/>
        <v>0</v>
      </c>
      <c r="K169" s="230" t="s">
        <v>197</v>
      </c>
      <c r="L169" s="230"/>
      <c r="M169" s="230"/>
      <c r="N169" s="230"/>
      <c r="O169" s="230"/>
      <c r="P169" s="230"/>
      <c r="Q169" s="229">
        <f>IF(K169="nio",0,IF(K169&gt;0,K169*I169/W169,0))*VLOOKUP(B169,'2-Kosten per locatie'!$A$14:$C$25,3,FALSE)</f>
        <v>0</v>
      </c>
      <c r="R169" s="229">
        <f>IF(L169&gt;0,L169*I169/X169,0)*VLOOKUP(B169,'2-Kosten per locatie'!$A$14:$C$25,3,FALSE)</f>
        <v>0</v>
      </c>
      <c r="S169" s="229">
        <f>IF(M169&gt;0,M169*I169/Y169,0)*VLOOKUP(B169,'2-Kosten per locatie'!$A$14:$C$25,3,FALSE)</f>
        <v>0</v>
      </c>
      <c r="T169" s="229">
        <f>IF(N169&gt;0,N169*I169/Z169,0)*VLOOKUP(B169,'2-Kosten per locatie'!$A$14:$C$25,3,FALSE)</f>
        <v>0</v>
      </c>
      <c r="U169" s="229">
        <f>IF(O169&gt;0,O169*I169/Y169,0)*VLOOKUP(B169,'2-Kosten per locatie'!$A$14:$C$25,3,FALSE)</f>
        <v>0</v>
      </c>
      <c r="V169" s="229">
        <f>IF(P169&gt;0,P169*I169/Z169,0)*VLOOKUP(B169,'2-Kosten per locatie'!$A$14:$C$25,3,FALSE)</f>
        <v>0</v>
      </c>
      <c r="W169" s="307">
        <f>IF(K169="nio",0,IF(K169&gt;0,VLOOKUP(G169,'3-Productie normen'!A:R,VLOOKUP(K169,'3-Productie normen'!$B$29:$C$41,2,FALSE),FALSE)))</f>
        <v>0</v>
      </c>
      <c r="X169" s="307">
        <f t="shared" si="22"/>
        <v>0</v>
      </c>
      <c r="Y169" s="307">
        <f t="shared" si="23"/>
        <v>0</v>
      </c>
      <c r="Z169" s="307">
        <f t="shared" si="24"/>
        <v>0</v>
      </c>
      <c r="AA169" s="308" t="e">
        <f>VLOOKUP(G169,'3-Productie normen'!A:U,15,FALSE)</f>
        <v>#N/A</v>
      </c>
      <c r="AB169" s="309" t="e">
        <f>VLOOKUP(G169,'3-Productie normen'!A:U,16,FALSE)</f>
        <v>#N/A</v>
      </c>
      <c r="AC169" s="308"/>
      <c r="AE169" s="310">
        <f t="shared" si="25"/>
        <v>0</v>
      </c>
    </row>
    <row r="170" spans="1:31" ht="14.1" hidden="1" customHeight="1">
      <c r="A170" s="75">
        <v>165</v>
      </c>
      <c r="B170" s="380" t="s">
        <v>57</v>
      </c>
      <c r="C170" s="276" t="s">
        <v>316</v>
      </c>
      <c r="D170" s="304" t="s">
        <v>236</v>
      </c>
      <c r="E170" s="305" t="s">
        <v>359</v>
      </c>
      <c r="F170" s="311" t="s">
        <v>360</v>
      </c>
      <c r="G170" s="311" t="s">
        <v>103</v>
      </c>
      <c r="H170" s="71" t="s">
        <v>192</v>
      </c>
      <c r="I170" s="388">
        <v>9.3000000000000007</v>
      </c>
      <c r="J170" s="306">
        <f t="shared" si="21"/>
        <v>347</v>
      </c>
      <c r="K170" s="230">
        <v>190</v>
      </c>
      <c r="L170" s="230">
        <v>45</v>
      </c>
      <c r="M170" s="230">
        <v>78</v>
      </c>
      <c r="N170" s="230">
        <v>22</v>
      </c>
      <c r="O170" s="230">
        <v>8</v>
      </c>
      <c r="P170" s="230">
        <v>4</v>
      </c>
      <c r="Q170" s="229" t="e">
        <f>IF(K170="nio",0,IF(K170&gt;0,K170*I170/W170,0))*VLOOKUP(B170,'2-Kosten per locatie'!$A$14:$C$25,3,FALSE)</f>
        <v>#DIV/0!</v>
      </c>
      <c r="R170" s="229" t="e">
        <f>IF(L170&gt;0,L170*I170/X170,0)*VLOOKUP(B170,'2-Kosten per locatie'!$A$14:$C$25,3,FALSE)</f>
        <v>#DIV/0!</v>
      </c>
      <c r="S170" s="229" t="e">
        <f>IF(M170&gt;0,M170*I170/Y170,0)*VLOOKUP(B170,'2-Kosten per locatie'!$A$14:$C$25,3,FALSE)</f>
        <v>#DIV/0!</v>
      </c>
      <c r="T170" s="229" t="e">
        <f>IF(N170&gt;0,N170*I170/Z170,0)*VLOOKUP(B170,'2-Kosten per locatie'!$A$14:$C$25,3,FALSE)</f>
        <v>#DIV/0!</v>
      </c>
      <c r="U170" s="229" t="e">
        <f>IF(O170&gt;0,O170*I170/Y170,0)*VLOOKUP(B170,'2-Kosten per locatie'!$A$14:$C$25,3,FALSE)</f>
        <v>#DIV/0!</v>
      </c>
      <c r="V170" s="229" t="e">
        <f>IF(P170&gt;0,P170*I170/Z170,0)*VLOOKUP(B170,'2-Kosten per locatie'!$A$14:$C$25,3,FALSE)</f>
        <v>#DIV/0!</v>
      </c>
      <c r="W170" s="307">
        <f>IF(K170="nio",0,IF(K170&gt;0,VLOOKUP(G170,'3-Productie normen'!A:R,VLOOKUP(K170,'3-Productie normen'!$B$29:$C$41,2,FALSE),FALSE)))</f>
        <v>0</v>
      </c>
      <c r="X170" s="307">
        <f t="shared" si="22"/>
        <v>0</v>
      </c>
      <c r="Y170" s="307">
        <f t="shared" si="23"/>
        <v>0</v>
      </c>
      <c r="Z170" s="307">
        <f t="shared" si="24"/>
        <v>0</v>
      </c>
      <c r="AA170" s="308">
        <f>VLOOKUP(G170,'3-Productie normen'!A:U,15,FALSE)</f>
        <v>0</v>
      </c>
      <c r="AB170" s="309">
        <f>VLOOKUP(G170,'3-Productie normen'!A:U,16,FALSE)</f>
        <v>198.56500000000014</v>
      </c>
      <c r="AC170" s="308"/>
      <c r="AE170" s="310">
        <f t="shared" si="25"/>
        <v>3227.1000000000004</v>
      </c>
    </row>
    <row r="171" spans="1:31" ht="14.1" hidden="1" customHeight="1">
      <c r="A171" s="75">
        <v>166</v>
      </c>
      <c r="B171" s="380" t="s">
        <v>57</v>
      </c>
      <c r="C171" s="276" t="s">
        <v>316</v>
      </c>
      <c r="D171" s="304" t="s">
        <v>236</v>
      </c>
      <c r="E171" s="305" t="s">
        <v>361</v>
      </c>
      <c r="F171" s="71" t="s">
        <v>279</v>
      </c>
      <c r="G171" s="71" t="s">
        <v>103</v>
      </c>
      <c r="H171" s="447" t="s">
        <v>192</v>
      </c>
      <c r="I171" s="388">
        <v>1</v>
      </c>
      <c r="J171" s="306">
        <f t="shared" si="21"/>
        <v>347</v>
      </c>
      <c r="K171" s="230">
        <v>190</v>
      </c>
      <c r="L171" s="230">
        <v>45</v>
      </c>
      <c r="M171" s="230">
        <v>78</v>
      </c>
      <c r="N171" s="230">
        <v>22</v>
      </c>
      <c r="O171" s="230">
        <v>8</v>
      </c>
      <c r="P171" s="230">
        <v>4</v>
      </c>
      <c r="Q171" s="229" t="e">
        <f>IF(K171="nio",0,IF(K171&gt;0,K171*I171/W171,0))*VLOOKUP(B171,'2-Kosten per locatie'!$A$14:$C$25,3,FALSE)</f>
        <v>#DIV/0!</v>
      </c>
      <c r="R171" s="229" t="e">
        <f>IF(L171&gt;0,L171*I171/X171,0)*VLOOKUP(B171,'2-Kosten per locatie'!$A$14:$C$25,3,FALSE)</f>
        <v>#DIV/0!</v>
      </c>
      <c r="S171" s="229" t="e">
        <f>IF(M171&gt;0,M171*I171/Y171,0)*VLOOKUP(B171,'2-Kosten per locatie'!$A$14:$C$25,3,FALSE)</f>
        <v>#DIV/0!</v>
      </c>
      <c r="T171" s="229" t="e">
        <f>IF(N171&gt;0,N171*I171/Z171,0)*VLOOKUP(B171,'2-Kosten per locatie'!$A$14:$C$25,3,FALSE)</f>
        <v>#DIV/0!</v>
      </c>
      <c r="U171" s="229" t="e">
        <f>IF(O171&gt;0,O171*I171/Y171,0)*VLOOKUP(B171,'2-Kosten per locatie'!$A$14:$C$25,3,FALSE)</f>
        <v>#DIV/0!</v>
      </c>
      <c r="V171" s="229" t="e">
        <f>IF(P171&gt;0,P171*I171/Z171,0)*VLOOKUP(B171,'2-Kosten per locatie'!$A$14:$C$25,3,FALSE)</f>
        <v>#DIV/0!</v>
      </c>
      <c r="W171" s="307">
        <f>IF(K171="nio",0,IF(K171&gt;0,VLOOKUP(G171,'3-Productie normen'!A:R,VLOOKUP(K171,'3-Productie normen'!$B$29:$C$41,2,FALSE),FALSE)))</f>
        <v>0</v>
      </c>
      <c r="X171" s="307">
        <f t="shared" si="22"/>
        <v>0</v>
      </c>
      <c r="Y171" s="307">
        <f t="shared" si="23"/>
        <v>0</v>
      </c>
      <c r="Z171" s="307">
        <f t="shared" si="24"/>
        <v>0</v>
      </c>
      <c r="AA171" s="308">
        <f>VLOOKUP(G171,'3-Productie normen'!A:U,15,FALSE)</f>
        <v>0</v>
      </c>
      <c r="AB171" s="309">
        <f>VLOOKUP(G171,'3-Productie normen'!A:U,16,FALSE)</f>
        <v>198.56500000000014</v>
      </c>
      <c r="AC171" s="308"/>
      <c r="AE171" s="310">
        <f t="shared" si="25"/>
        <v>347</v>
      </c>
    </row>
    <row r="172" spans="1:31" ht="14.1" hidden="1" customHeight="1">
      <c r="A172" s="75">
        <v>167</v>
      </c>
      <c r="B172" s="380" t="s">
        <v>57</v>
      </c>
      <c r="C172" s="276" t="s">
        <v>316</v>
      </c>
      <c r="D172" s="86" t="s">
        <v>236</v>
      </c>
      <c r="E172" s="226" t="s">
        <v>362</v>
      </c>
      <c r="F172" s="85" t="s">
        <v>281</v>
      </c>
      <c r="G172" s="85" t="s">
        <v>103</v>
      </c>
      <c r="H172" s="71" t="s">
        <v>192</v>
      </c>
      <c r="I172" s="388">
        <v>1</v>
      </c>
      <c r="J172" s="306">
        <f t="shared" si="21"/>
        <v>347</v>
      </c>
      <c r="K172" s="230">
        <v>190</v>
      </c>
      <c r="L172" s="230">
        <v>45</v>
      </c>
      <c r="M172" s="230">
        <v>78</v>
      </c>
      <c r="N172" s="230">
        <v>22</v>
      </c>
      <c r="O172" s="230">
        <v>8</v>
      </c>
      <c r="P172" s="230">
        <v>4</v>
      </c>
      <c r="Q172" s="229" t="e">
        <f>IF(K172="nio",0,IF(K172&gt;0,K172*I172/W172,0))*VLOOKUP(B172,'2-Kosten per locatie'!$A$14:$C$25,3,FALSE)</f>
        <v>#DIV/0!</v>
      </c>
      <c r="R172" s="229" t="e">
        <f>IF(L172&gt;0,L172*I172/X172,0)*VLOOKUP(B172,'2-Kosten per locatie'!$A$14:$C$25,3,FALSE)</f>
        <v>#DIV/0!</v>
      </c>
      <c r="S172" s="229" t="e">
        <f>IF(M172&gt;0,M172*I172/Y172,0)*VLOOKUP(B172,'2-Kosten per locatie'!$A$14:$C$25,3,FALSE)</f>
        <v>#DIV/0!</v>
      </c>
      <c r="T172" s="229" t="e">
        <f>IF(N172&gt;0,N172*I172/Z172,0)*VLOOKUP(B172,'2-Kosten per locatie'!$A$14:$C$25,3,FALSE)</f>
        <v>#DIV/0!</v>
      </c>
      <c r="U172" s="229" t="e">
        <f>IF(O172&gt;0,O172*I172/Y172,0)*VLOOKUP(B172,'2-Kosten per locatie'!$A$14:$C$25,3,FALSE)</f>
        <v>#DIV/0!</v>
      </c>
      <c r="V172" s="229" t="e">
        <f>IF(P172&gt;0,P172*I172/Z172,0)*VLOOKUP(B172,'2-Kosten per locatie'!$A$14:$C$25,3,FALSE)</f>
        <v>#DIV/0!</v>
      </c>
      <c r="W172" s="307">
        <f>IF(K172="nio",0,IF(K172&gt;0,VLOOKUP(G172,'3-Productie normen'!A:R,VLOOKUP(K172,'3-Productie normen'!$B$29:$C$41,2,FALSE),FALSE)))</f>
        <v>0</v>
      </c>
      <c r="X172" s="307">
        <f t="shared" si="22"/>
        <v>0</v>
      </c>
      <c r="Y172" s="307">
        <f t="shared" si="23"/>
        <v>0</v>
      </c>
      <c r="Z172" s="307">
        <f t="shared" si="24"/>
        <v>0</v>
      </c>
      <c r="AA172" s="308">
        <f>VLOOKUP(G172,'3-Productie normen'!A:U,15,FALSE)</f>
        <v>0</v>
      </c>
      <c r="AB172" s="309">
        <f>VLOOKUP(G172,'3-Productie normen'!A:U,16,FALSE)</f>
        <v>198.56500000000014</v>
      </c>
      <c r="AC172" s="308"/>
      <c r="AE172" s="310">
        <f t="shared" si="25"/>
        <v>347</v>
      </c>
    </row>
    <row r="173" spans="1:31" ht="14.1" hidden="1" customHeight="1">
      <c r="A173" s="75">
        <v>168</v>
      </c>
      <c r="B173" s="380" t="s">
        <v>57</v>
      </c>
      <c r="C173" s="276" t="s">
        <v>316</v>
      </c>
      <c r="D173" s="304" t="s">
        <v>236</v>
      </c>
      <c r="E173" s="305" t="s">
        <v>363</v>
      </c>
      <c r="F173" s="71" t="s">
        <v>283</v>
      </c>
      <c r="G173" s="71" t="s">
        <v>103</v>
      </c>
      <c r="H173" s="71" t="s">
        <v>192</v>
      </c>
      <c r="I173" s="388">
        <v>1</v>
      </c>
      <c r="J173" s="306">
        <f t="shared" si="21"/>
        <v>347</v>
      </c>
      <c r="K173" s="230">
        <v>190</v>
      </c>
      <c r="L173" s="230">
        <v>45</v>
      </c>
      <c r="M173" s="230">
        <v>78</v>
      </c>
      <c r="N173" s="230">
        <v>22</v>
      </c>
      <c r="O173" s="230">
        <v>8</v>
      </c>
      <c r="P173" s="230">
        <v>4</v>
      </c>
      <c r="Q173" s="229" t="e">
        <f>IF(K173="nio",0,IF(K173&gt;0,K173*I173/W173,0))*VLOOKUP(B173,'2-Kosten per locatie'!$A$14:$C$25,3,FALSE)</f>
        <v>#DIV/0!</v>
      </c>
      <c r="R173" s="229" t="e">
        <f>IF(L173&gt;0,L173*I173/X173,0)*VLOOKUP(B173,'2-Kosten per locatie'!$A$14:$C$25,3,FALSE)</f>
        <v>#DIV/0!</v>
      </c>
      <c r="S173" s="229" t="e">
        <f>IF(M173&gt;0,M173*I173/Y173,0)*VLOOKUP(B173,'2-Kosten per locatie'!$A$14:$C$25,3,FALSE)</f>
        <v>#DIV/0!</v>
      </c>
      <c r="T173" s="229" t="e">
        <f>IF(N173&gt;0,N173*I173/Z173,0)*VLOOKUP(B173,'2-Kosten per locatie'!$A$14:$C$25,3,FALSE)</f>
        <v>#DIV/0!</v>
      </c>
      <c r="U173" s="229" t="e">
        <f>IF(O173&gt;0,O173*I173/Y173,0)*VLOOKUP(B173,'2-Kosten per locatie'!$A$14:$C$25,3,FALSE)</f>
        <v>#DIV/0!</v>
      </c>
      <c r="V173" s="229" t="e">
        <f>IF(P173&gt;0,P173*I173/Z173,0)*VLOOKUP(B173,'2-Kosten per locatie'!$A$14:$C$25,3,FALSE)</f>
        <v>#DIV/0!</v>
      </c>
      <c r="W173" s="307">
        <f>IF(K173="nio",0,IF(K173&gt;0,VLOOKUP(G173,'3-Productie normen'!A:R,VLOOKUP(K173,'3-Productie normen'!$B$29:$C$41,2,FALSE),FALSE)))</f>
        <v>0</v>
      </c>
      <c r="X173" s="307">
        <f t="shared" si="22"/>
        <v>0</v>
      </c>
      <c r="Y173" s="307">
        <f t="shared" si="23"/>
        <v>0</v>
      </c>
      <c r="Z173" s="307">
        <f t="shared" si="24"/>
        <v>0</v>
      </c>
      <c r="AA173" s="308">
        <f>VLOOKUP(G173,'3-Productie normen'!A:U,15,FALSE)</f>
        <v>0</v>
      </c>
      <c r="AB173" s="309">
        <f>VLOOKUP(G173,'3-Productie normen'!A:U,16,FALSE)</f>
        <v>198.56500000000014</v>
      </c>
      <c r="AC173" s="308"/>
      <c r="AE173" s="310">
        <f t="shared" si="25"/>
        <v>347</v>
      </c>
    </row>
    <row r="174" spans="1:31" ht="14.1" hidden="1" customHeight="1">
      <c r="A174" s="75">
        <v>169</v>
      </c>
      <c r="B174" s="380" t="s">
        <v>57</v>
      </c>
      <c r="C174" s="276" t="s">
        <v>316</v>
      </c>
      <c r="D174" s="304" t="s">
        <v>236</v>
      </c>
      <c r="E174" s="305" t="s">
        <v>364</v>
      </c>
      <c r="F174" s="71" t="s">
        <v>285</v>
      </c>
      <c r="G174" s="71" t="s">
        <v>103</v>
      </c>
      <c r="H174" s="71" t="s">
        <v>192</v>
      </c>
      <c r="I174" s="388">
        <v>1</v>
      </c>
      <c r="J174" s="306">
        <f t="shared" si="21"/>
        <v>347</v>
      </c>
      <c r="K174" s="230">
        <v>190</v>
      </c>
      <c r="L174" s="230">
        <v>45</v>
      </c>
      <c r="M174" s="230">
        <v>78</v>
      </c>
      <c r="N174" s="230">
        <v>22</v>
      </c>
      <c r="O174" s="230">
        <v>8</v>
      </c>
      <c r="P174" s="230">
        <v>4</v>
      </c>
      <c r="Q174" s="229" t="e">
        <f>IF(K174="nio",0,IF(K174&gt;0,K174*I174/W174,0))*VLOOKUP(B174,'2-Kosten per locatie'!$A$14:$C$25,3,FALSE)</f>
        <v>#DIV/0!</v>
      </c>
      <c r="R174" s="229" t="e">
        <f>IF(L174&gt;0,L174*I174/X174,0)*VLOOKUP(B174,'2-Kosten per locatie'!$A$14:$C$25,3,FALSE)</f>
        <v>#DIV/0!</v>
      </c>
      <c r="S174" s="229" t="e">
        <f>IF(M174&gt;0,M174*I174/Y174,0)*VLOOKUP(B174,'2-Kosten per locatie'!$A$14:$C$25,3,FALSE)</f>
        <v>#DIV/0!</v>
      </c>
      <c r="T174" s="229" t="e">
        <f>IF(N174&gt;0,N174*I174/Z174,0)*VLOOKUP(B174,'2-Kosten per locatie'!$A$14:$C$25,3,FALSE)</f>
        <v>#DIV/0!</v>
      </c>
      <c r="U174" s="229" t="e">
        <f>IF(O174&gt;0,O174*I174/Y174,0)*VLOOKUP(B174,'2-Kosten per locatie'!$A$14:$C$25,3,FALSE)</f>
        <v>#DIV/0!</v>
      </c>
      <c r="V174" s="229" t="e">
        <f>IF(P174&gt;0,P174*I174/Z174,0)*VLOOKUP(B174,'2-Kosten per locatie'!$A$14:$C$25,3,FALSE)</f>
        <v>#DIV/0!</v>
      </c>
      <c r="W174" s="307">
        <f>IF(K174="nio",0,IF(K174&gt;0,VLOOKUP(G174,'3-Productie normen'!A:R,VLOOKUP(K174,'3-Productie normen'!$B$29:$C$41,2,FALSE),FALSE)))</f>
        <v>0</v>
      </c>
      <c r="X174" s="307">
        <f t="shared" si="22"/>
        <v>0</v>
      </c>
      <c r="Y174" s="307">
        <f t="shared" si="23"/>
        <v>0</v>
      </c>
      <c r="Z174" s="307">
        <f t="shared" si="24"/>
        <v>0</v>
      </c>
      <c r="AA174" s="308">
        <f>VLOOKUP(G174,'3-Productie normen'!A:U,15,FALSE)</f>
        <v>0</v>
      </c>
      <c r="AB174" s="309">
        <f>VLOOKUP(G174,'3-Productie normen'!A:U,16,FALSE)</f>
        <v>198.56500000000014</v>
      </c>
      <c r="AC174" s="308"/>
      <c r="AE174" s="310">
        <f t="shared" si="25"/>
        <v>347</v>
      </c>
    </row>
    <row r="175" spans="1:31" ht="14.1" hidden="1" customHeight="1">
      <c r="A175" s="75">
        <v>170</v>
      </c>
      <c r="B175" s="380" t="s">
        <v>57</v>
      </c>
      <c r="C175" s="276" t="s">
        <v>316</v>
      </c>
      <c r="D175" s="304" t="s">
        <v>236</v>
      </c>
      <c r="E175" s="305" t="s">
        <v>365</v>
      </c>
      <c r="F175" s="71" t="s">
        <v>294</v>
      </c>
      <c r="G175" s="71" t="s">
        <v>265</v>
      </c>
      <c r="H175" s="71" t="s">
        <v>192</v>
      </c>
      <c r="I175" s="388">
        <v>8</v>
      </c>
      <c r="J175" s="306">
        <f t="shared" si="21"/>
        <v>347</v>
      </c>
      <c r="K175" s="230">
        <v>190</v>
      </c>
      <c r="L175" s="230">
        <v>45</v>
      </c>
      <c r="M175" s="230">
        <v>78</v>
      </c>
      <c r="N175" s="230">
        <v>22</v>
      </c>
      <c r="O175" s="230">
        <v>8</v>
      </c>
      <c r="P175" s="230">
        <v>4</v>
      </c>
      <c r="Q175" s="229" t="e">
        <f>IF(K175="nio",0,IF(K175&gt;0,K175*I175/W175,0))*VLOOKUP(B175,'2-Kosten per locatie'!$A$14:$C$25,3,FALSE)</f>
        <v>#DIV/0!</v>
      </c>
      <c r="R175" s="229" t="e">
        <f>IF(L175&gt;0,L175*I175/X175,0)*VLOOKUP(B175,'2-Kosten per locatie'!$A$14:$C$25,3,FALSE)</f>
        <v>#DIV/0!</v>
      </c>
      <c r="S175" s="229" t="e">
        <f>IF(M175&gt;0,M175*I175/Y175,0)*VLOOKUP(B175,'2-Kosten per locatie'!$A$14:$C$25,3,FALSE)</f>
        <v>#DIV/0!</v>
      </c>
      <c r="T175" s="229" t="e">
        <f>IF(N175&gt;0,N175*I175/Z175,0)*VLOOKUP(B175,'2-Kosten per locatie'!$A$14:$C$25,3,FALSE)</f>
        <v>#DIV/0!</v>
      </c>
      <c r="U175" s="229" t="e">
        <f>IF(O175&gt;0,O175*I175/Y175,0)*VLOOKUP(B175,'2-Kosten per locatie'!$A$14:$C$25,3,FALSE)</f>
        <v>#DIV/0!</v>
      </c>
      <c r="V175" s="229" t="e">
        <f>IF(P175&gt;0,P175*I175/Z175,0)*VLOOKUP(B175,'2-Kosten per locatie'!$A$14:$C$25,3,FALSE)</f>
        <v>#DIV/0!</v>
      </c>
      <c r="W175" s="307">
        <f>IF(K175="nio",0,IF(K175&gt;0,VLOOKUP(G175,'3-Productie normen'!A:R,VLOOKUP(K175,'3-Productie normen'!$B$29:$C$41,2,FALSE),FALSE)))</f>
        <v>0</v>
      </c>
      <c r="X175" s="307">
        <f t="shared" si="22"/>
        <v>0</v>
      </c>
      <c r="Y175" s="307">
        <f t="shared" si="23"/>
        <v>0</v>
      </c>
      <c r="Z175" s="307">
        <f t="shared" si="24"/>
        <v>0</v>
      </c>
      <c r="AA175" s="308">
        <f>VLOOKUP(G175,'3-Productie normen'!A:U,15,FALSE)</f>
        <v>0</v>
      </c>
      <c r="AB175" s="309">
        <f>VLOOKUP(G175,'3-Productie normen'!A:U,16,FALSE)</f>
        <v>76.59999999999998</v>
      </c>
      <c r="AC175" s="308"/>
      <c r="AE175" s="310">
        <f t="shared" si="25"/>
        <v>2776</v>
      </c>
    </row>
    <row r="176" spans="1:31" ht="14.1" hidden="1" customHeight="1">
      <c r="A176" s="75">
        <v>171</v>
      </c>
      <c r="B176" s="380" t="s">
        <v>57</v>
      </c>
      <c r="C176" s="276" t="s">
        <v>316</v>
      </c>
      <c r="D176" s="304" t="s">
        <v>236</v>
      </c>
      <c r="E176" s="305" t="s">
        <v>366</v>
      </c>
      <c r="F176" s="71" t="s">
        <v>350</v>
      </c>
      <c r="G176" s="71" t="s">
        <v>265</v>
      </c>
      <c r="H176" s="71" t="s">
        <v>192</v>
      </c>
      <c r="I176" s="388">
        <v>1.3</v>
      </c>
      <c r="J176" s="306">
        <f t="shared" si="21"/>
        <v>347</v>
      </c>
      <c r="K176" s="230">
        <v>190</v>
      </c>
      <c r="L176" s="230">
        <v>45</v>
      </c>
      <c r="M176" s="230">
        <v>78</v>
      </c>
      <c r="N176" s="230">
        <v>22</v>
      </c>
      <c r="O176" s="230">
        <v>8</v>
      </c>
      <c r="P176" s="230">
        <v>4</v>
      </c>
      <c r="Q176" s="229" t="e">
        <f>IF(K176="nio",0,IF(K176&gt;0,K176*I176/W176,0))*VLOOKUP(B176,'2-Kosten per locatie'!$A$14:$C$25,3,FALSE)</f>
        <v>#DIV/0!</v>
      </c>
      <c r="R176" s="229" t="e">
        <f>IF(L176&gt;0,L176*I176/X176,0)*VLOOKUP(B176,'2-Kosten per locatie'!$A$14:$C$25,3,FALSE)</f>
        <v>#DIV/0!</v>
      </c>
      <c r="S176" s="229" t="e">
        <f>IF(M176&gt;0,M176*I176/Y176,0)*VLOOKUP(B176,'2-Kosten per locatie'!$A$14:$C$25,3,FALSE)</f>
        <v>#DIV/0!</v>
      </c>
      <c r="T176" s="229" t="e">
        <f>IF(N176&gt;0,N176*I176/Z176,0)*VLOOKUP(B176,'2-Kosten per locatie'!$A$14:$C$25,3,FALSE)</f>
        <v>#DIV/0!</v>
      </c>
      <c r="U176" s="229" t="e">
        <f>IF(O176&gt;0,O176*I176/Y176,0)*VLOOKUP(B176,'2-Kosten per locatie'!$A$14:$C$25,3,FALSE)</f>
        <v>#DIV/0!</v>
      </c>
      <c r="V176" s="229" t="e">
        <f>IF(P176&gt;0,P176*I176/Z176,0)*VLOOKUP(B176,'2-Kosten per locatie'!$A$14:$C$25,3,FALSE)</f>
        <v>#DIV/0!</v>
      </c>
      <c r="W176" s="307">
        <f>IF(K176="nio",0,IF(K176&gt;0,VLOOKUP(G176,'3-Productie normen'!A:R,VLOOKUP(K176,'3-Productie normen'!$B$29:$C$41,2,FALSE),FALSE)))</f>
        <v>0</v>
      </c>
      <c r="X176" s="307">
        <f t="shared" si="22"/>
        <v>0</v>
      </c>
      <c r="Y176" s="307">
        <f t="shared" si="23"/>
        <v>0</v>
      </c>
      <c r="Z176" s="307">
        <f t="shared" si="24"/>
        <v>0</v>
      </c>
      <c r="AA176" s="308">
        <f>VLOOKUP(G176,'3-Productie normen'!A:U,15,FALSE)</f>
        <v>0</v>
      </c>
      <c r="AB176" s="309">
        <f>VLOOKUP(G176,'3-Productie normen'!A:U,16,FALSE)</f>
        <v>76.59999999999998</v>
      </c>
      <c r="AC176" s="308"/>
      <c r="AE176" s="310">
        <f t="shared" si="25"/>
        <v>451.1</v>
      </c>
    </row>
    <row r="177" spans="1:31" ht="14.1" hidden="1" customHeight="1">
      <c r="A177" s="75">
        <v>172</v>
      </c>
      <c r="B177" s="380" t="s">
        <v>57</v>
      </c>
      <c r="C177" s="276" t="s">
        <v>316</v>
      </c>
      <c r="D177" s="304" t="s">
        <v>236</v>
      </c>
      <c r="E177" s="305" t="s">
        <v>367</v>
      </c>
      <c r="F177" s="71" t="s">
        <v>350</v>
      </c>
      <c r="G177" s="71" t="s">
        <v>265</v>
      </c>
      <c r="H177" s="71" t="s">
        <v>192</v>
      </c>
      <c r="I177" s="388">
        <v>1.3</v>
      </c>
      <c r="J177" s="306">
        <f t="shared" si="21"/>
        <v>347</v>
      </c>
      <c r="K177" s="230">
        <v>190</v>
      </c>
      <c r="L177" s="230">
        <v>45</v>
      </c>
      <c r="M177" s="230">
        <v>78</v>
      </c>
      <c r="N177" s="230">
        <v>22</v>
      </c>
      <c r="O177" s="230">
        <v>8</v>
      </c>
      <c r="P177" s="230">
        <v>4</v>
      </c>
      <c r="Q177" s="229" t="e">
        <f>IF(K177="nio",0,IF(K177&gt;0,K177*I177/W177,0))*VLOOKUP(B177,'2-Kosten per locatie'!$A$14:$C$25,3,FALSE)</f>
        <v>#DIV/0!</v>
      </c>
      <c r="R177" s="229" t="e">
        <f>IF(L177&gt;0,L177*I177/X177,0)*VLOOKUP(B177,'2-Kosten per locatie'!$A$14:$C$25,3,FALSE)</f>
        <v>#DIV/0!</v>
      </c>
      <c r="S177" s="229" t="e">
        <f>IF(M177&gt;0,M177*I177/Y177,0)*VLOOKUP(B177,'2-Kosten per locatie'!$A$14:$C$25,3,FALSE)</f>
        <v>#DIV/0!</v>
      </c>
      <c r="T177" s="229" t="e">
        <f>IF(N177&gt;0,N177*I177/Z177,0)*VLOOKUP(B177,'2-Kosten per locatie'!$A$14:$C$25,3,FALSE)</f>
        <v>#DIV/0!</v>
      </c>
      <c r="U177" s="229" t="e">
        <f>IF(O177&gt;0,O177*I177/Y177,0)*VLOOKUP(B177,'2-Kosten per locatie'!$A$14:$C$25,3,FALSE)</f>
        <v>#DIV/0!</v>
      </c>
      <c r="V177" s="229" t="e">
        <f>IF(P177&gt;0,P177*I177/Z177,0)*VLOOKUP(B177,'2-Kosten per locatie'!$A$14:$C$25,3,FALSE)</f>
        <v>#DIV/0!</v>
      </c>
      <c r="W177" s="307">
        <f>IF(K177="nio",0,IF(K177&gt;0,VLOOKUP(G177,'3-Productie normen'!A:R,VLOOKUP(K177,'3-Productie normen'!$B$29:$C$41,2,FALSE),FALSE)))</f>
        <v>0</v>
      </c>
      <c r="X177" s="307">
        <f t="shared" si="22"/>
        <v>0</v>
      </c>
      <c r="Y177" s="307">
        <f t="shared" si="23"/>
        <v>0</v>
      </c>
      <c r="Z177" s="307">
        <f t="shared" si="24"/>
        <v>0</v>
      </c>
      <c r="AA177" s="308">
        <f>VLOOKUP(G177,'3-Productie normen'!A:U,15,FALSE)</f>
        <v>0</v>
      </c>
      <c r="AB177" s="309">
        <f>VLOOKUP(G177,'3-Productie normen'!A:U,16,FALSE)</f>
        <v>76.59999999999998</v>
      </c>
      <c r="AC177" s="308"/>
      <c r="AE177" s="310">
        <f t="shared" si="25"/>
        <v>451.1</v>
      </c>
    </row>
    <row r="178" spans="1:31" ht="14.1" hidden="1" customHeight="1">
      <c r="A178" s="75">
        <v>173</v>
      </c>
      <c r="B178" s="380" t="s">
        <v>57</v>
      </c>
      <c r="C178" s="276" t="s">
        <v>316</v>
      </c>
      <c r="D178" s="304" t="s">
        <v>236</v>
      </c>
      <c r="E178" s="305" t="s">
        <v>368</v>
      </c>
      <c r="F178" s="276" t="s">
        <v>369</v>
      </c>
      <c r="G178" s="276" t="s">
        <v>265</v>
      </c>
      <c r="H178" s="71" t="s">
        <v>192</v>
      </c>
      <c r="I178" s="388">
        <v>1.3</v>
      </c>
      <c r="J178" s="306">
        <f t="shared" si="21"/>
        <v>347</v>
      </c>
      <c r="K178" s="230">
        <v>190</v>
      </c>
      <c r="L178" s="230">
        <v>45</v>
      </c>
      <c r="M178" s="230">
        <v>78</v>
      </c>
      <c r="N178" s="230">
        <v>22</v>
      </c>
      <c r="O178" s="230">
        <v>8</v>
      </c>
      <c r="P178" s="230">
        <v>4</v>
      </c>
      <c r="Q178" s="229" t="e">
        <f>IF(K178="nio",0,IF(K178&gt;0,K178*I178/W178,0))*VLOOKUP(B178,'2-Kosten per locatie'!$A$14:$C$25,3,FALSE)</f>
        <v>#DIV/0!</v>
      </c>
      <c r="R178" s="229" t="e">
        <f>IF(L178&gt;0,L178*I178/X178,0)*VLOOKUP(B178,'2-Kosten per locatie'!$A$14:$C$25,3,FALSE)</f>
        <v>#DIV/0!</v>
      </c>
      <c r="S178" s="229" t="e">
        <f>IF(M178&gt;0,M178*I178/Y178,0)*VLOOKUP(B178,'2-Kosten per locatie'!$A$14:$C$25,3,FALSE)</f>
        <v>#DIV/0!</v>
      </c>
      <c r="T178" s="229" t="e">
        <f>IF(N178&gt;0,N178*I178/Z178,0)*VLOOKUP(B178,'2-Kosten per locatie'!$A$14:$C$25,3,FALSE)</f>
        <v>#DIV/0!</v>
      </c>
      <c r="U178" s="229" t="e">
        <f>IF(O178&gt;0,O178*I178/Y178,0)*VLOOKUP(B178,'2-Kosten per locatie'!$A$14:$C$25,3,FALSE)</f>
        <v>#DIV/0!</v>
      </c>
      <c r="V178" s="229" t="e">
        <f>IF(P178&gt;0,P178*I178/Z178,0)*VLOOKUP(B178,'2-Kosten per locatie'!$A$14:$C$25,3,FALSE)</f>
        <v>#DIV/0!</v>
      </c>
      <c r="W178" s="307">
        <f>IF(K178="nio",0,IF(K178&gt;0,VLOOKUP(G178,'3-Productie normen'!A:R,VLOOKUP(K178,'3-Productie normen'!$B$29:$C$41,2,FALSE),FALSE)))</f>
        <v>0</v>
      </c>
      <c r="X178" s="307">
        <f t="shared" si="22"/>
        <v>0</v>
      </c>
      <c r="Y178" s="307">
        <f t="shared" si="23"/>
        <v>0</v>
      </c>
      <c r="Z178" s="307">
        <f t="shared" si="24"/>
        <v>0</v>
      </c>
      <c r="AA178" s="308">
        <f>VLOOKUP(G178,'3-Productie normen'!A:U,15,FALSE)</f>
        <v>0</v>
      </c>
      <c r="AB178" s="309">
        <f>VLOOKUP(G178,'3-Productie normen'!A:U,16,FALSE)</f>
        <v>76.59999999999998</v>
      </c>
      <c r="AC178" s="308"/>
      <c r="AE178" s="310">
        <f t="shared" si="25"/>
        <v>451.1</v>
      </c>
    </row>
    <row r="179" spans="1:31" ht="14.1" hidden="1" customHeight="1">
      <c r="A179" s="75">
        <v>174</v>
      </c>
      <c r="B179" s="380" t="s">
        <v>57</v>
      </c>
      <c r="C179" s="276" t="s">
        <v>316</v>
      </c>
      <c r="D179" s="304" t="s">
        <v>236</v>
      </c>
      <c r="E179" s="305" t="s">
        <v>370</v>
      </c>
      <c r="F179" s="276" t="s">
        <v>371</v>
      </c>
      <c r="G179" s="276" t="s">
        <v>265</v>
      </c>
      <c r="H179" s="71" t="s">
        <v>192</v>
      </c>
      <c r="I179" s="388">
        <v>1.3</v>
      </c>
      <c r="J179" s="306">
        <f t="shared" si="21"/>
        <v>347</v>
      </c>
      <c r="K179" s="230">
        <v>190</v>
      </c>
      <c r="L179" s="230">
        <v>45</v>
      </c>
      <c r="M179" s="230">
        <v>78</v>
      </c>
      <c r="N179" s="230">
        <v>22</v>
      </c>
      <c r="O179" s="230">
        <v>8</v>
      </c>
      <c r="P179" s="230">
        <v>4</v>
      </c>
      <c r="Q179" s="229" t="e">
        <f>IF(K179="nio",0,IF(K179&gt;0,K179*I179/W179,0))*VLOOKUP(B179,'2-Kosten per locatie'!$A$14:$C$25,3,FALSE)</f>
        <v>#DIV/0!</v>
      </c>
      <c r="R179" s="229" t="e">
        <f>IF(L179&gt;0,L179*I179/X179,0)*VLOOKUP(B179,'2-Kosten per locatie'!$A$14:$C$25,3,FALSE)</f>
        <v>#DIV/0!</v>
      </c>
      <c r="S179" s="229" t="e">
        <f>IF(M179&gt;0,M179*I179/Y179,0)*VLOOKUP(B179,'2-Kosten per locatie'!$A$14:$C$25,3,FALSE)</f>
        <v>#DIV/0!</v>
      </c>
      <c r="T179" s="229" t="e">
        <f>IF(N179&gt;0,N179*I179/Z179,0)*VLOOKUP(B179,'2-Kosten per locatie'!$A$14:$C$25,3,FALSE)</f>
        <v>#DIV/0!</v>
      </c>
      <c r="U179" s="229" t="e">
        <f>IF(O179&gt;0,O179*I179/Y179,0)*VLOOKUP(B179,'2-Kosten per locatie'!$A$14:$C$25,3,FALSE)</f>
        <v>#DIV/0!</v>
      </c>
      <c r="V179" s="229" t="e">
        <f>IF(P179&gt;0,P179*I179/Z179,0)*VLOOKUP(B179,'2-Kosten per locatie'!$A$14:$C$25,3,FALSE)</f>
        <v>#DIV/0!</v>
      </c>
      <c r="W179" s="307">
        <f>IF(K179="nio",0,IF(K179&gt;0,VLOOKUP(G179,'3-Productie normen'!A:R,VLOOKUP(K179,'3-Productie normen'!$B$29:$C$41,2,FALSE),FALSE)))</f>
        <v>0</v>
      </c>
      <c r="X179" s="307">
        <f t="shared" si="22"/>
        <v>0</v>
      </c>
      <c r="Y179" s="307">
        <f t="shared" si="23"/>
        <v>0</v>
      </c>
      <c r="Z179" s="307">
        <f t="shared" si="24"/>
        <v>0</v>
      </c>
      <c r="AA179" s="308">
        <f>VLOOKUP(G179,'3-Productie normen'!A:U,15,FALSE)</f>
        <v>0</v>
      </c>
      <c r="AB179" s="309">
        <f>VLOOKUP(G179,'3-Productie normen'!A:U,16,FALSE)</f>
        <v>76.59999999999998</v>
      </c>
      <c r="AC179" s="308"/>
      <c r="AE179" s="310">
        <f t="shared" si="25"/>
        <v>451.1</v>
      </c>
    </row>
    <row r="180" spans="1:31" ht="14.1" hidden="1" customHeight="1">
      <c r="A180" s="75">
        <v>175</v>
      </c>
      <c r="B180" s="380" t="s">
        <v>57</v>
      </c>
      <c r="C180" s="276" t="s">
        <v>316</v>
      </c>
      <c r="D180" s="304" t="s">
        <v>236</v>
      </c>
      <c r="E180" s="305" t="s">
        <v>372</v>
      </c>
      <c r="F180" s="276" t="s">
        <v>373</v>
      </c>
      <c r="G180" s="276" t="s">
        <v>265</v>
      </c>
      <c r="H180" s="71" t="s">
        <v>192</v>
      </c>
      <c r="I180" s="388">
        <v>1.3</v>
      </c>
      <c r="J180" s="306">
        <f t="shared" si="21"/>
        <v>347</v>
      </c>
      <c r="K180" s="230">
        <v>190</v>
      </c>
      <c r="L180" s="230">
        <v>45</v>
      </c>
      <c r="M180" s="230">
        <v>78</v>
      </c>
      <c r="N180" s="230">
        <v>22</v>
      </c>
      <c r="O180" s="230">
        <v>8</v>
      </c>
      <c r="P180" s="230">
        <v>4</v>
      </c>
      <c r="Q180" s="229" t="e">
        <f>IF(K180="nio",0,IF(K180&gt;0,K180*I180/W180,0))*VLOOKUP(B180,'2-Kosten per locatie'!$A$14:$C$25,3,FALSE)</f>
        <v>#DIV/0!</v>
      </c>
      <c r="R180" s="229" t="e">
        <f>IF(L180&gt;0,L180*I180/X180,0)*VLOOKUP(B180,'2-Kosten per locatie'!$A$14:$C$25,3,FALSE)</f>
        <v>#DIV/0!</v>
      </c>
      <c r="S180" s="229" t="e">
        <f>IF(M180&gt;0,M180*I180/Y180,0)*VLOOKUP(B180,'2-Kosten per locatie'!$A$14:$C$25,3,FALSE)</f>
        <v>#DIV/0!</v>
      </c>
      <c r="T180" s="229" t="e">
        <f>IF(N180&gt;0,N180*I180/Z180,0)*VLOOKUP(B180,'2-Kosten per locatie'!$A$14:$C$25,3,FALSE)</f>
        <v>#DIV/0!</v>
      </c>
      <c r="U180" s="229" t="e">
        <f>IF(O180&gt;0,O180*I180/Y180,0)*VLOOKUP(B180,'2-Kosten per locatie'!$A$14:$C$25,3,FALSE)</f>
        <v>#DIV/0!</v>
      </c>
      <c r="V180" s="229" t="e">
        <f>IF(P180&gt;0,P180*I180/Z180,0)*VLOOKUP(B180,'2-Kosten per locatie'!$A$14:$C$25,3,FALSE)</f>
        <v>#DIV/0!</v>
      </c>
      <c r="W180" s="307">
        <f>IF(K180="nio",0,IF(K180&gt;0,VLOOKUP(G180,'3-Productie normen'!A:R,VLOOKUP(K180,'3-Productie normen'!$B$29:$C$41,2,FALSE),FALSE)))</f>
        <v>0</v>
      </c>
      <c r="X180" s="307">
        <f t="shared" si="22"/>
        <v>0</v>
      </c>
      <c r="Y180" s="307">
        <f t="shared" si="23"/>
        <v>0</v>
      </c>
      <c r="Z180" s="307">
        <f t="shared" si="24"/>
        <v>0</v>
      </c>
      <c r="AA180" s="308">
        <f>VLOOKUP(G180,'3-Productie normen'!A:U,15,FALSE)</f>
        <v>0</v>
      </c>
      <c r="AB180" s="309">
        <f>VLOOKUP(G180,'3-Productie normen'!A:U,16,FALSE)</f>
        <v>76.59999999999998</v>
      </c>
      <c r="AC180" s="308"/>
      <c r="AE180" s="310">
        <f t="shared" si="25"/>
        <v>451.1</v>
      </c>
    </row>
    <row r="181" spans="1:31" ht="14.1" hidden="1" customHeight="1">
      <c r="A181" s="75">
        <v>176</v>
      </c>
      <c r="B181" s="380" t="s">
        <v>57</v>
      </c>
      <c r="C181" s="276" t="s">
        <v>316</v>
      </c>
      <c r="D181" s="304" t="s">
        <v>236</v>
      </c>
      <c r="E181" s="305" t="s">
        <v>374</v>
      </c>
      <c r="F181" s="71" t="s">
        <v>375</v>
      </c>
      <c r="G181" s="71" t="s">
        <v>265</v>
      </c>
      <c r="H181" s="71" t="s">
        <v>192</v>
      </c>
      <c r="I181" s="388">
        <v>1.8</v>
      </c>
      <c r="J181" s="306">
        <f t="shared" si="21"/>
        <v>347</v>
      </c>
      <c r="K181" s="230">
        <v>190</v>
      </c>
      <c r="L181" s="230">
        <v>45</v>
      </c>
      <c r="M181" s="230">
        <v>78</v>
      </c>
      <c r="N181" s="230">
        <v>22</v>
      </c>
      <c r="O181" s="230">
        <v>8</v>
      </c>
      <c r="P181" s="230">
        <v>4</v>
      </c>
      <c r="Q181" s="229" t="e">
        <f>IF(K181="nio",0,IF(K181&gt;0,K181*I181/W181,0))*VLOOKUP(B181,'2-Kosten per locatie'!$A$14:$C$25,3,FALSE)</f>
        <v>#DIV/0!</v>
      </c>
      <c r="R181" s="229" t="e">
        <f>IF(L181&gt;0,L181*I181/X181,0)*VLOOKUP(B181,'2-Kosten per locatie'!$A$14:$C$25,3,FALSE)</f>
        <v>#DIV/0!</v>
      </c>
      <c r="S181" s="229" t="e">
        <f>IF(M181&gt;0,M181*I181/Y181,0)*VLOOKUP(B181,'2-Kosten per locatie'!$A$14:$C$25,3,FALSE)</f>
        <v>#DIV/0!</v>
      </c>
      <c r="T181" s="229" t="e">
        <f>IF(N181&gt;0,N181*I181/Z181,0)*VLOOKUP(B181,'2-Kosten per locatie'!$A$14:$C$25,3,FALSE)</f>
        <v>#DIV/0!</v>
      </c>
      <c r="U181" s="229" t="e">
        <f>IF(O181&gt;0,O181*I181/Y181,0)*VLOOKUP(B181,'2-Kosten per locatie'!$A$14:$C$25,3,FALSE)</f>
        <v>#DIV/0!</v>
      </c>
      <c r="V181" s="229" t="e">
        <f>IF(P181&gt;0,P181*I181/Z181,0)*VLOOKUP(B181,'2-Kosten per locatie'!$A$14:$C$25,3,FALSE)</f>
        <v>#DIV/0!</v>
      </c>
      <c r="W181" s="307">
        <f>IF(K181="nio",0,IF(K181&gt;0,VLOOKUP(G181,'3-Productie normen'!A:R,VLOOKUP(K181,'3-Productie normen'!$B$29:$C$41,2,FALSE),FALSE)))</f>
        <v>0</v>
      </c>
      <c r="X181" s="307">
        <f t="shared" si="22"/>
        <v>0</v>
      </c>
      <c r="Y181" s="307">
        <f t="shared" si="23"/>
        <v>0</v>
      </c>
      <c r="Z181" s="307">
        <f t="shared" si="24"/>
        <v>0</v>
      </c>
      <c r="AA181" s="308">
        <f>VLOOKUP(G181,'3-Productie normen'!A:U,15,FALSE)</f>
        <v>0</v>
      </c>
      <c r="AB181" s="309">
        <f>VLOOKUP(G181,'3-Productie normen'!A:U,16,FALSE)</f>
        <v>76.59999999999998</v>
      </c>
      <c r="AC181" s="308"/>
      <c r="AE181" s="310">
        <f t="shared" si="25"/>
        <v>624.6</v>
      </c>
    </row>
    <row r="182" spans="1:31" ht="14.1" hidden="1" customHeight="1">
      <c r="A182" s="75">
        <v>177</v>
      </c>
      <c r="B182" s="380" t="s">
        <v>57</v>
      </c>
      <c r="C182" s="276" t="s">
        <v>316</v>
      </c>
      <c r="D182" s="304" t="s">
        <v>236</v>
      </c>
      <c r="E182" s="305" t="s">
        <v>376</v>
      </c>
      <c r="F182" s="71" t="s">
        <v>287</v>
      </c>
      <c r="G182" s="71" t="s">
        <v>103</v>
      </c>
      <c r="H182" s="71" t="s">
        <v>192</v>
      </c>
      <c r="I182" s="388">
        <v>1</v>
      </c>
      <c r="J182" s="306">
        <f t="shared" si="21"/>
        <v>347</v>
      </c>
      <c r="K182" s="230">
        <v>190</v>
      </c>
      <c r="L182" s="230">
        <v>45</v>
      </c>
      <c r="M182" s="230">
        <v>78</v>
      </c>
      <c r="N182" s="230">
        <v>22</v>
      </c>
      <c r="O182" s="230">
        <v>8</v>
      </c>
      <c r="P182" s="230">
        <v>4</v>
      </c>
      <c r="Q182" s="229" t="e">
        <f>IF(K182="nio",0,IF(K182&gt;0,K182*I182/W182,0))*VLOOKUP(B182,'2-Kosten per locatie'!$A$14:$C$25,3,FALSE)</f>
        <v>#DIV/0!</v>
      </c>
      <c r="R182" s="229" t="e">
        <f>IF(L182&gt;0,L182*I182/X182,0)*VLOOKUP(B182,'2-Kosten per locatie'!$A$14:$C$25,3,FALSE)</f>
        <v>#DIV/0!</v>
      </c>
      <c r="S182" s="229" t="e">
        <f>IF(M182&gt;0,M182*I182/Y182,0)*VLOOKUP(B182,'2-Kosten per locatie'!$A$14:$C$25,3,FALSE)</f>
        <v>#DIV/0!</v>
      </c>
      <c r="T182" s="229" t="e">
        <f>IF(N182&gt;0,N182*I182/Z182,0)*VLOOKUP(B182,'2-Kosten per locatie'!$A$14:$C$25,3,FALSE)</f>
        <v>#DIV/0!</v>
      </c>
      <c r="U182" s="229" t="e">
        <f>IF(O182&gt;0,O182*I182/Y182,0)*VLOOKUP(B182,'2-Kosten per locatie'!$A$14:$C$25,3,FALSE)</f>
        <v>#DIV/0!</v>
      </c>
      <c r="V182" s="229" t="e">
        <f>IF(P182&gt;0,P182*I182/Z182,0)*VLOOKUP(B182,'2-Kosten per locatie'!$A$14:$C$25,3,FALSE)</f>
        <v>#DIV/0!</v>
      </c>
      <c r="W182" s="307">
        <f>IF(K182="nio",0,IF(K182&gt;0,VLOOKUP(G182,'3-Productie normen'!A:R,VLOOKUP(K182,'3-Productie normen'!$B$29:$C$41,2,FALSE),FALSE)))</f>
        <v>0</v>
      </c>
      <c r="X182" s="307">
        <f t="shared" si="22"/>
        <v>0</v>
      </c>
      <c r="Y182" s="307">
        <f t="shared" si="23"/>
        <v>0</v>
      </c>
      <c r="Z182" s="307">
        <f t="shared" si="24"/>
        <v>0</v>
      </c>
      <c r="AA182" s="308">
        <f>VLOOKUP(G182,'3-Productie normen'!A:U,15,FALSE)</f>
        <v>0</v>
      </c>
      <c r="AB182" s="309">
        <f>VLOOKUP(G182,'3-Productie normen'!A:U,16,FALSE)</f>
        <v>198.56500000000014</v>
      </c>
      <c r="AC182" s="308"/>
      <c r="AE182" s="310">
        <f t="shared" si="25"/>
        <v>347</v>
      </c>
    </row>
    <row r="183" spans="1:31" ht="14.1" hidden="1" customHeight="1">
      <c r="A183" s="75">
        <v>178</v>
      </c>
      <c r="B183" s="380" t="s">
        <v>57</v>
      </c>
      <c r="C183" s="276" t="s">
        <v>316</v>
      </c>
      <c r="D183" s="304" t="s">
        <v>236</v>
      </c>
      <c r="E183" s="305" t="s">
        <v>377</v>
      </c>
      <c r="F183" s="71" t="s">
        <v>309</v>
      </c>
      <c r="G183" s="71" t="s">
        <v>103</v>
      </c>
      <c r="H183" s="71" t="s">
        <v>192</v>
      </c>
      <c r="I183" s="388">
        <v>1</v>
      </c>
      <c r="J183" s="306">
        <f t="shared" si="21"/>
        <v>347</v>
      </c>
      <c r="K183" s="230">
        <v>190</v>
      </c>
      <c r="L183" s="230">
        <v>45</v>
      </c>
      <c r="M183" s="230">
        <v>78</v>
      </c>
      <c r="N183" s="230">
        <v>22</v>
      </c>
      <c r="O183" s="230">
        <v>8</v>
      </c>
      <c r="P183" s="230">
        <v>4</v>
      </c>
      <c r="Q183" s="229" t="e">
        <f>IF(K183="nio",0,IF(K183&gt;0,K183*I183/W183,0))*VLOOKUP(B183,'2-Kosten per locatie'!$A$14:$C$25,3,FALSE)</f>
        <v>#DIV/0!</v>
      </c>
      <c r="R183" s="229" t="e">
        <f>IF(L183&gt;0,L183*I183/X183,0)*VLOOKUP(B183,'2-Kosten per locatie'!$A$14:$C$25,3,FALSE)</f>
        <v>#DIV/0!</v>
      </c>
      <c r="S183" s="229" t="e">
        <f>IF(M183&gt;0,M183*I183/Y183,0)*VLOOKUP(B183,'2-Kosten per locatie'!$A$14:$C$25,3,FALSE)</f>
        <v>#DIV/0!</v>
      </c>
      <c r="T183" s="229" t="e">
        <f>IF(N183&gt;0,N183*I183/Z183,0)*VLOOKUP(B183,'2-Kosten per locatie'!$A$14:$C$25,3,FALSE)</f>
        <v>#DIV/0!</v>
      </c>
      <c r="U183" s="229" t="e">
        <f>IF(O183&gt;0,O183*I183/Y183,0)*VLOOKUP(B183,'2-Kosten per locatie'!$A$14:$C$25,3,FALSE)</f>
        <v>#DIV/0!</v>
      </c>
      <c r="V183" s="229" t="e">
        <f>IF(P183&gt;0,P183*I183/Z183,0)*VLOOKUP(B183,'2-Kosten per locatie'!$A$14:$C$25,3,FALSE)</f>
        <v>#DIV/0!</v>
      </c>
      <c r="W183" s="307">
        <f>IF(K183="nio",0,IF(K183&gt;0,VLOOKUP(G183,'3-Productie normen'!A:R,VLOOKUP(K183,'3-Productie normen'!$B$29:$C$41,2,FALSE),FALSE)))</f>
        <v>0</v>
      </c>
      <c r="X183" s="307">
        <f t="shared" si="22"/>
        <v>0</v>
      </c>
      <c r="Y183" s="307">
        <f t="shared" si="23"/>
        <v>0</v>
      </c>
      <c r="Z183" s="307">
        <f t="shared" si="24"/>
        <v>0</v>
      </c>
      <c r="AA183" s="308">
        <f>VLOOKUP(G183,'3-Productie normen'!A:U,15,FALSE)</f>
        <v>0</v>
      </c>
      <c r="AB183" s="309">
        <f>VLOOKUP(G183,'3-Productie normen'!A:U,16,FALSE)</f>
        <v>198.56500000000014</v>
      </c>
      <c r="AC183" s="308"/>
      <c r="AE183" s="310">
        <f t="shared" si="25"/>
        <v>347</v>
      </c>
    </row>
    <row r="184" spans="1:31" ht="14.1" hidden="1" customHeight="1">
      <c r="A184" s="75">
        <v>179</v>
      </c>
      <c r="B184" s="380" t="s">
        <v>57</v>
      </c>
      <c r="C184" s="276" t="s">
        <v>316</v>
      </c>
      <c r="D184" s="304" t="s">
        <v>236</v>
      </c>
      <c r="E184" s="305" t="s">
        <v>378</v>
      </c>
      <c r="F184" s="71" t="s">
        <v>379</v>
      </c>
      <c r="G184" s="71" t="s">
        <v>103</v>
      </c>
      <c r="H184" s="71" t="s">
        <v>192</v>
      </c>
      <c r="I184" s="388">
        <v>1</v>
      </c>
      <c r="J184" s="306">
        <f t="shared" si="21"/>
        <v>347</v>
      </c>
      <c r="K184" s="230">
        <v>190</v>
      </c>
      <c r="L184" s="230">
        <v>45</v>
      </c>
      <c r="M184" s="230">
        <v>78</v>
      </c>
      <c r="N184" s="230">
        <v>22</v>
      </c>
      <c r="O184" s="230">
        <v>8</v>
      </c>
      <c r="P184" s="230">
        <v>4</v>
      </c>
      <c r="Q184" s="229" t="e">
        <f>IF(K184="nio",0,IF(K184&gt;0,K184*I184/W184,0))*VLOOKUP(B184,'2-Kosten per locatie'!$A$14:$C$25,3,FALSE)</f>
        <v>#DIV/0!</v>
      </c>
      <c r="R184" s="229" t="e">
        <f>IF(L184&gt;0,L184*I184/X184,0)*VLOOKUP(B184,'2-Kosten per locatie'!$A$14:$C$25,3,FALSE)</f>
        <v>#DIV/0!</v>
      </c>
      <c r="S184" s="229" t="e">
        <f>IF(M184&gt;0,M184*I184/Y184,0)*VLOOKUP(B184,'2-Kosten per locatie'!$A$14:$C$25,3,FALSE)</f>
        <v>#DIV/0!</v>
      </c>
      <c r="T184" s="229" t="e">
        <f>IF(N184&gt;0,N184*I184/Z184,0)*VLOOKUP(B184,'2-Kosten per locatie'!$A$14:$C$25,3,FALSE)</f>
        <v>#DIV/0!</v>
      </c>
      <c r="U184" s="229" t="e">
        <f>IF(O184&gt;0,O184*I184/Y184,0)*VLOOKUP(B184,'2-Kosten per locatie'!$A$14:$C$25,3,FALSE)</f>
        <v>#DIV/0!</v>
      </c>
      <c r="V184" s="229" t="e">
        <f>IF(P184&gt;0,P184*I184/Z184,0)*VLOOKUP(B184,'2-Kosten per locatie'!$A$14:$C$25,3,FALSE)</f>
        <v>#DIV/0!</v>
      </c>
      <c r="W184" s="307">
        <f>IF(K184="nio",0,IF(K184&gt;0,VLOOKUP(G184,'3-Productie normen'!A:R,VLOOKUP(K184,'3-Productie normen'!$B$29:$C$41,2,FALSE),FALSE)))</f>
        <v>0</v>
      </c>
      <c r="X184" s="307">
        <f t="shared" si="22"/>
        <v>0</v>
      </c>
      <c r="Y184" s="307">
        <f t="shared" si="23"/>
        <v>0</v>
      </c>
      <c r="Z184" s="307">
        <f t="shared" si="24"/>
        <v>0</v>
      </c>
      <c r="AA184" s="308">
        <f>VLOOKUP(G184,'3-Productie normen'!A:U,15,FALSE)</f>
        <v>0</v>
      </c>
      <c r="AB184" s="309">
        <f>VLOOKUP(G184,'3-Productie normen'!A:U,16,FALSE)</f>
        <v>198.56500000000014</v>
      </c>
      <c r="AC184" s="308"/>
      <c r="AE184" s="310">
        <f t="shared" si="25"/>
        <v>347</v>
      </c>
    </row>
    <row r="185" spans="1:31" ht="14.1" hidden="1" customHeight="1">
      <c r="A185" s="75">
        <v>180</v>
      </c>
      <c r="B185" s="380" t="s">
        <v>57</v>
      </c>
      <c r="C185" s="276" t="s">
        <v>316</v>
      </c>
      <c r="D185" s="304" t="s">
        <v>236</v>
      </c>
      <c r="E185" s="305" t="s">
        <v>380</v>
      </c>
      <c r="F185" s="311" t="s">
        <v>381</v>
      </c>
      <c r="G185" s="311" t="s">
        <v>103</v>
      </c>
      <c r="H185" s="71" t="s">
        <v>192</v>
      </c>
      <c r="I185" s="388">
        <v>1</v>
      </c>
      <c r="J185" s="306">
        <f t="shared" si="21"/>
        <v>347</v>
      </c>
      <c r="K185" s="230">
        <v>190</v>
      </c>
      <c r="L185" s="230">
        <v>45</v>
      </c>
      <c r="M185" s="230">
        <v>78</v>
      </c>
      <c r="N185" s="230">
        <v>22</v>
      </c>
      <c r="O185" s="230">
        <v>8</v>
      </c>
      <c r="P185" s="230">
        <v>4</v>
      </c>
      <c r="Q185" s="229" t="e">
        <f>IF(K185="nio",0,IF(K185&gt;0,K185*I185/W185,0))*VLOOKUP(B185,'2-Kosten per locatie'!$A$14:$C$25,3,FALSE)</f>
        <v>#DIV/0!</v>
      </c>
      <c r="R185" s="229" t="e">
        <f>IF(L185&gt;0,L185*I185/X185,0)*VLOOKUP(B185,'2-Kosten per locatie'!$A$14:$C$25,3,FALSE)</f>
        <v>#DIV/0!</v>
      </c>
      <c r="S185" s="229" t="e">
        <f>IF(M185&gt;0,M185*I185/Y185,0)*VLOOKUP(B185,'2-Kosten per locatie'!$A$14:$C$25,3,FALSE)</f>
        <v>#DIV/0!</v>
      </c>
      <c r="T185" s="229" t="e">
        <f>IF(N185&gt;0,N185*I185/Z185,0)*VLOOKUP(B185,'2-Kosten per locatie'!$A$14:$C$25,3,FALSE)</f>
        <v>#DIV/0!</v>
      </c>
      <c r="U185" s="229" t="e">
        <f>IF(O185&gt;0,O185*I185/Y185,0)*VLOOKUP(B185,'2-Kosten per locatie'!$A$14:$C$25,3,FALSE)</f>
        <v>#DIV/0!</v>
      </c>
      <c r="V185" s="229" t="e">
        <f>IF(P185&gt;0,P185*I185/Z185,0)*VLOOKUP(B185,'2-Kosten per locatie'!$A$14:$C$25,3,FALSE)</f>
        <v>#DIV/0!</v>
      </c>
      <c r="W185" s="307">
        <f>IF(K185="nio",0,IF(K185&gt;0,VLOOKUP(G185,'3-Productie normen'!A:R,VLOOKUP(K185,'3-Productie normen'!$B$29:$C$41,2,FALSE),FALSE)))</f>
        <v>0</v>
      </c>
      <c r="X185" s="307">
        <f t="shared" si="22"/>
        <v>0</v>
      </c>
      <c r="Y185" s="307">
        <f t="shared" si="23"/>
        <v>0</v>
      </c>
      <c r="Z185" s="307">
        <f t="shared" si="24"/>
        <v>0</v>
      </c>
      <c r="AA185" s="308">
        <f>VLOOKUP(G185,'3-Productie normen'!A:U,15,FALSE)</f>
        <v>0</v>
      </c>
      <c r="AB185" s="309">
        <f>VLOOKUP(G185,'3-Productie normen'!A:U,16,FALSE)</f>
        <v>198.56500000000014</v>
      </c>
      <c r="AC185" s="308"/>
      <c r="AE185" s="310">
        <f t="shared" si="25"/>
        <v>347</v>
      </c>
    </row>
    <row r="186" spans="1:31" ht="14.1" hidden="1" customHeight="1">
      <c r="A186" s="75">
        <v>181</v>
      </c>
      <c r="B186" s="380" t="s">
        <v>57</v>
      </c>
      <c r="C186" s="276" t="s">
        <v>316</v>
      </c>
      <c r="D186" s="304" t="s">
        <v>236</v>
      </c>
      <c r="E186" s="305" t="s">
        <v>382</v>
      </c>
      <c r="F186" s="71" t="s">
        <v>383</v>
      </c>
      <c r="G186" s="71" t="s">
        <v>265</v>
      </c>
      <c r="H186" s="447" t="s">
        <v>172</v>
      </c>
      <c r="I186" s="388">
        <v>2</v>
      </c>
      <c r="J186" s="306">
        <f t="shared" si="21"/>
        <v>389</v>
      </c>
      <c r="K186" s="230">
        <v>237</v>
      </c>
      <c r="L186" s="230">
        <v>45</v>
      </c>
      <c r="M186" s="230">
        <v>72</v>
      </c>
      <c r="N186" s="230">
        <v>23</v>
      </c>
      <c r="O186" s="230">
        <v>8</v>
      </c>
      <c r="P186" s="230">
        <v>4</v>
      </c>
      <c r="Q186" s="229" t="e">
        <f>IF(K186="nio",0,IF(K186&gt;0,K186*I186/W186,0))*VLOOKUP(B186,'2-Kosten per locatie'!$A$14:$C$25,3,FALSE)</f>
        <v>#DIV/0!</v>
      </c>
      <c r="R186" s="229" t="e">
        <f>IF(L186&gt;0,L186*I186/X186,0)*VLOOKUP(B186,'2-Kosten per locatie'!$A$14:$C$25,3,FALSE)</f>
        <v>#DIV/0!</v>
      </c>
      <c r="S186" s="229" t="e">
        <f>IF(M186&gt;0,M186*I186/Y186,0)*VLOOKUP(B186,'2-Kosten per locatie'!$A$14:$C$25,3,FALSE)</f>
        <v>#DIV/0!</v>
      </c>
      <c r="T186" s="229" t="e">
        <f>IF(N186&gt;0,N186*I186/Z186,0)*VLOOKUP(B186,'2-Kosten per locatie'!$A$14:$C$25,3,FALSE)</f>
        <v>#DIV/0!</v>
      </c>
      <c r="U186" s="229" t="e">
        <f>IF(O186&gt;0,O186*I186/Y186,0)*VLOOKUP(B186,'2-Kosten per locatie'!$A$14:$C$25,3,FALSE)</f>
        <v>#DIV/0!</v>
      </c>
      <c r="V186" s="229" t="e">
        <f>IF(P186&gt;0,P186*I186/Z186,0)*VLOOKUP(B186,'2-Kosten per locatie'!$A$14:$C$25,3,FALSE)</f>
        <v>#DIV/0!</v>
      </c>
      <c r="W186" s="307">
        <f>IF(K186="nio",0,IF(K186&gt;0,VLOOKUP(G186,'3-Productie normen'!A:R,VLOOKUP(K186,'3-Productie normen'!$B$29:$C$41,2,FALSE),FALSE)))</f>
        <v>0</v>
      </c>
      <c r="X186" s="307">
        <f t="shared" si="22"/>
        <v>0</v>
      </c>
      <c r="Y186" s="307">
        <f t="shared" si="23"/>
        <v>0</v>
      </c>
      <c r="Z186" s="307">
        <f t="shared" si="24"/>
        <v>0</v>
      </c>
      <c r="AA186" s="308">
        <f>VLOOKUP(G186,'3-Productie normen'!A:U,15,FALSE)</f>
        <v>0</v>
      </c>
      <c r="AB186" s="309">
        <f>VLOOKUP(G186,'3-Productie normen'!A:U,16,FALSE)</f>
        <v>76.59999999999998</v>
      </c>
      <c r="AC186" s="308"/>
      <c r="AE186" s="310">
        <f t="shared" si="25"/>
        <v>778</v>
      </c>
    </row>
    <row r="187" spans="1:31" ht="14.1" hidden="1" customHeight="1">
      <c r="A187" s="75">
        <v>182</v>
      </c>
      <c r="B187" s="380" t="s">
        <v>57</v>
      </c>
      <c r="C187" s="276" t="s">
        <v>316</v>
      </c>
      <c r="D187" s="304" t="s">
        <v>236</v>
      </c>
      <c r="E187" s="226" t="s">
        <v>382</v>
      </c>
      <c r="F187" s="85" t="s">
        <v>383</v>
      </c>
      <c r="G187" s="85" t="s">
        <v>265</v>
      </c>
      <c r="H187" s="71" t="s">
        <v>192</v>
      </c>
      <c r="I187" s="388">
        <v>7.6</v>
      </c>
      <c r="J187" s="306">
        <f t="shared" si="21"/>
        <v>389</v>
      </c>
      <c r="K187" s="230">
        <v>237</v>
      </c>
      <c r="L187" s="230">
        <v>45</v>
      </c>
      <c r="M187" s="230">
        <v>72</v>
      </c>
      <c r="N187" s="230">
        <v>23</v>
      </c>
      <c r="O187" s="230">
        <v>8</v>
      </c>
      <c r="P187" s="230">
        <v>4</v>
      </c>
      <c r="Q187" s="229" t="e">
        <f>IF(K187="nio",0,IF(K187&gt;0,K187*I187/W187,0))*VLOOKUP(B187,'2-Kosten per locatie'!$A$14:$C$25,3,FALSE)</f>
        <v>#DIV/0!</v>
      </c>
      <c r="R187" s="229" t="e">
        <f>IF(L187&gt;0,L187*I187/X187,0)*VLOOKUP(B187,'2-Kosten per locatie'!$A$14:$C$25,3,FALSE)</f>
        <v>#DIV/0!</v>
      </c>
      <c r="S187" s="229" t="e">
        <f>IF(M187&gt;0,M187*I187/Y187,0)*VLOOKUP(B187,'2-Kosten per locatie'!$A$14:$C$25,3,FALSE)</f>
        <v>#DIV/0!</v>
      </c>
      <c r="T187" s="229" t="e">
        <f>IF(N187&gt;0,N187*I187/Z187,0)*VLOOKUP(B187,'2-Kosten per locatie'!$A$14:$C$25,3,FALSE)</f>
        <v>#DIV/0!</v>
      </c>
      <c r="U187" s="229" t="e">
        <f>IF(O187&gt;0,O187*I187/Y187,0)*VLOOKUP(B187,'2-Kosten per locatie'!$A$14:$C$25,3,FALSE)</f>
        <v>#DIV/0!</v>
      </c>
      <c r="V187" s="229" t="e">
        <f>IF(P187&gt;0,P187*I187/Z187,0)*VLOOKUP(B187,'2-Kosten per locatie'!$A$14:$C$25,3,FALSE)</f>
        <v>#DIV/0!</v>
      </c>
      <c r="W187" s="307">
        <f>IF(K187="nio",0,IF(K187&gt;0,VLOOKUP(G187,'3-Productie normen'!A:R,VLOOKUP(K187,'3-Productie normen'!$B$29:$C$41,2,FALSE),FALSE)))</f>
        <v>0</v>
      </c>
      <c r="X187" s="307">
        <f t="shared" si="22"/>
        <v>0</v>
      </c>
      <c r="Y187" s="307">
        <f t="shared" si="23"/>
        <v>0</v>
      </c>
      <c r="Z187" s="307">
        <f t="shared" si="24"/>
        <v>0</v>
      </c>
      <c r="AA187" s="308">
        <f>VLOOKUP(G187,'3-Productie normen'!A:U,15,FALSE)</f>
        <v>0</v>
      </c>
      <c r="AB187" s="309">
        <f>VLOOKUP(G187,'3-Productie normen'!A:U,16,FALSE)</f>
        <v>76.59999999999998</v>
      </c>
      <c r="AC187" s="308"/>
      <c r="AE187" s="310">
        <f t="shared" si="25"/>
        <v>2956.3999999999996</v>
      </c>
    </row>
    <row r="188" spans="1:31" ht="14.1" hidden="1" customHeight="1">
      <c r="A188" s="75">
        <v>183</v>
      </c>
      <c r="B188" s="380" t="s">
        <v>57</v>
      </c>
      <c r="C188" s="276" t="s">
        <v>316</v>
      </c>
      <c r="D188" s="304" t="s">
        <v>236</v>
      </c>
      <c r="E188" s="305" t="s">
        <v>384</v>
      </c>
      <c r="F188" s="71" t="s">
        <v>230</v>
      </c>
      <c r="G188" s="71" t="s">
        <v>265</v>
      </c>
      <c r="H188" s="71" t="s">
        <v>192</v>
      </c>
      <c r="I188" s="388">
        <v>3.6</v>
      </c>
      <c r="J188" s="306">
        <f t="shared" si="21"/>
        <v>347</v>
      </c>
      <c r="K188" s="230">
        <v>190</v>
      </c>
      <c r="L188" s="230">
        <v>45</v>
      </c>
      <c r="M188" s="230">
        <v>78</v>
      </c>
      <c r="N188" s="230">
        <v>22</v>
      </c>
      <c r="O188" s="230">
        <v>8</v>
      </c>
      <c r="P188" s="230">
        <v>4</v>
      </c>
      <c r="Q188" s="229" t="e">
        <f>IF(K188="nio",0,IF(K188&gt;0,K188*I188/W188,0))*VLOOKUP(B188,'2-Kosten per locatie'!$A$14:$C$25,3,FALSE)</f>
        <v>#DIV/0!</v>
      </c>
      <c r="R188" s="229" t="e">
        <f>IF(L188&gt;0,L188*I188/X188,0)*VLOOKUP(B188,'2-Kosten per locatie'!$A$14:$C$25,3,FALSE)</f>
        <v>#DIV/0!</v>
      </c>
      <c r="S188" s="229" t="e">
        <f>IF(M188&gt;0,M188*I188/Y188,0)*VLOOKUP(B188,'2-Kosten per locatie'!$A$14:$C$25,3,FALSE)</f>
        <v>#DIV/0!</v>
      </c>
      <c r="T188" s="229" t="e">
        <f>IF(N188&gt;0,N188*I188/Z188,0)*VLOOKUP(B188,'2-Kosten per locatie'!$A$14:$C$25,3,FALSE)</f>
        <v>#DIV/0!</v>
      </c>
      <c r="U188" s="229" t="e">
        <f>IF(O188&gt;0,O188*I188/Y188,0)*VLOOKUP(B188,'2-Kosten per locatie'!$A$14:$C$25,3,FALSE)</f>
        <v>#DIV/0!</v>
      </c>
      <c r="V188" s="229" t="e">
        <f>IF(P188&gt;0,P188*I188/Z188,0)*VLOOKUP(B188,'2-Kosten per locatie'!$A$14:$C$25,3,FALSE)</f>
        <v>#DIV/0!</v>
      </c>
      <c r="W188" s="307">
        <f>IF(K188="nio",0,IF(K188&gt;0,VLOOKUP(G188,'3-Productie normen'!A:R,VLOOKUP(K188,'3-Productie normen'!$B$29:$C$41,2,FALSE),FALSE)))</f>
        <v>0</v>
      </c>
      <c r="X188" s="307">
        <f t="shared" si="22"/>
        <v>0</v>
      </c>
      <c r="Y188" s="307">
        <f t="shared" si="23"/>
        <v>0</v>
      </c>
      <c r="Z188" s="307">
        <f t="shared" si="24"/>
        <v>0</v>
      </c>
      <c r="AA188" s="308">
        <f>VLOOKUP(G188,'3-Productie normen'!A:U,15,FALSE)</f>
        <v>0</v>
      </c>
      <c r="AB188" s="309">
        <f>VLOOKUP(G188,'3-Productie normen'!A:U,16,FALSE)</f>
        <v>76.59999999999998</v>
      </c>
      <c r="AC188" s="308"/>
      <c r="AE188" s="310">
        <f t="shared" si="25"/>
        <v>1249.2</v>
      </c>
    </row>
    <row r="189" spans="1:31" ht="14.1" hidden="1" customHeight="1">
      <c r="A189" s="75">
        <v>184</v>
      </c>
      <c r="B189" s="380" t="s">
        <v>57</v>
      </c>
      <c r="C189" s="276" t="s">
        <v>316</v>
      </c>
      <c r="D189" s="304" t="s">
        <v>236</v>
      </c>
      <c r="E189" s="305" t="s">
        <v>385</v>
      </c>
      <c r="F189" s="276" t="s">
        <v>164</v>
      </c>
      <c r="G189" s="276" t="s">
        <v>103</v>
      </c>
      <c r="H189" s="71" t="s">
        <v>192</v>
      </c>
      <c r="I189" s="388">
        <v>1.1000000000000001</v>
      </c>
      <c r="J189" s="306">
        <f t="shared" si="21"/>
        <v>347</v>
      </c>
      <c r="K189" s="230">
        <v>190</v>
      </c>
      <c r="L189" s="230">
        <v>45</v>
      </c>
      <c r="M189" s="230">
        <v>78</v>
      </c>
      <c r="N189" s="230">
        <v>22</v>
      </c>
      <c r="O189" s="230">
        <v>8</v>
      </c>
      <c r="P189" s="230">
        <v>4</v>
      </c>
      <c r="Q189" s="229" t="e">
        <f>IF(K189="nio",0,IF(K189&gt;0,K189*I189/W189,0))*VLOOKUP(B189,'2-Kosten per locatie'!$A$14:$C$25,3,FALSE)</f>
        <v>#DIV/0!</v>
      </c>
      <c r="R189" s="229" t="e">
        <f>IF(L189&gt;0,L189*I189/X189,0)*VLOOKUP(B189,'2-Kosten per locatie'!$A$14:$C$25,3,FALSE)</f>
        <v>#DIV/0!</v>
      </c>
      <c r="S189" s="229" t="e">
        <f>IF(M189&gt;0,M189*I189/Y189,0)*VLOOKUP(B189,'2-Kosten per locatie'!$A$14:$C$25,3,FALSE)</f>
        <v>#DIV/0!</v>
      </c>
      <c r="T189" s="229" t="e">
        <f>IF(N189&gt;0,N189*I189/Z189,0)*VLOOKUP(B189,'2-Kosten per locatie'!$A$14:$C$25,3,FALSE)</f>
        <v>#DIV/0!</v>
      </c>
      <c r="U189" s="229" t="e">
        <f>IF(O189&gt;0,O189*I189/Y189,0)*VLOOKUP(B189,'2-Kosten per locatie'!$A$14:$C$25,3,FALSE)</f>
        <v>#DIV/0!</v>
      </c>
      <c r="V189" s="229" t="e">
        <f>IF(P189&gt;0,P189*I189/Z189,0)*VLOOKUP(B189,'2-Kosten per locatie'!$A$14:$C$25,3,FALSE)</f>
        <v>#DIV/0!</v>
      </c>
      <c r="W189" s="307">
        <f>IF(K189="nio",0,IF(K189&gt;0,VLOOKUP(G189,'3-Productie normen'!A:R,VLOOKUP(K189,'3-Productie normen'!$B$29:$C$41,2,FALSE),FALSE)))</f>
        <v>0</v>
      </c>
      <c r="X189" s="307">
        <f t="shared" si="22"/>
        <v>0</v>
      </c>
      <c r="Y189" s="307">
        <f t="shared" si="23"/>
        <v>0</v>
      </c>
      <c r="Z189" s="307">
        <f t="shared" si="24"/>
        <v>0</v>
      </c>
      <c r="AA189" s="308">
        <f>VLOOKUP(G189,'3-Productie normen'!A:U,15,FALSE)</f>
        <v>0</v>
      </c>
      <c r="AB189" s="309">
        <f>VLOOKUP(G189,'3-Productie normen'!A:U,16,FALSE)</f>
        <v>198.56500000000014</v>
      </c>
      <c r="AC189" s="308"/>
      <c r="AE189" s="310">
        <f t="shared" si="25"/>
        <v>381.70000000000005</v>
      </c>
    </row>
    <row r="190" spans="1:31" ht="14.1" hidden="1" customHeight="1">
      <c r="A190" s="75">
        <v>185</v>
      </c>
      <c r="B190" s="380" t="s">
        <v>57</v>
      </c>
      <c r="C190" s="276" t="s">
        <v>316</v>
      </c>
      <c r="D190" s="304" t="s">
        <v>236</v>
      </c>
      <c r="E190" s="305" t="s">
        <v>386</v>
      </c>
      <c r="F190" s="276" t="s">
        <v>164</v>
      </c>
      <c r="G190" s="276" t="s">
        <v>103</v>
      </c>
      <c r="H190" s="71" t="s">
        <v>192</v>
      </c>
      <c r="I190" s="388">
        <v>1.1000000000000001</v>
      </c>
      <c r="J190" s="306">
        <f t="shared" si="21"/>
        <v>347</v>
      </c>
      <c r="K190" s="230">
        <v>190</v>
      </c>
      <c r="L190" s="230">
        <v>45</v>
      </c>
      <c r="M190" s="230">
        <v>78</v>
      </c>
      <c r="N190" s="230">
        <v>22</v>
      </c>
      <c r="O190" s="230">
        <v>8</v>
      </c>
      <c r="P190" s="230">
        <v>4</v>
      </c>
      <c r="Q190" s="229" t="e">
        <f>IF(K190="nio",0,IF(K190&gt;0,K190*I190/W190,0))*VLOOKUP(B190,'2-Kosten per locatie'!$A$14:$C$25,3,FALSE)</f>
        <v>#DIV/0!</v>
      </c>
      <c r="R190" s="229" t="e">
        <f>IF(L190&gt;0,L190*I190/X190,0)*VLOOKUP(B190,'2-Kosten per locatie'!$A$14:$C$25,3,FALSE)</f>
        <v>#DIV/0!</v>
      </c>
      <c r="S190" s="229" t="e">
        <f>IF(M190&gt;0,M190*I190/Y190,0)*VLOOKUP(B190,'2-Kosten per locatie'!$A$14:$C$25,3,FALSE)</f>
        <v>#DIV/0!</v>
      </c>
      <c r="T190" s="229" t="e">
        <f>IF(N190&gt;0,N190*I190/Z190,0)*VLOOKUP(B190,'2-Kosten per locatie'!$A$14:$C$25,3,FALSE)</f>
        <v>#DIV/0!</v>
      </c>
      <c r="U190" s="229" t="e">
        <f>IF(O190&gt;0,O190*I190/Y190,0)*VLOOKUP(B190,'2-Kosten per locatie'!$A$14:$C$25,3,FALSE)</f>
        <v>#DIV/0!</v>
      </c>
      <c r="V190" s="229" t="e">
        <f>IF(P190&gt;0,P190*I190/Z190,0)*VLOOKUP(B190,'2-Kosten per locatie'!$A$14:$C$25,3,FALSE)</f>
        <v>#DIV/0!</v>
      </c>
      <c r="W190" s="307">
        <f>IF(K190="nio",0,IF(K190&gt;0,VLOOKUP(G190,'3-Productie normen'!A:R,VLOOKUP(K190,'3-Productie normen'!$B$29:$C$41,2,FALSE),FALSE)))</f>
        <v>0</v>
      </c>
      <c r="X190" s="307">
        <f t="shared" si="22"/>
        <v>0</v>
      </c>
      <c r="Y190" s="307">
        <f t="shared" si="23"/>
        <v>0</v>
      </c>
      <c r="Z190" s="307">
        <f t="shared" si="24"/>
        <v>0</v>
      </c>
      <c r="AA190" s="308">
        <f>VLOOKUP(G190,'3-Productie normen'!A:U,15,FALSE)</f>
        <v>0</v>
      </c>
      <c r="AB190" s="309">
        <f>VLOOKUP(G190,'3-Productie normen'!A:U,16,FALSE)</f>
        <v>198.56500000000014</v>
      </c>
      <c r="AC190" s="308"/>
      <c r="AE190" s="310">
        <f t="shared" si="25"/>
        <v>381.70000000000005</v>
      </c>
    </row>
    <row r="191" spans="1:31" ht="14.1" hidden="1" customHeight="1">
      <c r="A191" s="75">
        <v>186</v>
      </c>
      <c r="B191" s="380" t="s">
        <v>52</v>
      </c>
      <c r="C191" s="276" t="s">
        <v>387</v>
      </c>
      <c r="D191" s="304" t="s">
        <v>388</v>
      </c>
      <c r="E191" s="305" t="s">
        <v>389</v>
      </c>
      <c r="F191" s="276" t="s">
        <v>390</v>
      </c>
      <c r="G191" s="276" t="s">
        <v>98</v>
      </c>
      <c r="H191" s="71" t="s">
        <v>185</v>
      </c>
      <c r="I191" s="388">
        <v>60.6</v>
      </c>
      <c r="J191" s="306">
        <f t="shared" si="21"/>
        <v>255</v>
      </c>
      <c r="K191" s="230">
        <v>255</v>
      </c>
      <c r="L191" s="230"/>
      <c r="M191" s="230"/>
      <c r="N191" s="230"/>
      <c r="O191" s="230"/>
      <c r="P191" s="230"/>
      <c r="Q191" s="229" t="e">
        <f>IF(K191="nio",0,IF(K191&gt;0,K191*I191/W191,0))*VLOOKUP(B191,'2-Kosten per locatie'!$A$14:$C$25,3,FALSE)</f>
        <v>#DIV/0!</v>
      </c>
      <c r="R191" s="229">
        <f>IF(L191&gt;0,L191*I191/X191,0)*VLOOKUP(B191,'2-Kosten per locatie'!$A$14:$C$25,3,FALSE)</f>
        <v>0</v>
      </c>
      <c r="S191" s="229">
        <f>IF(M191&gt;0,M191*I191/Y191,0)*VLOOKUP(B191,'2-Kosten per locatie'!$A$14:$C$25,3,FALSE)</f>
        <v>0</v>
      </c>
      <c r="T191" s="229">
        <f>IF(N191&gt;0,N191*I191/Z191,0)*VLOOKUP(B191,'2-Kosten per locatie'!$A$14:$C$25,3,FALSE)</f>
        <v>0</v>
      </c>
      <c r="U191" s="229">
        <f>IF(O191&gt;0,O191*I191/Y191,0)*VLOOKUP(B191,'2-Kosten per locatie'!$A$14:$C$25,3,FALSE)</f>
        <v>0</v>
      </c>
      <c r="V191" s="229">
        <f>IF(P191&gt;0,P191*I191/Z191,0)*VLOOKUP(B191,'2-Kosten per locatie'!$A$14:$C$25,3,FALSE)</f>
        <v>0</v>
      </c>
      <c r="W191" s="307">
        <f>IF(K191="nio",0,IF(K191&gt;0,VLOOKUP(G191,'3-Productie normen'!A:R,VLOOKUP(K191,'3-Productie normen'!$B$29:$C$41,2,FALSE),FALSE)))</f>
        <v>0</v>
      </c>
      <c r="X191" s="307">
        <f t="shared" si="22"/>
        <v>0</v>
      </c>
      <c r="Y191" s="307">
        <f t="shared" si="23"/>
        <v>0</v>
      </c>
      <c r="Z191" s="307">
        <f t="shared" si="24"/>
        <v>0</v>
      </c>
      <c r="AA191" s="308">
        <f>VLOOKUP(G191,'3-Productie normen'!A:U,15,FALSE)</f>
        <v>0</v>
      </c>
      <c r="AB191" s="309">
        <f>VLOOKUP(G191,'3-Productie normen'!A:U,16,FALSE)</f>
        <v>467.3</v>
      </c>
      <c r="AC191" s="308"/>
      <c r="AE191" s="310">
        <f t="shared" si="25"/>
        <v>15453</v>
      </c>
    </row>
    <row r="192" spans="1:31" ht="14.1" hidden="1" customHeight="1">
      <c r="A192" s="75">
        <v>187</v>
      </c>
      <c r="B192" s="380" t="s">
        <v>52</v>
      </c>
      <c r="C192" s="276" t="s">
        <v>387</v>
      </c>
      <c r="D192" s="304" t="s">
        <v>186</v>
      </c>
      <c r="E192" s="305" t="s">
        <v>391</v>
      </c>
      <c r="F192" s="71" t="s">
        <v>392</v>
      </c>
      <c r="G192" s="71" t="s">
        <v>104</v>
      </c>
      <c r="H192" s="71" t="s">
        <v>226</v>
      </c>
      <c r="I192" s="388">
        <v>266.25</v>
      </c>
      <c r="J192" s="306">
        <f t="shared" si="21"/>
        <v>255</v>
      </c>
      <c r="K192" s="230">
        <v>255</v>
      </c>
      <c r="L192" s="230"/>
      <c r="M192" s="230"/>
      <c r="N192" s="230"/>
      <c r="O192" s="230"/>
      <c r="P192" s="230"/>
      <c r="Q192" s="229" t="e">
        <f>IF(K192="nio",0,IF(K192&gt;0,K192*I192/W192,0))*VLOOKUP(B192,'2-Kosten per locatie'!$A$14:$C$25,3,FALSE)</f>
        <v>#DIV/0!</v>
      </c>
      <c r="R192" s="229">
        <f>IF(L192&gt;0,L192*I192/X192,0)*VLOOKUP(B192,'2-Kosten per locatie'!$A$14:$C$25,3,FALSE)</f>
        <v>0</v>
      </c>
      <c r="S192" s="229">
        <f>IF(M192&gt;0,M192*I192/Y192,0)*VLOOKUP(B192,'2-Kosten per locatie'!$A$14:$C$25,3,FALSE)</f>
        <v>0</v>
      </c>
      <c r="T192" s="229">
        <f>IF(N192&gt;0,N192*I192/Z192,0)*VLOOKUP(B192,'2-Kosten per locatie'!$A$14:$C$25,3,FALSE)</f>
        <v>0</v>
      </c>
      <c r="U192" s="229">
        <f>IF(O192&gt;0,O192*I192/Y192,0)*VLOOKUP(B192,'2-Kosten per locatie'!$A$14:$C$25,3,FALSE)</f>
        <v>0</v>
      </c>
      <c r="V192" s="229">
        <f>IF(P192&gt;0,P192*I192/Z192,0)*VLOOKUP(B192,'2-Kosten per locatie'!$A$14:$C$25,3,FALSE)</f>
        <v>0</v>
      </c>
      <c r="W192" s="307">
        <f>IF(K192="nio",0,IF(K192&gt;0,VLOOKUP(G192,'3-Productie normen'!A:R,VLOOKUP(K192,'3-Productie normen'!$B$29:$C$41,2,FALSE),FALSE)))</f>
        <v>0</v>
      </c>
      <c r="X192" s="307">
        <f t="shared" si="22"/>
        <v>0</v>
      </c>
      <c r="Y192" s="307">
        <f t="shared" si="23"/>
        <v>0</v>
      </c>
      <c r="Z192" s="307">
        <f t="shared" si="24"/>
        <v>0</v>
      </c>
      <c r="AA192" s="308">
        <f>VLOOKUP(G192,'3-Productie normen'!A:U,15,FALSE)</f>
        <v>0</v>
      </c>
      <c r="AB192" s="309">
        <f>VLOOKUP(G192,'3-Productie normen'!A:U,16,FALSE)</f>
        <v>974.27</v>
      </c>
      <c r="AC192" s="308"/>
      <c r="AE192" s="310">
        <f t="shared" si="25"/>
        <v>67893.75</v>
      </c>
    </row>
    <row r="193" spans="1:31" ht="14.1" hidden="1" customHeight="1">
      <c r="A193" s="75">
        <v>188</v>
      </c>
      <c r="B193" s="380" t="s">
        <v>52</v>
      </c>
      <c r="C193" s="276" t="s">
        <v>387</v>
      </c>
      <c r="D193" s="304" t="s">
        <v>186</v>
      </c>
      <c r="E193" s="305" t="s">
        <v>393</v>
      </c>
      <c r="F193" s="71" t="s">
        <v>257</v>
      </c>
      <c r="G193" s="71" t="s">
        <v>102</v>
      </c>
      <c r="H193" s="71" t="s">
        <v>226</v>
      </c>
      <c r="I193" s="388">
        <v>5.93</v>
      </c>
      <c r="J193" s="306">
        <f t="shared" si="21"/>
        <v>52</v>
      </c>
      <c r="K193" s="230">
        <v>52</v>
      </c>
      <c r="L193" s="230"/>
      <c r="M193" s="230"/>
      <c r="N193" s="230"/>
      <c r="O193" s="230"/>
      <c r="P193" s="230"/>
      <c r="Q193" s="229" t="e">
        <f>IF(K193="nio",0,IF(K193&gt;0,K193*I193/W193,0))*VLOOKUP(B193,'2-Kosten per locatie'!$A$14:$C$25,3,FALSE)</f>
        <v>#DIV/0!</v>
      </c>
      <c r="R193" s="229">
        <f>IF(L193&gt;0,L193*I193/X193,0)*VLOOKUP(B193,'2-Kosten per locatie'!$A$14:$C$25,3,FALSE)</f>
        <v>0</v>
      </c>
      <c r="S193" s="229">
        <f>IF(M193&gt;0,M193*I193/Y193,0)*VLOOKUP(B193,'2-Kosten per locatie'!$A$14:$C$25,3,FALSE)</f>
        <v>0</v>
      </c>
      <c r="T193" s="229">
        <f>IF(N193&gt;0,N193*I193/Z193,0)*VLOOKUP(B193,'2-Kosten per locatie'!$A$14:$C$25,3,FALSE)</f>
        <v>0</v>
      </c>
      <c r="U193" s="229">
        <f>IF(O193&gt;0,O193*I193/Y193,0)*VLOOKUP(B193,'2-Kosten per locatie'!$A$14:$C$25,3,FALSE)</f>
        <v>0</v>
      </c>
      <c r="V193" s="229">
        <f>IF(P193&gt;0,P193*I193/Z193,0)*VLOOKUP(B193,'2-Kosten per locatie'!$A$14:$C$25,3,FALSE)</f>
        <v>0</v>
      </c>
      <c r="W193" s="307">
        <f>IF(K193="nio",0,IF(K193&gt;0,VLOOKUP(G193,'3-Productie normen'!A:R,VLOOKUP(K193,'3-Productie normen'!$B$29:$C$41,2,FALSE),FALSE)))</f>
        <v>0</v>
      </c>
      <c r="X193" s="307">
        <f t="shared" si="22"/>
        <v>0</v>
      </c>
      <c r="Y193" s="307">
        <f t="shared" si="23"/>
        <v>0</v>
      </c>
      <c r="Z193" s="307">
        <f t="shared" si="24"/>
        <v>0</v>
      </c>
      <c r="AA193" s="308">
        <f>VLOOKUP(G193,'3-Productie normen'!A:U,15,FALSE)</f>
        <v>0</v>
      </c>
      <c r="AB193" s="309">
        <f>VLOOKUP(G193,'3-Productie normen'!A:U,16,FALSE)</f>
        <v>220.71499999999997</v>
      </c>
      <c r="AC193" s="308"/>
      <c r="AE193" s="310">
        <f t="shared" si="25"/>
        <v>308.36</v>
      </c>
    </row>
    <row r="194" spans="1:31" ht="14.1" hidden="1" customHeight="1">
      <c r="A194" s="75">
        <v>189</v>
      </c>
      <c r="B194" s="380" t="s">
        <v>52</v>
      </c>
      <c r="C194" s="276" t="s">
        <v>387</v>
      </c>
      <c r="D194" s="304" t="s">
        <v>186</v>
      </c>
      <c r="E194" s="305" t="s">
        <v>393</v>
      </c>
      <c r="F194" s="71" t="s">
        <v>257</v>
      </c>
      <c r="G194" s="71" t="s">
        <v>102</v>
      </c>
      <c r="H194" s="71" t="s">
        <v>226</v>
      </c>
      <c r="I194" s="388">
        <v>15.5</v>
      </c>
      <c r="J194" s="306">
        <f t="shared" si="21"/>
        <v>52</v>
      </c>
      <c r="K194" s="230">
        <v>52</v>
      </c>
      <c r="L194" s="230"/>
      <c r="M194" s="230"/>
      <c r="N194" s="230"/>
      <c r="O194" s="230"/>
      <c r="P194" s="230"/>
      <c r="Q194" s="229" t="e">
        <f>IF(K194="nio",0,IF(K194&gt;0,K194*I194/W194,0))*VLOOKUP(B194,'2-Kosten per locatie'!$A$14:$C$25,3,FALSE)</f>
        <v>#DIV/0!</v>
      </c>
      <c r="R194" s="229">
        <f>IF(L194&gt;0,L194*I194/X194,0)*VLOOKUP(B194,'2-Kosten per locatie'!$A$14:$C$25,3,FALSE)</f>
        <v>0</v>
      </c>
      <c r="S194" s="229">
        <f>IF(M194&gt;0,M194*I194/Y194,0)*VLOOKUP(B194,'2-Kosten per locatie'!$A$14:$C$25,3,FALSE)</f>
        <v>0</v>
      </c>
      <c r="T194" s="229">
        <f>IF(N194&gt;0,N194*I194/Z194,0)*VLOOKUP(B194,'2-Kosten per locatie'!$A$14:$C$25,3,FALSE)</f>
        <v>0</v>
      </c>
      <c r="U194" s="229">
        <f>IF(O194&gt;0,O194*I194/Y194,0)*VLOOKUP(B194,'2-Kosten per locatie'!$A$14:$C$25,3,FALSE)</f>
        <v>0</v>
      </c>
      <c r="V194" s="229">
        <f>IF(P194&gt;0,P194*I194/Z194,0)*VLOOKUP(B194,'2-Kosten per locatie'!$A$14:$C$25,3,FALSE)</f>
        <v>0</v>
      </c>
      <c r="W194" s="307">
        <f>IF(K194="nio",0,IF(K194&gt;0,VLOOKUP(G194,'3-Productie normen'!A:R,VLOOKUP(K194,'3-Productie normen'!$B$29:$C$41,2,FALSE),FALSE)))</f>
        <v>0</v>
      </c>
      <c r="X194" s="307">
        <f t="shared" si="22"/>
        <v>0</v>
      </c>
      <c r="Y194" s="307">
        <f t="shared" si="23"/>
        <v>0</v>
      </c>
      <c r="Z194" s="307">
        <f t="shared" si="24"/>
        <v>0</v>
      </c>
      <c r="AA194" s="308">
        <f>VLOOKUP(G194,'3-Productie normen'!A:U,15,FALSE)</f>
        <v>0</v>
      </c>
      <c r="AB194" s="309">
        <f>VLOOKUP(G194,'3-Productie normen'!A:U,16,FALSE)</f>
        <v>220.71499999999997</v>
      </c>
      <c r="AC194" s="308"/>
      <c r="AE194" s="310">
        <f t="shared" si="25"/>
        <v>806</v>
      </c>
    </row>
    <row r="195" spans="1:31" ht="14.1" hidden="1" customHeight="1">
      <c r="A195" s="75">
        <v>190</v>
      </c>
      <c r="B195" s="380" t="s">
        <v>52</v>
      </c>
      <c r="C195" s="276" t="s">
        <v>387</v>
      </c>
      <c r="D195" s="304" t="s">
        <v>186</v>
      </c>
      <c r="E195" s="305" t="s">
        <v>394</v>
      </c>
      <c r="F195" s="71" t="s">
        <v>395</v>
      </c>
      <c r="G195" s="71" t="s">
        <v>103</v>
      </c>
      <c r="H195" s="71" t="s">
        <v>192</v>
      </c>
      <c r="I195" s="388">
        <v>7.75</v>
      </c>
      <c r="J195" s="306">
        <f t="shared" si="21"/>
        <v>255</v>
      </c>
      <c r="K195" s="230">
        <v>255</v>
      </c>
      <c r="L195" s="230"/>
      <c r="M195" s="230"/>
      <c r="N195" s="230"/>
      <c r="O195" s="230"/>
      <c r="P195" s="230"/>
      <c r="Q195" s="229" t="e">
        <f>IF(K195="nio",0,IF(K195&gt;0,K195*I195/W195,0))*VLOOKUP(B195,'2-Kosten per locatie'!$A$14:$C$25,3,FALSE)</f>
        <v>#DIV/0!</v>
      </c>
      <c r="R195" s="229">
        <f>IF(L195&gt;0,L195*I195/X195,0)*VLOOKUP(B195,'2-Kosten per locatie'!$A$14:$C$25,3,FALSE)</f>
        <v>0</v>
      </c>
      <c r="S195" s="229">
        <f>IF(M195&gt;0,M195*I195/Y195,0)*VLOOKUP(B195,'2-Kosten per locatie'!$A$14:$C$25,3,FALSE)</f>
        <v>0</v>
      </c>
      <c r="T195" s="229">
        <f>IF(N195&gt;0,N195*I195/Z195,0)*VLOOKUP(B195,'2-Kosten per locatie'!$A$14:$C$25,3,FALSE)</f>
        <v>0</v>
      </c>
      <c r="U195" s="229">
        <f>IF(O195&gt;0,O195*I195/Y195,0)*VLOOKUP(B195,'2-Kosten per locatie'!$A$14:$C$25,3,FALSE)</f>
        <v>0</v>
      </c>
      <c r="V195" s="229">
        <f>IF(P195&gt;0,P195*I195/Z195,0)*VLOOKUP(B195,'2-Kosten per locatie'!$A$14:$C$25,3,FALSE)</f>
        <v>0</v>
      </c>
      <c r="W195" s="307">
        <f>IF(K195="nio",0,IF(K195&gt;0,VLOOKUP(G195,'3-Productie normen'!A:R,VLOOKUP(K195,'3-Productie normen'!$B$29:$C$41,2,FALSE),FALSE)))</f>
        <v>0</v>
      </c>
      <c r="X195" s="307">
        <f t="shared" si="22"/>
        <v>0</v>
      </c>
      <c r="Y195" s="307">
        <f t="shared" si="23"/>
        <v>0</v>
      </c>
      <c r="Z195" s="307">
        <f t="shared" si="24"/>
        <v>0</v>
      </c>
      <c r="AA195" s="308">
        <f>VLOOKUP(G195,'3-Productie normen'!A:U,15,FALSE)</f>
        <v>0</v>
      </c>
      <c r="AB195" s="309">
        <f>VLOOKUP(G195,'3-Productie normen'!A:U,16,FALSE)</f>
        <v>198.56500000000014</v>
      </c>
      <c r="AC195" s="308"/>
      <c r="AE195" s="310">
        <f t="shared" si="25"/>
        <v>1976.25</v>
      </c>
    </row>
    <row r="196" spans="1:31" ht="14.1" hidden="1" customHeight="1">
      <c r="A196" s="75">
        <v>191</v>
      </c>
      <c r="B196" s="380" t="s">
        <v>52</v>
      </c>
      <c r="C196" s="276" t="s">
        <v>387</v>
      </c>
      <c r="D196" s="304" t="s">
        <v>186</v>
      </c>
      <c r="E196" s="305" t="s">
        <v>396</v>
      </c>
      <c r="F196" s="311" t="s">
        <v>397</v>
      </c>
      <c r="G196" s="311" t="s">
        <v>100</v>
      </c>
      <c r="H196" s="71" t="s">
        <v>192</v>
      </c>
      <c r="I196" s="388">
        <v>15.9</v>
      </c>
      <c r="J196" s="306">
        <f t="shared" si="21"/>
        <v>255</v>
      </c>
      <c r="K196" s="230">
        <v>255</v>
      </c>
      <c r="L196" s="230"/>
      <c r="M196" s="230"/>
      <c r="N196" s="230"/>
      <c r="O196" s="230"/>
      <c r="P196" s="230"/>
      <c r="Q196" s="229" t="e">
        <f>IF(K196="nio",0,IF(K196&gt;0,K196*I196/W196,0))*VLOOKUP(B196,'2-Kosten per locatie'!$A$14:$C$25,3,FALSE)</f>
        <v>#DIV/0!</v>
      </c>
      <c r="R196" s="229">
        <f>IF(L196&gt;0,L196*I196/X196,0)*VLOOKUP(B196,'2-Kosten per locatie'!$A$14:$C$25,3,FALSE)</f>
        <v>0</v>
      </c>
      <c r="S196" s="229">
        <f>IF(M196&gt;0,M196*I196/Y196,0)*VLOOKUP(B196,'2-Kosten per locatie'!$A$14:$C$25,3,FALSE)</f>
        <v>0</v>
      </c>
      <c r="T196" s="229">
        <f>IF(N196&gt;0,N196*I196/Z196,0)*VLOOKUP(B196,'2-Kosten per locatie'!$A$14:$C$25,3,FALSE)</f>
        <v>0</v>
      </c>
      <c r="U196" s="229">
        <f>IF(O196&gt;0,O196*I196/Y196,0)*VLOOKUP(B196,'2-Kosten per locatie'!$A$14:$C$25,3,FALSE)</f>
        <v>0</v>
      </c>
      <c r="V196" s="229">
        <f>IF(P196&gt;0,P196*I196/Z196,0)*VLOOKUP(B196,'2-Kosten per locatie'!$A$14:$C$25,3,FALSE)</f>
        <v>0</v>
      </c>
      <c r="W196" s="307">
        <f>IF(K196="nio",0,IF(K196&gt;0,VLOOKUP(G196,'3-Productie normen'!A:R,VLOOKUP(K196,'3-Productie normen'!$B$29:$C$41,2,FALSE),FALSE)))</f>
        <v>0</v>
      </c>
      <c r="X196" s="307">
        <f t="shared" si="22"/>
        <v>0</v>
      </c>
      <c r="Y196" s="307">
        <f t="shared" si="23"/>
        <v>0</v>
      </c>
      <c r="Z196" s="307">
        <f t="shared" si="24"/>
        <v>0</v>
      </c>
      <c r="AA196" s="308">
        <f>VLOOKUP(G196,'3-Productie normen'!A:U,15,FALSE)</f>
        <v>0</v>
      </c>
      <c r="AB196" s="309">
        <f>VLOOKUP(G196,'3-Productie normen'!A:U,16,FALSE)</f>
        <v>455.57899999999995</v>
      </c>
      <c r="AC196" s="308"/>
      <c r="AE196" s="310">
        <f t="shared" si="25"/>
        <v>4054.5</v>
      </c>
    </row>
    <row r="197" spans="1:31" ht="14.1" hidden="1" customHeight="1">
      <c r="A197" s="75">
        <v>192</v>
      </c>
      <c r="B197" s="380" t="s">
        <v>52</v>
      </c>
      <c r="C197" s="276" t="s">
        <v>387</v>
      </c>
      <c r="D197" s="304" t="s">
        <v>186</v>
      </c>
      <c r="E197" s="305" t="s">
        <v>398</v>
      </c>
      <c r="F197" s="71" t="s">
        <v>399</v>
      </c>
      <c r="G197" s="71" t="s">
        <v>103</v>
      </c>
      <c r="H197" s="447" t="s">
        <v>192</v>
      </c>
      <c r="I197" s="388">
        <v>7.75</v>
      </c>
      <c r="J197" s="306">
        <f t="shared" si="21"/>
        <v>255</v>
      </c>
      <c r="K197" s="230">
        <v>255</v>
      </c>
      <c r="L197" s="230"/>
      <c r="M197" s="230"/>
      <c r="N197" s="230"/>
      <c r="O197" s="230"/>
      <c r="P197" s="230"/>
      <c r="Q197" s="229" t="e">
        <f>IF(K197="nio",0,IF(K197&gt;0,K197*I197/W197,0))*VLOOKUP(B197,'2-Kosten per locatie'!$A$14:$C$25,3,FALSE)</f>
        <v>#DIV/0!</v>
      </c>
      <c r="R197" s="229">
        <f>IF(L197&gt;0,L197*I197/X197,0)*VLOOKUP(B197,'2-Kosten per locatie'!$A$14:$C$25,3,FALSE)</f>
        <v>0</v>
      </c>
      <c r="S197" s="229">
        <f>IF(M197&gt;0,M197*I197/Y197,0)*VLOOKUP(B197,'2-Kosten per locatie'!$A$14:$C$25,3,FALSE)</f>
        <v>0</v>
      </c>
      <c r="T197" s="229">
        <f>IF(N197&gt;0,N197*I197/Z197,0)*VLOOKUP(B197,'2-Kosten per locatie'!$A$14:$C$25,3,FALSE)</f>
        <v>0</v>
      </c>
      <c r="U197" s="229">
        <f>IF(O197&gt;0,O197*I197/Y197,0)*VLOOKUP(B197,'2-Kosten per locatie'!$A$14:$C$25,3,FALSE)</f>
        <v>0</v>
      </c>
      <c r="V197" s="229">
        <f>IF(P197&gt;0,P197*I197/Z197,0)*VLOOKUP(B197,'2-Kosten per locatie'!$A$14:$C$25,3,FALSE)</f>
        <v>0</v>
      </c>
      <c r="W197" s="307">
        <f>IF(K197="nio",0,IF(K197&gt;0,VLOOKUP(G197,'3-Productie normen'!A:R,VLOOKUP(K197,'3-Productie normen'!$B$29:$C$41,2,FALSE),FALSE)))</f>
        <v>0</v>
      </c>
      <c r="X197" s="307">
        <f t="shared" si="22"/>
        <v>0</v>
      </c>
      <c r="Y197" s="307">
        <f t="shared" si="23"/>
        <v>0</v>
      </c>
      <c r="Z197" s="307">
        <f t="shared" si="24"/>
        <v>0</v>
      </c>
      <c r="AA197" s="308">
        <f>VLOOKUP(G197,'3-Productie normen'!A:U,15,FALSE)</f>
        <v>0</v>
      </c>
      <c r="AB197" s="309">
        <f>VLOOKUP(G197,'3-Productie normen'!A:U,16,FALSE)</f>
        <v>198.56500000000014</v>
      </c>
      <c r="AC197" s="308"/>
      <c r="AE197" s="310">
        <f t="shared" si="25"/>
        <v>1976.25</v>
      </c>
    </row>
    <row r="198" spans="1:31" ht="14.1" hidden="1" customHeight="1">
      <c r="A198" s="75">
        <v>193</v>
      </c>
      <c r="B198" s="380" t="s">
        <v>52</v>
      </c>
      <c r="C198" s="276" t="s">
        <v>387</v>
      </c>
      <c r="D198" s="304" t="s">
        <v>186</v>
      </c>
      <c r="E198" s="305" t="s">
        <v>400</v>
      </c>
      <c r="F198" s="276" t="s">
        <v>401</v>
      </c>
      <c r="G198" s="276" t="s">
        <v>100</v>
      </c>
      <c r="H198" s="71" t="s">
        <v>192</v>
      </c>
      <c r="I198" s="388">
        <v>15.9</v>
      </c>
      <c r="J198" s="306">
        <f t="shared" si="21"/>
        <v>255</v>
      </c>
      <c r="K198" s="230">
        <v>255</v>
      </c>
      <c r="L198" s="230"/>
      <c r="M198" s="230"/>
      <c r="N198" s="230"/>
      <c r="O198" s="230"/>
      <c r="P198" s="230"/>
      <c r="Q198" s="229" t="e">
        <f>IF(K198="nio",0,IF(K198&gt;0,K198*I198/W198,0))*VLOOKUP(B198,'2-Kosten per locatie'!$A$14:$C$25,3,FALSE)</f>
        <v>#DIV/0!</v>
      </c>
      <c r="R198" s="229">
        <f>IF(L198&gt;0,L198*I198/X198,0)*VLOOKUP(B198,'2-Kosten per locatie'!$A$14:$C$25,3,FALSE)</f>
        <v>0</v>
      </c>
      <c r="S198" s="229">
        <f>IF(M198&gt;0,M198*I198/Y198,0)*VLOOKUP(B198,'2-Kosten per locatie'!$A$14:$C$25,3,FALSE)</f>
        <v>0</v>
      </c>
      <c r="T198" s="229">
        <f>IF(N198&gt;0,N198*I198/Z198,0)*VLOOKUP(B198,'2-Kosten per locatie'!$A$14:$C$25,3,FALSE)</f>
        <v>0</v>
      </c>
      <c r="U198" s="229">
        <f>IF(O198&gt;0,O198*I198/Y198,0)*VLOOKUP(B198,'2-Kosten per locatie'!$A$14:$C$25,3,FALSE)</f>
        <v>0</v>
      </c>
      <c r="V198" s="229">
        <f>IF(P198&gt;0,P198*I198/Z198,0)*VLOOKUP(B198,'2-Kosten per locatie'!$A$14:$C$25,3,FALSE)</f>
        <v>0</v>
      </c>
      <c r="W198" s="307">
        <f>IF(K198="nio",0,IF(K198&gt;0,VLOOKUP(G198,'3-Productie normen'!A:R,VLOOKUP(K198,'3-Productie normen'!$B$29:$C$41,2,FALSE),FALSE)))</f>
        <v>0</v>
      </c>
      <c r="X198" s="307">
        <f t="shared" si="22"/>
        <v>0</v>
      </c>
      <c r="Y198" s="307">
        <f t="shared" si="23"/>
        <v>0</v>
      </c>
      <c r="Z198" s="307">
        <f t="shared" si="24"/>
        <v>0</v>
      </c>
      <c r="AA198" s="308">
        <f>VLOOKUP(G198,'3-Productie normen'!A:U,15,FALSE)</f>
        <v>0</v>
      </c>
      <c r="AB198" s="309">
        <f>VLOOKUP(G198,'3-Productie normen'!A:U,16,FALSE)</f>
        <v>455.57899999999995</v>
      </c>
      <c r="AC198" s="308"/>
      <c r="AE198" s="310">
        <f t="shared" si="25"/>
        <v>4054.5</v>
      </c>
    </row>
    <row r="199" spans="1:31" ht="14.1" hidden="1" customHeight="1">
      <c r="A199" s="75">
        <v>194</v>
      </c>
      <c r="B199" s="380" t="s">
        <v>52</v>
      </c>
      <c r="C199" s="276" t="s">
        <v>387</v>
      </c>
      <c r="D199" s="304" t="s">
        <v>186</v>
      </c>
      <c r="E199" s="305" t="s">
        <v>402</v>
      </c>
      <c r="F199" s="276" t="s">
        <v>403</v>
      </c>
      <c r="G199" s="276" t="s">
        <v>100</v>
      </c>
      <c r="H199" s="71" t="s">
        <v>185</v>
      </c>
      <c r="I199" s="388">
        <v>8.15</v>
      </c>
      <c r="J199" s="306">
        <v>52</v>
      </c>
      <c r="K199" s="230">
        <v>255</v>
      </c>
      <c r="L199" s="230"/>
      <c r="M199" s="230"/>
      <c r="N199" s="230"/>
      <c r="O199" s="230"/>
      <c r="P199" s="230"/>
      <c r="Q199" s="229" t="e">
        <f>IF(K199="nio",0,IF(K199&gt;0,K199*I199/W199,0))*VLOOKUP(B199,'2-Kosten per locatie'!$A$14:$C$25,3,FALSE)</f>
        <v>#DIV/0!</v>
      </c>
      <c r="R199" s="229">
        <f>IF(L199&gt;0,L199*I199/X199,0)*VLOOKUP(B199,'2-Kosten per locatie'!$A$14:$C$25,3,FALSE)</f>
        <v>0</v>
      </c>
      <c r="S199" s="229">
        <f>IF(M199&gt;0,M199*I199/Y199,0)*VLOOKUP(B199,'2-Kosten per locatie'!$A$14:$C$25,3,FALSE)</f>
        <v>0</v>
      </c>
      <c r="T199" s="229">
        <f>IF(N199&gt;0,N199*I199/Z199,0)*VLOOKUP(B199,'2-Kosten per locatie'!$A$14:$C$25,3,FALSE)</f>
        <v>0</v>
      </c>
      <c r="U199" s="229">
        <f>IF(O199&gt;0,O199*I199/Y199,0)*VLOOKUP(B199,'2-Kosten per locatie'!$A$14:$C$25,3,FALSE)</f>
        <v>0</v>
      </c>
      <c r="V199" s="229">
        <f>IF(P199&gt;0,P199*I199/Z199,0)*VLOOKUP(B199,'2-Kosten per locatie'!$A$14:$C$25,3,FALSE)</f>
        <v>0</v>
      </c>
      <c r="W199" s="307">
        <f>IF(K199="nio",0,IF(K199&gt;0,VLOOKUP(G199,'3-Productie normen'!A:R,VLOOKUP(K199,'3-Productie normen'!$B$29:$C$41,2,FALSE),FALSE)))</f>
        <v>0</v>
      </c>
      <c r="X199" s="307">
        <f t="shared" si="22"/>
        <v>0</v>
      </c>
      <c r="Y199" s="307">
        <f t="shared" si="23"/>
        <v>0</v>
      </c>
      <c r="Z199" s="307">
        <f t="shared" si="24"/>
        <v>0</v>
      </c>
      <c r="AA199" s="308">
        <f>VLOOKUP(G199,'3-Productie normen'!A:U,15,FALSE)</f>
        <v>0</v>
      </c>
      <c r="AB199" s="309">
        <f>VLOOKUP(G199,'3-Productie normen'!A:U,16,FALSE)</f>
        <v>455.57899999999995</v>
      </c>
      <c r="AC199" s="308"/>
      <c r="AE199" s="310">
        <f t="shared" si="25"/>
        <v>423.8</v>
      </c>
    </row>
    <row r="200" spans="1:31" ht="14.1" hidden="1" customHeight="1">
      <c r="A200" s="75">
        <v>195</v>
      </c>
      <c r="B200" s="380" t="s">
        <v>52</v>
      </c>
      <c r="C200" s="276" t="s">
        <v>387</v>
      </c>
      <c r="D200" s="304" t="s">
        <v>186</v>
      </c>
      <c r="E200" s="305" t="s">
        <v>404</v>
      </c>
      <c r="F200" s="276" t="s">
        <v>405</v>
      </c>
      <c r="G200" s="276" t="s">
        <v>265</v>
      </c>
      <c r="H200" s="71" t="s">
        <v>192</v>
      </c>
      <c r="I200" s="388">
        <v>1.8</v>
      </c>
      <c r="J200" s="306">
        <v>52</v>
      </c>
      <c r="K200" s="230">
        <v>255</v>
      </c>
      <c r="L200" s="230"/>
      <c r="M200" s="230"/>
      <c r="N200" s="230"/>
      <c r="O200" s="230"/>
      <c r="P200" s="230"/>
      <c r="Q200" s="229" t="e">
        <f>IF(K200="nio",0,IF(K200&gt;0,K200*I200/W200,0))*VLOOKUP(B200,'2-Kosten per locatie'!$A$14:$C$25,3,FALSE)</f>
        <v>#DIV/0!</v>
      </c>
      <c r="R200" s="229">
        <f>IF(L200&gt;0,L200*I200/X200,0)*VLOOKUP(B200,'2-Kosten per locatie'!$A$14:$C$25,3,FALSE)</f>
        <v>0</v>
      </c>
      <c r="S200" s="229">
        <f>IF(M200&gt;0,M200*I200/Y200,0)*VLOOKUP(B200,'2-Kosten per locatie'!$A$14:$C$25,3,FALSE)</f>
        <v>0</v>
      </c>
      <c r="T200" s="229">
        <f>IF(N200&gt;0,N200*I200/Z200,0)*VLOOKUP(B200,'2-Kosten per locatie'!$A$14:$C$25,3,FALSE)</f>
        <v>0</v>
      </c>
      <c r="U200" s="229">
        <f>IF(O200&gt;0,O200*I200/Y200,0)*VLOOKUP(B200,'2-Kosten per locatie'!$A$14:$C$25,3,FALSE)</f>
        <v>0</v>
      </c>
      <c r="V200" s="229">
        <f>IF(P200&gt;0,P200*I200/Z200,0)*VLOOKUP(B200,'2-Kosten per locatie'!$A$14:$C$25,3,FALSE)</f>
        <v>0</v>
      </c>
      <c r="W200" s="307">
        <f>IF(K200="nio",0,IF(K200&gt;0,VLOOKUP(G200,'3-Productie normen'!A:R,VLOOKUP(K200,'3-Productie normen'!$B$29:$C$41,2,FALSE),FALSE)))</f>
        <v>0</v>
      </c>
      <c r="X200" s="307">
        <f t="shared" si="22"/>
        <v>0</v>
      </c>
      <c r="Y200" s="307">
        <f t="shared" si="23"/>
        <v>0</v>
      </c>
      <c r="Z200" s="307">
        <f t="shared" si="24"/>
        <v>0</v>
      </c>
      <c r="AA200" s="308">
        <f>VLOOKUP(G200,'3-Productie normen'!A:U,15,FALSE)</f>
        <v>0</v>
      </c>
      <c r="AB200" s="309">
        <f>VLOOKUP(G200,'3-Productie normen'!A:U,16,FALSE)</f>
        <v>76.59999999999998</v>
      </c>
      <c r="AC200" s="308"/>
      <c r="AE200" s="310">
        <f t="shared" si="25"/>
        <v>93.600000000000009</v>
      </c>
    </row>
    <row r="201" spans="1:31" ht="14.1" hidden="1" customHeight="1">
      <c r="A201" s="75">
        <v>196</v>
      </c>
      <c r="B201" s="380" t="s">
        <v>52</v>
      </c>
      <c r="C201" s="276" t="s">
        <v>387</v>
      </c>
      <c r="D201" s="304" t="s">
        <v>186</v>
      </c>
      <c r="E201" s="305" t="s">
        <v>406</v>
      </c>
      <c r="F201" s="71" t="s">
        <v>407</v>
      </c>
      <c r="G201" s="71" t="s">
        <v>103</v>
      </c>
      <c r="H201" s="71" t="s">
        <v>192</v>
      </c>
      <c r="I201" s="388">
        <v>1.55</v>
      </c>
      <c r="J201" s="306">
        <v>255</v>
      </c>
      <c r="K201" s="230">
        <v>255</v>
      </c>
      <c r="L201" s="230"/>
      <c r="M201" s="230"/>
      <c r="N201" s="230"/>
      <c r="O201" s="230"/>
      <c r="P201" s="230"/>
      <c r="Q201" s="229" t="e">
        <f>IF(K201="nio",0,IF(K201&gt;0,K201*I201/W201,0))*VLOOKUP(B201,'2-Kosten per locatie'!$A$14:$C$25,3,FALSE)</f>
        <v>#DIV/0!</v>
      </c>
      <c r="R201" s="229">
        <f>IF(L201&gt;0,L201*I201/X201,0)*VLOOKUP(B201,'2-Kosten per locatie'!$A$14:$C$25,3,FALSE)</f>
        <v>0</v>
      </c>
      <c r="S201" s="229">
        <f>IF(M201&gt;0,M201*I201/Y201,0)*VLOOKUP(B201,'2-Kosten per locatie'!$A$14:$C$25,3,FALSE)</f>
        <v>0</v>
      </c>
      <c r="T201" s="229">
        <f>IF(N201&gt;0,N201*I201/Z201,0)*VLOOKUP(B201,'2-Kosten per locatie'!$A$14:$C$25,3,FALSE)</f>
        <v>0</v>
      </c>
      <c r="U201" s="229">
        <f>IF(O201&gt;0,O201*I201/Y201,0)*VLOOKUP(B201,'2-Kosten per locatie'!$A$14:$C$25,3,FALSE)</f>
        <v>0</v>
      </c>
      <c r="V201" s="229">
        <f>IF(P201&gt;0,P201*I201/Z201,0)*VLOOKUP(B201,'2-Kosten per locatie'!$A$14:$C$25,3,FALSE)</f>
        <v>0</v>
      </c>
      <c r="W201" s="307">
        <f>IF(K201="nio",0,IF(K201&gt;0,VLOOKUP(G201,'3-Productie normen'!A:R,VLOOKUP(K201,'3-Productie normen'!$B$29:$C$41,2,FALSE),FALSE)))</f>
        <v>0</v>
      </c>
      <c r="X201" s="307">
        <f t="shared" si="22"/>
        <v>0</v>
      </c>
      <c r="Y201" s="307">
        <f t="shared" si="23"/>
        <v>0</v>
      </c>
      <c r="Z201" s="307">
        <f t="shared" si="24"/>
        <v>0</v>
      </c>
      <c r="AA201" s="308">
        <f>VLOOKUP(G201,'3-Productie normen'!A:U,15,FALSE)</f>
        <v>0</v>
      </c>
      <c r="AB201" s="309">
        <f>VLOOKUP(G201,'3-Productie normen'!A:U,16,FALSE)</f>
        <v>198.56500000000014</v>
      </c>
      <c r="AC201" s="308"/>
      <c r="AE201" s="310">
        <f t="shared" si="25"/>
        <v>395.25</v>
      </c>
    </row>
    <row r="202" spans="1:31" ht="14.1" hidden="1" customHeight="1">
      <c r="A202" s="75">
        <v>197</v>
      </c>
      <c r="B202" s="380" t="s">
        <v>52</v>
      </c>
      <c r="C202" s="276" t="s">
        <v>387</v>
      </c>
      <c r="D202" s="304" t="s">
        <v>186</v>
      </c>
      <c r="E202" s="305" t="s">
        <v>408</v>
      </c>
      <c r="F202" s="71" t="s">
        <v>390</v>
      </c>
      <c r="G202" s="71" t="s">
        <v>98</v>
      </c>
      <c r="H202" s="71" t="s">
        <v>185</v>
      </c>
      <c r="I202" s="388">
        <v>52.85</v>
      </c>
      <c r="J202" s="306">
        <f t="shared" si="21"/>
        <v>255</v>
      </c>
      <c r="K202" s="230">
        <v>255</v>
      </c>
      <c r="L202" s="230"/>
      <c r="M202" s="230"/>
      <c r="N202" s="230"/>
      <c r="O202" s="230"/>
      <c r="P202" s="230"/>
      <c r="Q202" s="229" t="e">
        <f>IF(K202="nio",0,IF(K202&gt;0,K202*I202/W202,0))*VLOOKUP(B202,'2-Kosten per locatie'!$A$14:$C$25,3,FALSE)</f>
        <v>#DIV/0!</v>
      </c>
      <c r="R202" s="229">
        <f>IF(L202&gt;0,L202*I202/X202,0)*VLOOKUP(B202,'2-Kosten per locatie'!$A$14:$C$25,3,FALSE)</f>
        <v>0</v>
      </c>
      <c r="S202" s="229">
        <f>IF(M202&gt;0,M202*I202/Y202,0)*VLOOKUP(B202,'2-Kosten per locatie'!$A$14:$C$25,3,FALSE)</f>
        <v>0</v>
      </c>
      <c r="T202" s="229">
        <f>IF(N202&gt;0,N202*I202/Z202,0)*VLOOKUP(B202,'2-Kosten per locatie'!$A$14:$C$25,3,FALSE)</f>
        <v>0</v>
      </c>
      <c r="U202" s="229">
        <f>IF(O202&gt;0,O202*I202/Y202,0)*VLOOKUP(B202,'2-Kosten per locatie'!$A$14:$C$25,3,FALSE)</f>
        <v>0</v>
      </c>
      <c r="V202" s="229">
        <f>IF(P202&gt;0,P202*I202/Z202,0)*VLOOKUP(B202,'2-Kosten per locatie'!$A$14:$C$25,3,FALSE)</f>
        <v>0</v>
      </c>
      <c r="W202" s="307">
        <f>IF(K202="nio",0,IF(K202&gt;0,VLOOKUP(G202,'3-Productie normen'!A:R,VLOOKUP(K202,'3-Productie normen'!$B$29:$C$41,2,FALSE),FALSE)))</f>
        <v>0</v>
      </c>
      <c r="X202" s="307">
        <f t="shared" si="22"/>
        <v>0</v>
      </c>
      <c r="Y202" s="307">
        <f t="shared" si="23"/>
        <v>0</v>
      </c>
      <c r="Z202" s="307">
        <f t="shared" si="24"/>
        <v>0</v>
      </c>
      <c r="AA202" s="308">
        <f>VLOOKUP(G202,'3-Productie normen'!A:U,15,FALSE)</f>
        <v>0</v>
      </c>
      <c r="AB202" s="309">
        <f>VLOOKUP(G202,'3-Productie normen'!A:U,16,FALSE)</f>
        <v>467.3</v>
      </c>
      <c r="AC202" s="308"/>
      <c r="AE202" s="310">
        <f t="shared" si="25"/>
        <v>13476.75</v>
      </c>
    </row>
    <row r="203" spans="1:31" ht="14.1" hidden="1" customHeight="1">
      <c r="A203" s="75">
        <v>198</v>
      </c>
      <c r="B203" s="380" t="s">
        <v>52</v>
      </c>
      <c r="C203" s="276" t="s">
        <v>387</v>
      </c>
      <c r="D203" s="304" t="s">
        <v>176</v>
      </c>
      <c r="E203" s="305" t="s">
        <v>409</v>
      </c>
      <c r="F203" s="71" t="s">
        <v>390</v>
      </c>
      <c r="G203" s="71" t="s">
        <v>98</v>
      </c>
      <c r="H203" s="71" t="s">
        <v>185</v>
      </c>
      <c r="I203" s="388">
        <v>36.9</v>
      </c>
      <c r="J203" s="306">
        <f t="shared" si="21"/>
        <v>255</v>
      </c>
      <c r="K203" s="230">
        <v>255</v>
      </c>
      <c r="L203" s="230"/>
      <c r="M203" s="230"/>
      <c r="N203" s="230"/>
      <c r="O203" s="230"/>
      <c r="P203" s="230"/>
      <c r="Q203" s="229" t="e">
        <f>IF(K203="nio",0,IF(K203&gt;0,K203*I203/W203,0))*VLOOKUP(B203,'2-Kosten per locatie'!$A$14:$C$25,3,FALSE)</f>
        <v>#DIV/0!</v>
      </c>
      <c r="R203" s="229">
        <f>IF(L203&gt;0,L203*I203/X203,0)*VLOOKUP(B203,'2-Kosten per locatie'!$A$14:$C$25,3,FALSE)</f>
        <v>0</v>
      </c>
      <c r="S203" s="229">
        <f>IF(M203&gt;0,M203*I203/Y203,0)*VLOOKUP(B203,'2-Kosten per locatie'!$A$14:$C$25,3,FALSE)</f>
        <v>0</v>
      </c>
      <c r="T203" s="229">
        <f>IF(N203&gt;0,N203*I203/Z203,0)*VLOOKUP(B203,'2-Kosten per locatie'!$A$14:$C$25,3,FALSE)</f>
        <v>0</v>
      </c>
      <c r="U203" s="229">
        <f>IF(O203&gt;0,O203*I203/Y203,0)*VLOOKUP(B203,'2-Kosten per locatie'!$A$14:$C$25,3,FALSE)</f>
        <v>0</v>
      </c>
      <c r="V203" s="229">
        <f>IF(P203&gt;0,P203*I203/Z203,0)*VLOOKUP(B203,'2-Kosten per locatie'!$A$14:$C$25,3,FALSE)</f>
        <v>0</v>
      </c>
      <c r="W203" s="307">
        <f>IF(K203="nio",0,IF(K203&gt;0,VLOOKUP(G203,'3-Productie normen'!A:R,VLOOKUP(K203,'3-Productie normen'!$B$29:$C$41,2,FALSE),FALSE)))</f>
        <v>0</v>
      </c>
      <c r="X203" s="307">
        <f t="shared" si="22"/>
        <v>0</v>
      </c>
      <c r="Y203" s="307">
        <f t="shared" si="23"/>
        <v>0</v>
      </c>
      <c r="Z203" s="307">
        <f t="shared" si="24"/>
        <v>0</v>
      </c>
      <c r="AA203" s="308">
        <f>VLOOKUP(G203,'3-Productie normen'!A:U,15,FALSE)</f>
        <v>0</v>
      </c>
      <c r="AB203" s="309">
        <f>VLOOKUP(G203,'3-Productie normen'!A:U,16,FALSE)</f>
        <v>467.3</v>
      </c>
      <c r="AC203" s="308"/>
      <c r="AE203" s="310">
        <f t="shared" si="25"/>
        <v>9409.5</v>
      </c>
    </row>
    <row r="204" spans="1:31" ht="14.1" hidden="1" customHeight="1">
      <c r="A204" s="75">
        <v>199</v>
      </c>
      <c r="B204" s="380" t="s">
        <v>52</v>
      </c>
      <c r="C204" s="276" t="s">
        <v>387</v>
      </c>
      <c r="D204" s="304" t="s">
        <v>236</v>
      </c>
      <c r="E204" s="305" t="s">
        <v>410</v>
      </c>
      <c r="F204" s="71" t="s">
        <v>101</v>
      </c>
      <c r="G204" s="71" t="s">
        <v>101</v>
      </c>
      <c r="H204" s="71" t="s">
        <v>185</v>
      </c>
      <c r="I204" s="388">
        <v>2.2999999999999998</v>
      </c>
      <c r="J204" s="306">
        <f t="shared" si="21"/>
        <v>255</v>
      </c>
      <c r="K204" s="230">
        <v>255</v>
      </c>
      <c r="L204" s="230"/>
      <c r="M204" s="230"/>
      <c r="N204" s="230"/>
      <c r="O204" s="230"/>
      <c r="P204" s="230"/>
      <c r="Q204" s="229" t="e">
        <f>IF(K204="nio",0,IF(K204&gt;0,K204*I204/W204,0))*VLOOKUP(B204,'2-Kosten per locatie'!$A$14:$C$25,3,FALSE)</f>
        <v>#DIV/0!</v>
      </c>
      <c r="R204" s="229">
        <f>IF(L204&gt;0,L204*I204/X204,0)*VLOOKUP(B204,'2-Kosten per locatie'!$A$14:$C$25,3,FALSE)</f>
        <v>0</v>
      </c>
      <c r="S204" s="229">
        <f>IF(M204&gt;0,M204*I204/Y204,0)*VLOOKUP(B204,'2-Kosten per locatie'!$A$14:$C$25,3,FALSE)</f>
        <v>0</v>
      </c>
      <c r="T204" s="229">
        <f>IF(N204&gt;0,N204*I204/Z204,0)*VLOOKUP(B204,'2-Kosten per locatie'!$A$14:$C$25,3,FALSE)</f>
        <v>0</v>
      </c>
      <c r="U204" s="229">
        <f>IF(O204&gt;0,O204*I204/Y204,0)*VLOOKUP(B204,'2-Kosten per locatie'!$A$14:$C$25,3,FALSE)</f>
        <v>0</v>
      </c>
      <c r="V204" s="229">
        <f>IF(P204&gt;0,P204*I204/Z204,0)*VLOOKUP(B204,'2-Kosten per locatie'!$A$14:$C$25,3,FALSE)</f>
        <v>0</v>
      </c>
      <c r="W204" s="307">
        <f>IF(K204="nio",0,IF(K204&gt;0,VLOOKUP(G204,'3-Productie normen'!A:R,VLOOKUP(K204,'3-Productie normen'!$B$29:$C$41,2,FALSE),FALSE)))</f>
        <v>0</v>
      </c>
      <c r="X204" s="307">
        <f t="shared" si="22"/>
        <v>0</v>
      </c>
      <c r="Y204" s="307">
        <f t="shared" si="23"/>
        <v>0</v>
      </c>
      <c r="Z204" s="307">
        <f t="shared" si="24"/>
        <v>0</v>
      </c>
      <c r="AA204" s="308">
        <f>VLOOKUP(G204,'3-Productie normen'!A:U,15,FALSE)</f>
        <v>0</v>
      </c>
      <c r="AB204" s="309">
        <f>VLOOKUP(G204,'3-Productie normen'!A:U,16,FALSE)</f>
        <v>4.3</v>
      </c>
      <c r="AC204" s="308"/>
      <c r="AE204" s="310">
        <f t="shared" si="25"/>
        <v>586.5</v>
      </c>
    </row>
    <row r="205" spans="1:31" ht="14.1" hidden="1" customHeight="1">
      <c r="A205" s="75">
        <v>200</v>
      </c>
      <c r="B205" s="380" t="s">
        <v>52</v>
      </c>
      <c r="C205" s="276" t="s">
        <v>387</v>
      </c>
      <c r="D205" s="304" t="s">
        <v>411</v>
      </c>
      <c r="E205" s="305" t="s">
        <v>412</v>
      </c>
      <c r="F205" s="311" t="s">
        <v>105</v>
      </c>
      <c r="G205" s="311" t="s">
        <v>105</v>
      </c>
      <c r="H205" s="71" t="s">
        <v>231</v>
      </c>
      <c r="I205" s="388">
        <v>6</v>
      </c>
      <c r="J205" s="306">
        <f t="shared" si="21"/>
        <v>255</v>
      </c>
      <c r="K205" s="230">
        <v>255</v>
      </c>
      <c r="L205" s="230"/>
      <c r="M205" s="230"/>
      <c r="N205" s="230"/>
      <c r="O205" s="230"/>
      <c r="P205" s="230"/>
      <c r="Q205" s="229" t="e">
        <f>IF(K205="nio",0,IF(K205&gt;0,K205*I205/W205,0))*VLOOKUP(B205,'2-Kosten per locatie'!$A$14:$C$25,3,FALSE)</f>
        <v>#DIV/0!</v>
      </c>
      <c r="R205" s="229">
        <f>IF(L205&gt;0,L205*I205/X205,0)*VLOOKUP(B205,'2-Kosten per locatie'!$A$14:$C$25,3,FALSE)</f>
        <v>0</v>
      </c>
      <c r="S205" s="229">
        <f>IF(M205&gt;0,M205*I205/Y205,0)*VLOOKUP(B205,'2-Kosten per locatie'!$A$14:$C$25,3,FALSE)</f>
        <v>0</v>
      </c>
      <c r="T205" s="229">
        <f>IF(N205&gt;0,N205*I205/Z205,0)*VLOOKUP(B205,'2-Kosten per locatie'!$A$14:$C$25,3,FALSE)</f>
        <v>0</v>
      </c>
      <c r="U205" s="229">
        <f>IF(O205&gt;0,O205*I205/Y205,0)*VLOOKUP(B205,'2-Kosten per locatie'!$A$14:$C$25,3,FALSE)</f>
        <v>0</v>
      </c>
      <c r="V205" s="229">
        <f>IF(P205&gt;0,P205*I205/Z205,0)*VLOOKUP(B205,'2-Kosten per locatie'!$A$14:$C$25,3,FALSE)</f>
        <v>0</v>
      </c>
      <c r="W205" s="307">
        <f>IF(K205="nio",0,IF(K205&gt;0,VLOOKUP(G205,'3-Productie normen'!A:R,VLOOKUP(K205,'3-Productie normen'!$B$29:$C$41,2,FALSE),FALSE)))</f>
        <v>0</v>
      </c>
      <c r="X205" s="307">
        <f t="shared" si="22"/>
        <v>0</v>
      </c>
      <c r="Y205" s="307">
        <f t="shared" si="23"/>
        <v>0</v>
      </c>
      <c r="Z205" s="307">
        <f t="shared" si="24"/>
        <v>0</v>
      </c>
      <c r="AA205" s="308">
        <f>VLOOKUP(G205,'3-Productie normen'!A:U,15,FALSE)</f>
        <v>0</v>
      </c>
      <c r="AB205" s="309">
        <f>VLOOKUP(G205,'3-Productie normen'!A:U,16,FALSE)</f>
        <v>75.828800000000015</v>
      </c>
      <c r="AC205" s="308"/>
      <c r="AE205" s="310">
        <f t="shared" si="25"/>
        <v>1530</v>
      </c>
    </row>
    <row r="206" spans="1:31" ht="14.1" hidden="1" customHeight="1">
      <c r="A206" s="75">
        <v>201</v>
      </c>
      <c r="B206" s="380" t="s">
        <v>52</v>
      </c>
      <c r="C206" s="276" t="s">
        <v>387</v>
      </c>
      <c r="D206" s="304" t="s">
        <v>413</v>
      </c>
      <c r="E206" s="305" t="s">
        <v>412</v>
      </c>
      <c r="F206" s="71" t="s">
        <v>105</v>
      </c>
      <c r="G206" s="71" t="s">
        <v>105</v>
      </c>
      <c r="H206" s="71" t="s">
        <v>231</v>
      </c>
      <c r="I206" s="388">
        <v>6</v>
      </c>
      <c r="J206" s="306">
        <f t="shared" si="21"/>
        <v>255</v>
      </c>
      <c r="K206" s="230">
        <v>255</v>
      </c>
      <c r="L206" s="230"/>
      <c r="M206" s="230"/>
      <c r="N206" s="230"/>
      <c r="O206" s="230"/>
      <c r="P206" s="230"/>
      <c r="Q206" s="229" t="e">
        <f>IF(K206="nio",0,IF(K206&gt;0,K206*I206/W206,0))*VLOOKUP(B206,'2-Kosten per locatie'!$A$14:$C$25,3,FALSE)</f>
        <v>#DIV/0!</v>
      </c>
      <c r="R206" s="229">
        <f>IF(L206&gt;0,L206*I206/X206,0)*VLOOKUP(B206,'2-Kosten per locatie'!$A$14:$C$25,3,FALSE)</f>
        <v>0</v>
      </c>
      <c r="S206" s="229">
        <f>IF(M206&gt;0,M206*I206/Y206,0)*VLOOKUP(B206,'2-Kosten per locatie'!$A$14:$C$25,3,FALSE)</f>
        <v>0</v>
      </c>
      <c r="T206" s="229">
        <f>IF(N206&gt;0,N206*I206/Z206,0)*VLOOKUP(B206,'2-Kosten per locatie'!$A$14:$C$25,3,FALSE)</f>
        <v>0</v>
      </c>
      <c r="U206" s="229">
        <f>IF(O206&gt;0,O206*I206/Y206,0)*VLOOKUP(B206,'2-Kosten per locatie'!$A$14:$C$25,3,FALSE)</f>
        <v>0</v>
      </c>
      <c r="V206" s="229">
        <f>IF(P206&gt;0,P206*I206/Z206,0)*VLOOKUP(B206,'2-Kosten per locatie'!$A$14:$C$25,3,FALSE)</f>
        <v>0</v>
      </c>
      <c r="W206" s="307">
        <f>IF(K206="nio",0,IF(K206&gt;0,VLOOKUP(G206,'3-Productie normen'!A:R,VLOOKUP(K206,'3-Productie normen'!$B$29:$C$41,2,FALSE),FALSE)))</f>
        <v>0</v>
      </c>
      <c r="X206" s="307">
        <f t="shared" si="22"/>
        <v>0</v>
      </c>
      <c r="Y206" s="307">
        <f t="shared" si="23"/>
        <v>0</v>
      </c>
      <c r="Z206" s="307">
        <f t="shared" si="24"/>
        <v>0</v>
      </c>
      <c r="AA206" s="308">
        <f>VLOOKUP(G206,'3-Productie normen'!A:U,15,FALSE)</f>
        <v>0</v>
      </c>
      <c r="AB206" s="309">
        <f>VLOOKUP(G206,'3-Productie normen'!A:U,16,FALSE)</f>
        <v>75.828800000000015</v>
      </c>
      <c r="AC206" s="308"/>
      <c r="AE206" s="310">
        <f t="shared" si="25"/>
        <v>1530</v>
      </c>
    </row>
    <row r="207" spans="1:31" ht="14.1" hidden="1" customHeight="1">
      <c r="A207" s="75">
        <v>202</v>
      </c>
      <c r="B207" s="380" t="s">
        <v>52</v>
      </c>
      <c r="C207" s="276" t="s">
        <v>387</v>
      </c>
      <c r="D207" s="304" t="s">
        <v>414</v>
      </c>
      <c r="E207" s="226" t="s">
        <v>412</v>
      </c>
      <c r="F207" s="85" t="s">
        <v>105</v>
      </c>
      <c r="G207" s="85" t="s">
        <v>105</v>
      </c>
      <c r="H207" s="71" t="s">
        <v>231</v>
      </c>
      <c r="I207" s="388">
        <v>6</v>
      </c>
      <c r="J207" s="306">
        <f t="shared" si="21"/>
        <v>255</v>
      </c>
      <c r="K207" s="230">
        <v>255</v>
      </c>
      <c r="L207" s="230"/>
      <c r="M207" s="230"/>
      <c r="N207" s="230"/>
      <c r="O207" s="230"/>
      <c r="P207" s="230"/>
      <c r="Q207" s="229" t="e">
        <f>IF(K207="nio",0,IF(K207&gt;0,K207*I207/W207,0))*VLOOKUP(B207,'2-Kosten per locatie'!$A$14:$C$25,3,FALSE)</f>
        <v>#DIV/0!</v>
      </c>
      <c r="R207" s="229">
        <f>IF(L207&gt;0,L207*I207/X207,0)*VLOOKUP(B207,'2-Kosten per locatie'!$A$14:$C$25,3,FALSE)</f>
        <v>0</v>
      </c>
      <c r="S207" s="229">
        <f>IF(M207&gt;0,M207*I207/Y207,0)*VLOOKUP(B207,'2-Kosten per locatie'!$A$14:$C$25,3,FALSE)</f>
        <v>0</v>
      </c>
      <c r="T207" s="229">
        <f>IF(N207&gt;0,N207*I207/Z207,0)*VLOOKUP(B207,'2-Kosten per locatie'!$A$14:$C$25,3,FALSE)</f>
        <v>0</v>
      </c>
      <c r="U207" s="229">
        <f>IF(O207&gt;0,O207*I207/Y207,0)*VLOOKUP(B207,'2-Kosten per locatie'!$A$14:$C$25,3,FALSE)</f>
        <v>0</v>
      </c>
      <c r="V207" s="229">
        <f>IF(P207&gt;0,P207*I207/Z207,0)*VLOOKUP(B207,'2-Kosten per locatie'!$A$14:$C$25,3,FALSE)</f>
        <v>0</v>
      </c>
      <c r="W207" s="307">
        <f>IF(K207="nio",0,IF(K207&gt;0,VLOOKUP(G207,'3-Productie normen'!A:R,VLOOKUP(K207,'3-Productie normen'!$B$29:$C$41,2,FALSE),FALSE)))</f>
        <v>0</v>
      </c>
      <c r="X207" s="307">
        <f t="shared" si="22"/>
        <v>0</v>
      </c>
      <c r="Y207" s="307">
        <f t="shared" si="23"/>
        <v>0</v>
      </c>
      <c r="Z207" s="307">
        <f t="shared" si="24"/>
        <v>0</v>
      </c>
      <c r="AA207" s="308">
        <f>VLOOKUP(G207,'3-Productie normen'!A:U,15,FALSE)</f>
        <v>0</v>
      </c>
      <c r="AB207" s="309">
        <f>VLOOKUP(G207,'3-Productie normen'!A:U,16,FALSE)</f>
        <v>75.828800000000015</v>
      </c>
      <c r="AC207" s="308"/>
      <c r="AE207" s="310">
        <f t="shared" si="25"/>
        <v>1530</v>
      </c>
    </row>
    <row r="208" spans="1:31" ht="14.1" hidden="1" customHeight="1">
      <c r="A208" s="75">
        <v>203</v>
      </c>
      <c r="B208" s="380" t="s">
        <v>52</v>
      </c>
      <c r="C208" s="276" t="s">
        <v>387</v>
      </c>
      <c r="D208" s="304" t="s">
        <v>189</v>
      </c>
      <c r="E208" s="305" t="s">
        <v>415</v>
      </c>
      <c r="F208" s="71" t="s">
        <v>416</v>
      </c>
      <c r="G208" s="71" t="s">
        <v>103</v>
      </c>
      <c r="H208" s="71" t="s">
        <v>192</v>
      </c>
      <c r="I208" s="388">
        <v>1.4</v>
      </c>
      <c r="J208" s="306">
        <f t="shared" ref="J208:J269" si="31">SUM(K208:P208)</f>
        <v>255</v>
      </c>
      <c r="K208" s="230">
        <v>255</v>
      </c>
      <c r="L208" s="230"/>
      <c r="M208" s="230"/>
      <c r="N208" s="230"/>
      <c r="O208" s="230"/>
      <c r="P208" s="230"/>
      <c r="Q208" s="229" t="e">
        <f>IF(K208="nio",0,IF(K208&gt;0,K208*I208/W208,0))*VLOOKUP(B208,'2-Kosten per locatie'!$A$14:$C$25,3,FALSE)</f>
        <v>#DIV/0!</v>
      </c>
      <c r="R208" s="229">
        <f>IF(L208&gt;0,L208*I208/X208,0)*VLOOKUP(B208,'2-Kosten per locatie'!$A$14:$C$25,3,FALSE)</f>
        <v>0</v>
      </c>
      <c r="S208" s="229">
        <f>IF(M208&gt;0,M208*I208/Y208,0)*VLOOKUP(B208,'2-Kosten per locatie'!$A$14:$C$25,3,FALSE)</f>
        <v>0</v>
      </c>
      <c r="T208" s="229">
        <f>IF(N208&gt;0,N208*I208/Z208,0)*VLOOKUP(B208,'2-Kosten per locatie'!$A$14:$C$25,3,FALSE)</f>
        <v>0</v>
      </c>
      <c r="U208" s="229">
        <f>IF(O208&gt;0,O208*I208/Y208,0)*VLOOKUP(B208,'2-Kosten per locatie'!$A$14:$C$25,3,FALSE)</f>
        <v>0</v>
      </c>
      <c r="V208" s="229">
        <f>IF(P208&gt;0,P208*I208/Z208,0)*VLOOKUP(B208,'2-Kosten per locatie'!$A$14:$C$25,3,FALSE)</f>
        <v>0</v>
      </c>
      <c r="W208" s="307">
        <f>IF(K208="nio",0,IF(K208&gt;0,VLOOKUP(G208,'3-Productie normen'!A:R,VLOOKUP(K208,'3-Productie normen'!$B$29:$C$41,2,FALSE),FALSE)))</f>
        <v>0</v>
      </c>
      <c r="X208" s="307">
        <f t="shared" ref="X208:X270" si="32">IF(L208&gt;0,W208*$X$8,0)</f>
        <v>0</v>
      </c>
      <c r="Y208" s="307">
        <f t="shared" ref="Y208:Y270" si="33">IF((OR(M208&gt;0,O208&gt;0)),W208*$Y$8,0)</f>
        <v>0</v>
      </c>
      <c r="Z208" s="307">
        <f t="shared" ref="Z208:Z270" si="34">IF((OR(N208&gt;0,P208&gt;0)),W208*$Z$8,0)</f>
        <v>0</v>
      </c>
      <c r="AA208" s="308">
        <f>VLOOKUP(G208,'3-Productie normen'!A:U,15,FALSE)</f>
        <v>0</v>
      </c>
      <c r="AB208" s="309">
        <f>VLOOKUP(G208,'3-Productie normen'!A:U,16,FALSE)</f>
        <v>198.56500000000014</v>
      </c>
      <c r="AC208" s="308"/>
      <c r="AE208" s="310">
        <f t="shared" ref="AE208:AE270" si="35">J208*I208</f>
        <v>357</v>
      </c>
    </row>
    <row r="209" spans="1:31" ht="14.1" hidden="1" customHeight="1">
      <c r="A209" s="75">
        <v>204</v>
      </c>
      <c r="B209" s="380" t="s">
        <v>52</v>
      </c>
      <c r="C209" s="276" t="s">
        <v>387</v>
      </c>
      <c r="D209" s="304" t="s">
        <v>189</v>
      </c>
      <c r="E209" s="305" t="s">
        <v>417</v>
      </c>
      <c r="F209" s="276" t="s">
        <v>418</v>
      </c>
      <c r="G209" s="276" t="s">
        <v>103</v>
      </c>
      <c r="H209" s="71" t="s">
        <v>192</v>
      </c>
      <c r="I209" s="388">
        <v>1.4</v>
      </c>
      <c r="J209" s="306">
        <f t="shared" si="31"/>
        <v>255</v>
      </c>
      <c r="K209" s="230">
        <v>255</v>
      </c>
      <c r="L209" s="230"/>
      <c r="M209" s="230"/>
      <c r="N209" s="230"/>
      <c r="O209" s="230"/>
      <c r="P209" s="230"/>
      <c r="Q209" s="229" t="e">
        <f>IF(K209="nio",0,IF(K209&gt;0,K209*I209/W209,0))*VLOOKUP(B209,'2-Kosten per locatie'!$A$14:$C$25,3,FALSE)</f>
        <v>#DIV/0!</v>
      </c>
      <c r="R209" s="229">
        <f>IF(L209&gt;0,L209*I209/X209,0)*VLOOKUP(B209,'2-Kosten per locatie'!$A$14:$C$25,3,FALSE)</f>
        <v>0</v>
      </c>
      <c r="S209" s="229">
        <f>IF(M209&gt;0,M209*I209/Y209,0)*VLOOKUP(B209,'2-Kosten per locatie'!$A$14:$C$25,3,FALSE)</f>
        <v>0</v>
      </c>
      <c r="T209" s="229">
        <f>IF(N209&gt;0,N209*I209/Z209,0)*VLOOKUP(B209,'2-Kosten per locatie'!$A$14:$C$25,3,FALSE)</f>
        <v>0</v>
      </c>
      <c r="U209" s="229">
        <f>IF(O209&gt;0,O209*I209/Y209,0)*VLOOKUP(B209,'2-Kosten per locatie'!$A$14:$C$25,3,FALSE)</f>
        <v>0</v>
      </c>
      <c r="V209" s="229">
        <f>IF(P209&gt;0,P209*I209/Z209,0)*VLOOKUP(B209,'2-Kosten per locatie'!$A$14:$C$25,3,FALSE)</f>
        <v>0</v>
      </c>
      <c r="W209" s="307">
        <f>IF(K209="nio",0,IF(K209&gt;0,VLOOKUP(G209,'3-Productie normen'!A:R,VLOOKUP(K209,'3-Productie normen'!$B$29:$C$41,2,FALSE),FALSE)))</f>
        <v>0</v>
      </c>
      <c r="X209" s="307">
        <f t="shared" si="32"/>
        <v>0</v>
      </c>
      <c r="Y209" s="307">
        <f t="shared" si="33"/>
        <v>0</v>
      </c>
      <c r="Z209" s="307">
        <f t="shared" si="34"/>
        <v>0</v>
      </c>
      <c r="AA209" s="308">
        <f>VLOOKUP(G209,'3-Productie normen'!A:U,15,FALSE)</f>
        <v>0</v>
      </c>
      <c r="AB209" s="309">
        <f>VLOOKUP(G209,'3-Productie normen'!A:U,16,FALSE)</f>
        <v>198.56500000000014</v>
      </c>
      <c r="AC209" s="308"/>
      <c r="AE209" s="310">
        <f t="shared" si="35"/>
        <v>357</v>
      </c>
    </row>
    <row r="210" spans="1:31" ht="14.1" hidden="1" customHeight="1">
      <c r="A210" s="75">
        <v>205</v>
      </c>
      <c r="B210" s="380" t="s">
        <v>58</v>
      </c>
      <c r="C210" s="276" t="s">
        <v>419</v>
      </c>
      <c r="D210" s="304" t="s">
        <v>420</v>
      </c>
      <c r="E210" s="305" t="s">
        <v>421</v>
      </c>
      <c r="F210" s="276" t="s">
        <v>96</v>
      </c>
      <c r="G210" s="276" t="s">
        <v>96</v>
      </c>
      <c r="H210" s="71" t="s">
        <v>165</v>
      </c>
      <c r="I210" s="388">
        <v>6.7</v>
      </c>
      <c r="J210" s="306">
        <f t="shared" si="31"/>
        <v>255</v>
      </c>
      <c r="K210" s="230">
        <v>255</v>
      </c>
      <c r="L210" s="230"/>
      <c r="M210" s="230"/>
      <c r="N210" s="230"/>
      <c r="O210" s="230"/>
      <c r="P210" s="230"/>
      <c r="Q210" s="229" t="e">
        <f>IF(K210="nio",0,IF(K210&gt;0,K210*I210/W210,0))*VLOOKUP(B210,'2-Kosten per locatie'!$A$14:$C$25,3,FALSE)</f>
        <v>#DIV/0!</v>
      </c>
      <c r="R210" s="229">
        <f>IF(L210&gt;0,L210*I210/X210,0)*VLOOKUP(B210,'2-Kosten per locatie'!$A$14:$C$25,3,FALSE)</f>
        <v>0</v>
      </c>
      <c r="S210" s="229">
        <f>IF(M210&gt;0,M210*I210/Y210,0)*VLOOKUP(B210,'2-Kosten per locatie'!$A$14:$C$25,3,FALSE)</f>
        <v>0</v>
      </c>
      <c r="T210" s="229">
        <f>IF(N210&gt;0,N210*I210/Z210,0)*VLOOKUP(B210,'2-Kosten per locatie'!$A$14:$C$25,3,FALSE)</f>
        <v>0</v>
      </c>
      <c r="U210" s="229">
        <f>IF(O210&gt;0,O210*I210/Y210,0)*VLOOKUP(B210,'2-Kosten per locatie'!$A$14:$C$25,3,FALSE)</f>
        <v>0</v>
      </c>
      <c r="V210" s="229">
        <f>IF(P210&gt;0,P210*I210/Z210,0)*VLOOKUP(B210,'2-Kosten per locatie'!$A$14:$C$25,3,FALSE)</f>
        <v>0</v>
      </c>
      <c r="W210" s="307">
        <f>IF(K210="nio",0,IF(K210&gt;0,VLOOKUP(G210,'3-Productie normen'!A:R,VLOOKUP(K210,'3-Productie normen'!$B$29:$C$41,2,FALSE),FALSE)))</f>
        <v>0</v>
      </c>
      <c r="X210" s="307">
        <f t="shared" si="32"/>
        <v>0</v>
      </c>
      <c r="Y210" s="307">
        <f t="shared" si="33"/>
        <v>0</v>
      </c>
      <c r="Z210" s="307">
        <f t="shared" si="34"/>
        <v>0</v>
      </c>
      <c r="AA210" s="308">
        <f>VLOOKUP(G210,'3-Productie normen'!A:U,15,FALSE)</f>
        <v>0</v>
      </c>
      <c r="AB210" s="309">
        <f>VLOOKUP(G210,'3-Productie normen'!A:U,16,FALSE)</f>
        <v>84.322499999999991</v>
      </c>
      <c r="AC210" s="308"/>
      <c r="AE210" s="310">
        <f t="shared" si="35"/>
        <v>1708.5</v>
      </c>
    </row>
    <row r="211" spans="1:31" ht="14.1" hidden="1" customHeight="1">
      <c r="A211" s="75">
        <v>206</v>
      </c>
      <c r="B211" s="380" t="s">
        <v>58</v>
      </c>
      <c r="C211" s="276" t="s">
        <v>419</v>
      </c>
      <c r="D211" s="304" t="s">
        <v>420</v>
      </c>
      <c r="E211" s="305" t="s">
        <v>422</v>
      </c>
      <c r="F211" s="276" t="s">
        <v>184</v>
      </c>
      <c r="G211" s="276" t="s">
        <v>99</v>
      </c>
      <c r="H211" s="71" t="s">
        <v>165</v>
      </c>
      <c r="I211" s="388">
        <v>18.899999999999999</v>
      </c>
      <c r="J211" s="306">
        <f t="shared" si="31"/>
        <v>255</v>
      </c>
      <c r="K211" s="230">
        <v>255</v>
      </c>
      <c r="L211" s="230"/>
      <c r="M211" s="230"/>
      <c r="N211" s="230"/>
      <c r="O211" s="230"/>
      <c r="P211" s="230"/>
      <c r="Q211" s="229" t="e">
        <f>IF(K211="nio",0,IF(K211&gt;0,K211*I211/W211,0))*VLOOKUP(B211,'2-Kosten per locatie'!$A$14:$C$25,3,FALSE)</f>
        <v>#DIV/0!</v>
      </c>
      <c r="R211" s="229">
        <f>IF(L211&gt;0,L211*I211/X211,0)*VLOOKUP(B211,'2-Kosten per locatie'!$A$14:$C$25,3,FALSE)</f>
        <v>0</v>
      </c>
      <c r="S211" s="229">
        <f>IF(M211&gt;0,M211*I211/Y211,0)*VLOOKUP(B211,'2-Kosten per locatie'!$A$14:$C$25,3,FALSE)</f>
        <v>0</v>
      </c>
      <c r="T211" s="229">
        <f>IF(N211&gt;0,N211*I211/Z211,0)*VLOOKUP(B211,'2-Kosten per locatie'!$A$14:$C$25,3,FALSE)</f>
        <v>0</v>
      </c>
      <c r="U211" s="229">
        <f>IF(O211&gt;0,O211*I211/Y211,0)*VLOOKUP(B211,'2-Kosten per locatie'!$A$14:$C$25,3,FALSE)</f>
        <v>0</v>
      </c>
      <c r="V211" s="229">
        <f>IF(P211&gt;0,P211*I211/Z211,0)*VLOOKUP(B211,'2-Kosten per locatie'!$A$14:$C$25,3,FALSE)</f>
        <v>0</v>
      </c>
      <c r="W211" s="307">
        <f>IF(K211="nio",0,IF(K211&gt;0,VLOOKUP(G211,'3-Productie normen'!A:R,VLOOKUP(K211,'3-Productie normen'!$B$29:$C$41,2,FALSE),FALSE)))</f>
        <v>0</v>
      </c>
      <c r="X211" s="307">
        <f t="shared" si="32"/>
        <v>0</v>
      </c>
      <c r="Y211" s="307">
        <f t="shared" si="33"/>
        <v>0</v>
      </c>
      <c r="Z211" s="307">
        <f t="shared" si="34"/>
        <v>0</v>
      </c>
      <c r="AA211" s="308">
        <f>VLOOKUP(G211,'3-Productie normen'!A:U,15,FALSE)</f>
        <v>0</v>
      </c>
      <c r="AB211" s="309">
        <f>VLOOKUP(G211,'3-Productie normen'!A:U,16,FALSE)</f>
        <v>98.211600000000004</v>
      </c>
      <c r="AC211" s="308"/>
      <c r="AE211" s="310">
        <f t="shared" si="35"/>
        <v>4819.5</v>
      </c>
    </row>
    <row r="212" spans="1:31" ht="14.1" hidden="1" customHeight="1">
      <c r="A212" s="75">
        <v>207</v>
      </c>
      <c r="B212" s="380" t="s">
        <v>58</v>
      </c>
      <c r="C212" s="276" t="s">
        <v>419</v>
      </c>
      <c r="D212" s="304" t="s">
        <v>420</v>
      </c>
      <c r="E212" s="305" t="s">
        <v>423</v>
      </c>
      <c r="F212" s="71" t="s">
        <v>424</v>
      </c>
      <c r="G212" s="71" t="s">
        <v>98</v>
      </c>
      <c r="H212" s="71" t="s">
        <v>165</v>
      </c>
      <c r="I212" s="388">
        <v>2.6</v>
      </c>
      <c r="J212" s="306">
        <f t="shared" si="31"/>
        <v>255</v>
      </c>
      <c r="K212" s="230">
        <v>255</v>
      </c>
      <c r="L212" s="230"/>
      <c r="M212" s="230"/>
      <c r="N212" s="230"/>
      <c r="O212" s="230"/>
      <c r="P212" s="230"/>
      <c r="Q212" s="229" t="e">
        <f>IF(K212="nio",0,IF(K212&gt;0,K212*I212/W212,0))*VLOOKUP(B212,'2-Kosten per locatie'!$A$14:$C$25,3,FALSE)</f>
        <v>#DIV/0!</v>
      </c>
      <c r="R212" s="229">
        <f>IF(L212&gt;0,L212*I212/X212,0)*VLOOKUP(B212,'2-Kosten per locatie'!$A$14:$C$25,3,FALSE)</f>
        <v>0</v>
      </c>
      <c r="S212" s="229">
        <f>IF(M212&gt;0,M212*I212/Y212,0)*VLOOKUP(B212,'2-Kosten per locatie'!$A$14:$C$25,3,FALSE)</f>
        <v>0</v>
      </c>
      <c r="T212" s="229">
        <f>IF(N212&gt;0,N212*I212/Z212,0)*VLOOKUP(B212,'2-Kosten per locatie'!$A$14:$C$25,3,FALSE)</f>
        <v>0</v>
      </c>
      <c r="U212" s="229">
        <f>IF(O212&gt;0,O212*I212/Y212,0)*VLOOKUP(B212,'2-Kosten per locatie'!$A$14:$C$25,3,FALSE)</f>
        <v>0</v>
      </c>
      <c r="V212" s="229">
        <f>IF(P212&gt;0,P212*I212/Z212,0)*VLOOKUP(B212,'2-Kosten per locatie'!$A$14:$C$25,3,FALSE)</f>
        <v>0</v>
      </c>
      <c r="W212" s="307">
        <f>IF(K212="nio",0,IF(K212&gt;0,VLOOKUP(G212,'3-Productie normen'!A:R,VLOOKUP(K212,'3-Productie normen'!$B$29:$C$41,2,FALSE),FALSE)))</f>
        <v>0</v>
      </c>
      <c r="X212" s="307">
        <f t="shared" si="32"/>
        <v>0</v>
      </c>
      <c r="Y212" s="307">
        <f t="shared" si="33"/>
        <v>0</v>
      </c>
      <c r="Z212" s="307">
        <f t="shared" si="34"/>
        <v>0</v>
      </c>
      <c r="AA212" s="308">
        <f>VLOOKUP(G212,'3-Productie normen'!A:U,15,FALSE)</f>
        <v>0</v>
      </c>
      <c r="AB212" s="309">
        <f>VLOOKUP(G212,'3-Productie normen'!A:U,16,FALSE)</f>
        <v>467.3</v>
      </c>
      <c r="AC212" s="308"/>
      <c r="AE212" s="310">
        <f t="shared" si="35"/>
        <v>663</v>
      </c>
    </row>
    <row r="213" spans="1:31" ht="14.1" hidden="1" customHeight="1">
      <c r="A213" s="75">
        <v>208</v>
      </c>
      <c r="B213" s="380" t="s">
        <v>58</v>
      </c>
      <c r="C213" s="276" t="s">
        <v>419</v>
      </c>
      <c r="D213" s="304" t="s">
        <v>420</v>
      </c>
      <c r="E213" s="305" t="s">
        <v>425</v>
      </c>
      <c r="F213" s="71" t="s">
        <v>256</v>
      </c>
      <c r="G213" s="71" t="s">
        <v>105</v>
      </c>
      <c r="H213" s="71" t="s">
        <v>156</v>
      </c>
      <c r="I213" s="388">
        <v>3.3</v>
      </c>
      <c r="J213" s="306">
        <f t="shared" si="31"/>
        <v>156</v>
      </c>
      <c r="K213" s="230">
        <v>156</v>
      </c>
      <c r="L213" s="230"/>
      <c r="M213" s="230"/>
      <c r="N213" s="230"/>
      <c r="O213" s="230"/>
      <c r="P213" s="230"/>
      <c r="Q213" s="229" t="e">
        <f>IF(K213="nio",0,IF(K213&gt;0,K213*I213/W213,0))*VLOOKUP(B213,'2-Kosten per locatie'!$A$14:$C$25,3,FALSE)</f>
        <v>#DIV/0!</v>
      </c>
      <c r="R213" s="229">
        <f>IF(L213&gt;0,L213*I213/X213,0)*VLOOKUP(B213,'2-Kosten per locatie'!$A$14:$C$25,3,FALSE)</f>
        <v>0</v>
      </c>
      <c r="S213" s="229">
        <f>IF(M213&gt;0,M213*I213/Y213,0)*VLOOKUP(B213,'2-Kosten per locatie'!$A$14:$C$25,3,FALSE)</f>
        <v>0</v>
      </c>
      <c r="T213" s="229">
        <f>IF(N213&gt;0,N213*I213/Z213,0)*VLOOKUP(B213,'2-Kosten per locatie'!$A$14:$C$25,3,FALSE)</f>
        <v>0</v>
      </c>
      <c r="U213" s="229">
        <f>IF(O213&gt;0,O213*I213/Y213,0)*VLOOKUP(B213,'2-Kosten per locatie'!$A$14:$C$25,3,FALSE)</f>
        <v>0</v>
      </c>
      <c r="V213" s="229">
        <f>IF(P213&gt;0,P213*I213/Z213,0)*VLOOKUP(B213,'2-Kosten per locatie'!$A$14:$C$25,3,FALSE)</f>
        <v>0</v>
      </c>
      <c r="W213" s="307">
        <f>IF(K213="nio",0,IF(K213&gt;0,VLOOKUP(G213,'3-Productie normen'!A:R,VLOOKUP(K213,'3-Productie normen'!$B$29:$C$41,2,FALSE),FALSE)))</f>
        <v>0</v>
      </c>
      <c r="X213" s="307">
        <f t="shared" si="32"/>
        <v>0</v>
      </c>
      <c r="Y213" s="307">
        <f t="shared" si="33"/>
        <v>0</v>
      </c>
      <c r="Z213" s="307">
        <f t="shared" si="34"/>
        <v>0</v>
      </c>
      <c r="AA213" s="308">
        <f>VLOOKUP(G213,'3-Productie normen'!A:U,15,FALSE)</f>
        <v>0</v>
      </c>
      <c r="AB213" s="309">
        <f>VLOOKUP(G213,'3-Productie normen'!A:U,16,FALSE)</f>
        <v>75.828800000000015</v>
      </c>
      <c r="AC213" s="308"/>
      <c r="AE213" s="310">
        <f t="shared" si="35"/>
        <v>514.79999999999995</v>
      </c>
    </row>
    <row r="214" spans="1:31" ht="14.1" hidden="1" customHeight="1">
      <c r="A214" s="75">
        <v>209</v>
      </c>
      <c r="B214" s="380" t="s">
        <v>58</v>
      </c>
      <c r="C214" s="276" t="s">
        <v>419</v>
      </c>
      <c r="D214" s="304" t="s">
        <v>420</v>
      </c>
      <c r="E214" s="305" t="s">
        <v>426</v>
      </c>
      <c r="F214" s="71" t="s">
        <v>164</v>
      </c>
      <c r="G214" s="71" t="s">
        <v>103</v>
      </c>
      <c r="H214" s="71" t="s">
        <v>165</v>
      </c>
      <c r="I214" s="388">
        <v>1.9</v>
      </c>
      <c r="J214" s="306">
        <f t="shared" si="31"/>
        <v>255</v>
      </c>
      <c r="K214" s="230">
        <v>255</v>
      </c>
      <c r="L214" s="230"/>
      <c r="M214" s="230"/>
      <c r="N214" s="230"/>
      <c r="O214" s="230"/>
      <c r="P214" s="230"/>
      <c r="Q214" s="229" t="e">
        <f>IF(K214="nio",0,IF(K214&gt;0,K214*I214/W214,0))*VLOOKUP(B214,'2-Kosten per locatie'!$A$14:$C$25,3,FALSE)</f>
        <v>#DIV/0!</v>
      </c>
      <c r="R214" s="229">
        <f>IF(L214&gt;0,L214*I214/X214,0)*VLOOKUP(B214,'2-Kosten per locatie'!$A$14:$C$25,3,FALSE)</f>
        <v>0</v>
      </c>
      <c r="S214" s="229">
        <f>IF(M214&gt;0,M214*I214/Y214,0)*VLOOKUP(B214,'2-Kosten per locatie'!$A$14:$C$25,3,FALSE)</f>
        <v>0</v>
      </c>
      <c r="T214" s="229">
        <f>IF(N214&gt;0,N214*I214/Z214,0)*VLOOKUP(B214,'2-Kosten per locatie'!$A$14:$C$25,3,FALSE)</f>
        <v>0</v>
      </c>
      <c r="U214" s="229">
        <f>IF(O214&gt;0,O214*I214/Y214,0)*VLOOKUP(B214,'2-Kosten per locatie'!$A$14:$C$25,3,FALSE)</f>
        <v>0</v>
      </c>
      <c r="V214" s="229">
        <f>IF(P214&gt;0,P214*I214/Z214,0)*VLOOKUP(B214,'2-Kosten per locatie'!$A$14:$C$25,3,FALSE)</f>
        <v>0</v>
      </c>
      <c r="W214" s="307">
        <f>IF(K214="nio",0,IF(K214&gt;0,VLOOKUP(G214,'3-Productie normen'!A:R,VLOOKUP(K214,'3-Productie normen'!$B$29:$C$41,2,FALSE),FALSE)))</f>
        <v>0</v>
      </c>
      <c r="X214" s="307">
        <f t="shared" si="32"/>
        <v>0</v>
      </c>
      <c r="Y214" s="307">
        <f t="shared" si="33"/>
        <v>0</v>
      </c>
      <c r="Z214" s="307">
        <f t="shared" si="34"/>
        <v>0</v>
      </c>
      <c r="AA214" s="308">
        <f>VLOOKUP(G214,'3-Productie normen'!A:U,15,FALSE)</f>
        <v>0</v>
      </c>
      <c r="AB214" s="309">
        <f>VLOOKUP(G214,'3-Productie normen'!A:U,16,FALSE)</f>
        <v>198.56500000000014</v>
      </c>
      <c r="AC214" s="308"/>
      <c r="AE214" s="310">
        <f t="shared" si="35"/>
        <v>484.5</v>
      </c>
    </row>
    <row r="215" spans="1:31" ht="14.1" hidden="1" customHeight="1">
      <c r="A215" s="75">
        <v>210</v>
      </c>
      <c r="B215" s="380" t="s">
        <v>58</v>
      </c>
      <c r="C215" s="276" t="s">
        <v>419</v>
      </c>
      <c r="D215" s="304" t="s">
        <v>420</v>
      </c>
      <c r="E215" s="305" t="s">
        <v>427</v>
      </c>
      <c r="F215" s="71" t="s">
        <v>428</v>
      </c>
      <c r="G215" s="71" t="s">
        <v>107</v>
      </c>
      <c r="H215" s="71" t="s">
        <v>223</v>
      </c>
      <c r="I215" s="388">
        <v>155.1</v>
      </c>
      <c r="J215" s="306">
        <v>12</v>
      </c>
      <c r="K215" s="230">
        <v>255</v>
      </c>
      <c r="L215" s="230"/>
      <c r="M215" s="230"/>
      <c r="N215" s="230"/>
      <c r="O215" s="230"/>
      <c r="P215" s="230"/>
      <c r="Q215" s="229" t="e">
        <f>IF(K215="nio",0,IF(K215&gt;0,K215*I215/W215,0))*VLOOKUP(B215,'2-Kosten per locatie'!$A$14:$C$25,3,FALSE)</f>
        <v>#DIV/0!</v>
      </c>
      <c r="R215" s="229">
        <f>IF(L215&gt;0,L215*I215/X215,0)*VLOOKUP(B215,'2-Kosten per locatie'!$A$14:$C$25,3,FALSE)</f>
        <v>0</v>
      </c>
      <c r="S215" s="229">
        <f>IF(M215&gt;0,M215*I215/Y215,0)*VLOOKUP(B215,'2-Kosten per locatie'!$A$14:$C$25,3,FALSE)</f>
        <v>0</v>
      </c>
      <c r="T215" s="229">
        <f>IF(N215&gt;0,N215*I215/Z215,0)*VLOOKUP(B215,'2-Kosten per locatie'!$A$14:$C$25,3,FALSE)</f>
        <v>0</v>
      </c>
      <c r="U215" s="229">
        <f>IF(O215&gt;0,O215*I215/Y215,0)*VLOOKUP(B215,'2-Kosten per locatie'!$A$14:$C$25,3,FALSE)</f>
        <v>0</v>
      </c>
      <c r="V215" s="229">
        <f>IF(P215&gt;0,P215*I215/Z215,0)*VLOOKUP(B215,'2-Kosten per locatie'!$A$14:$C$25,3,FALSE)</f>
        <v>0</v>
      </c>
      <c r="W215" s="307">
        <f>IF(K215="nio",0,IF(K215&gt;0,VLOOKUP(G215,'3-Productie normen'!A:R,VLOOKUP(K215,'3-Productie normen'!$B$29:$C$41,2,FALSE),FALSE)))</f>
        <v>0</v>
      </c>
      <c r="X215" s="307">
        <f t="shared" si="32"/>
        <v>0</v>
      </c>
      <c r="Y215" s="307">
        <f t="shared" si="33"/>
        <v>0</v>
      </c>
      <c r="Z215" s="307">
        <f t="shared" si="34"/>
        <v>0</v>
      </c>
      <c r="AA215" s="308">
        <f>VLOOKUP(G215,'3-Productie normen'!A:U,15,FALSE)</f>
        <v>0</v>
      </c>
      <c r="AB215" s="309">
        <f>VLOOKUP(G215,'3-Productie normen'!A:U,16,FALSE)</f>
        <v>479.64999999999992</v>
      </c>
      <c r="AC215" s="308"/>
      <c r="AE215" s="310">
        <f t="shared" si="35"/>
        <v>1861.1999999999998</v>
      </c>
    </row>
    <row r="216" spans="1:31" ht="14.1" hidden="1" customHeight="1">
      <c r="A216" s="75">
        <v>211</v>
      </c>
      <c r="B216" s="380" t="s">
        <v>58</v>
      </c>
      <c r="C216" s="276" t="s">
        <v>419</v>
      </c>
      <c r="D216" s="304" t="s">
        <v>420</v>
      </c>
      <c r="E216" s="305" t="s">
        <v>429</v>
      </c>
      <c r="F216" s="276" t="s">
        <v>430</v>
      </c>
      <c r="G216" s="276" t="s">
        <v>100</v>
      </c>
      <c r="H216" s="71" t="s">
        <v>165</v>
      </c>
      <c r="I216" s="388">
        <v>13.4</v>
      </c>
      <c r="J216" s="306">
        <f t="shared" si="31"/>
        <v>255</v>
      </c>
      <c r="K216" s="230">
        <v>255</v>
      </c>
      <c r="L216" s="230"/>
      <c r="M216" s="230"/>
      <c r="N216" s="230"/>
      <c r="O216" s="230"/>
      <c r="P216" s="230"/>
      <c r="Q216" s="229" t="e">
        <f>IF(K216="nio",0,IF(K216&gt;0,K216*I216/W216,0))*VLOOKUP(B216,'2-Kosten per locatie'!$A$14:$C$25,3,FALSE)</f>
        <v>#DIV/0!</v>
      </c>
      <c r="R216" s="229">
        <f>IF(L216&gt;0,L216*I216/X216,0)*VLOOKUP(B216,'2-Kosten per locatie'!$A$14:$C$25,3,FALSE)</f>
        <v>0</v>
      </c>
      <c r="S216" s="229">
        <f>IF(M216&gt;0,M216*I216/Y216,0)*VLOOKUP(B216,'2-Kosten per locatie'!$A$14:$C$25,3,FALSE)</f>
        <v>0</v>
      </c>
      <c r="T216" s="229">
        <f>IF(N216&gt;0,N216*I216/Z216,0)*VLOOKUP(B216,'2-Kosten per locatie'!$A$14:$C$25,3,FALSE)</f>
        <v>0</v>
      </c>
      <c r="U216" s="229">
        <f>IF(O216&gt;0,O216*I216/Y216,0)*VLOOKUP(B216,'2-Kosten per locatie'!$A$14:$C$25,3,FALSE)</f>
        <v>0</v>
      </c>
      <c r="V216" s="229">
        <f>IF(P216&gt;0,P216*I216/Z216,0)*VLOOKUP(B216,'2-Kosten per locatie'!$A$14:$C$25,3,FALSE)</f>
        <v>0</v>
      </c>
      <c r="W216" s="307">
        <f>IF(K216="nio",0,IF(K216&gt;0,VLOOKUP(G216,'3-Productie normen'!A:R,VLOOKUP(K216,'3-Productie normen'!$B$29:$C$41,2,FALSE),FALSE)))</f>
        <v>0</v>
      </c>
      <c r="X216" s="307">
        <f t="shared" si="32"/>
        <v>0</v>
      </c>
      <c r="Y216" s="307">
        <f t="shared" si="33"/>
        <v>0</v>
      </c>
      <c r="Z216" s="307">
        <f t="shared" si="34"/>
        <v>0</v>
      </c>
      <c r="AA216" s="308">
        <f>VLOOKUP(G216,'3-Productie normen'!A:U,15,FALSE)</f>
        <v>0</v>
      </c>
      <c r="AB216" s="309">
        <f>VLOOKUP(G216,'3-Productie normen'!A:U,16,FALSE)</f>
        <v>455.57899999999995</v>
      </c>
      <c r="AC216" s="308"/>
      <c r="AE216" s="310">
        <f t="shared" si="35"/>
        <v>3417</v>
      </c>
    </row>
    <row r="217" spans="1:31" ht="14.1" hidden="1" customHeight="1">
      <c r="A217" s="75">
        <v>212</v>
      </c>
      <c r="B217" s="380" t="s">
        <v>58</v>
      </c>
      <c r="C217" s="276" t="s">
        <v>419</v>
      </c>
      <c r="D217" s="304" t="s">
        <v>420</v>
      </c>
      <c r="E217" s="305" t="s">
        <v>431</v>
      </c>
      <c r="F217" s="276" t="s">
        <v>230</v>
      </c>
      <c r="G217" s="276" t="s">
        <v>265</v>
      </c>
      <c r="H217" s="71" t="s">
        <v>165</v>
      </c>
      <c r="I217" s="388">
        <v>2.9</v>
      </c>
      <c r="J217" s="306">
        <f t="shared" si="31"/>
        <v>255</v>
      </c>
      <c r="K217" s="230">
        <v>255</v>
      </c>
      <c r="L217" s="230"/>
      <c r="M217" s="230"/>
      <c r="N217" s="230"/>
      <c r="O217" s="230"/>
      <c r="P217" s="230"/>
      <c r="Q217" s="229" t="e">
        <f>IF(K217="nio",0,IF(K217&gt;0,K217*I217/W217,0))*VLOOKUP(B217,'2-Kosten per locatie'!$A$14:$C$25,3,FALSE)</f>
        <v>#DIV/0!</v>
      </c>
      <c r="R217" s="229">
        <f>IF(L217&gt;0,L217*I217/X217,0)*VLOOKUP(B217,'2-Kosten per locatie'!$A$14:$C$25,3,FALSE)</f>
        <v>0</v>
      </c>
      <c r="S217" s="229">
        <f>IF(M217&gt;0,M217*I217/Y217,0)*VLOOKUP(B217,'2-Kosten per locatie'!$A$14:$C$25,3,FALSE)</f>
        <v>0</v>
      </c>
      <c r="T217" s="229">
        <f>IF(N217&gt;0,N217*I217/Z217,0)*VLOOKUP(B217,'2-Kosten per locatie'!$A$14:$C$25,3,FALSE)</f>
        <v>0</v>
      </c>
      <c r="U217" s="229">
        <f>IF(O217&gt;0,O217*I217/Y217,0)*VLOOKUP(B217,'2-Kosten per locatie'!$A$14:$C$25,3,FALSE)</f>
        <v>0</v>
      </c>
      <c r="V217" s="229">
        <f>IF(P217&gt;0,P217*I217/Z217,0)*VLOOKUP(B217,'2-Kosten per locatie'!$A$14:$C$25,3,FALSE)</f>
        <v>0</v>
      </c>
      <c r="W217" s="307">
        <f>IF(K217="nio",0,IF(K217&gt;0,VLOOKUP(G217,'3-Productie normen'!A:R,VLOOKUP(K217,'3-Productie normen'!$B$29:$C$41,2,FALSE),FALSE)))</f>
        <v>0</v>
      </c>
      <c r="X217" s="307">
        <f t="shared" si="32"/>
        <v>0</v>
      </c>
      <c r="Y217" s="307">
        <f t="shared" si="33"/>
        <v>0</v>
      </c>
      <c r="Z217" s="307">
        <f t="shared" si="34"/>
        <v>0</v>
      </c>
      <c r="AA217" s="308">
        <f>VLOOKUP(G217,'3-Productie normen'!A:U,15,FALSE)</f>
        <v>0</v>
      </c>
      <c r="AB217" s="309">
        <f>VLOOKUP(G217,'3-Productie normen'!A:U,16,FALSE)</f>
        <v>76.59999999999998</v>
      </c>
      <c r="AC217" s="308"/>
      <c r="AE217" s="310">
        <f t="shared" si="35"/>
        <v>739.5</v>
      </c>
    </row>
    <row r="218" spans="1:31" ht="14.1" hidden="1" customHeight="1">
      <c r="A218" s="75">
        <v>213</v>
      </c>
      <c r="B218" s="380" t="s">
        <v>58</v>
      </c>
      <c r="C218" s="276" t="s">
        <v>419</v>
      </c>
      <c r="D218" s="304" t="s">
        <v>420</v>
      </c>
      <c r="E218" s="305" t="s">
        <v>432</v>
      </c>
      <c r="F218" s="276" t="s">
        <v>433</v>
      </c>
      <c r="G218" s="276" t="s">
        <v>103</v>
      </c>
      <c r="H218" s="71" t="s">
        <v>165</v>
      </c>
      <c r="I218" s="388">
        <v>1.9</v>
      </c>
      <c r="J218" s="306">
        <f t="shared" si="31"/>
        <v>255</v>
      </c>
      <c r="K218" s="230">
        <v>255</v>
      </c>
      <c r="L218" s="230"/>
      <c r="M218" s="230"/>
      <c r="N218" s="230"/>
      <c r="O218" s="230"/>
      <c r="P218" s="230"/>
      <c r="Q218" s="229" t="e">
        <f>IF(K218="nio",0,IF(K218&gt;0,K218*I218/W218,0))*VLOOKUP(B218,'2-Kosten per locatie'!$A$14:$C$25,3,FALSE)</f>
        <v>#DIV/0!</v>
      </c>
      <c r="R218" s="229">
        <f>IF(L218&gt;0,L218*I218/X218,0)*VLOOKUP(B218,'2-Kosten per locatie'!$A$14:$C$25,3,FALSE)</f>
        <v>0</v>
      </c>
      <c r="S218" s="229">
        <f>IF(M218&gt;0,M218*I218/Y218,0)*VLOOKUP(B218,'2-Kosten per locatie'!$A$14:$C$25,3,FALSE)</f>
        <v>0</v>
      </c>
      <c r="T218" s="229">
        <f>IF(N218&gt;0,N218*I218/Z218,0)*VLOOKUP(B218,'2-Kosten per locatie'!$A$14:$C$25,3,FALSE)</f>
        <v>0</v>
      </c>
      <c r="U218" s="229">
        <f>IF(O218&gt;0,O218*I218/Y218,0)*VLOOKUP(B218,'2-Kosten per locatie'!$A$14:$C$25,3,FALSE)</f>
        <v>0</v>
      </c>
      <c r="V218" s="229">
        <f>IF(P218&gt;0,P218*I218/Z218,0)*VLOOKUP(B218,'2-Kosten per locatie'!$A$14:$C$25,3,FALSE)</f>
        <v>0</v>
      </c>
      <c r="W218" s="307">
        <f>IF(K218="nio",0,IF(K218&gt;0,VLOOKUP(G218,'3-Productie normen'!A:R,VLOOKUP(K218,'3-Productie normen'!$B$29:$C$41,2,FALSE),FALSE)))</f>
        <v>0</v>
      </c>
      <c r="X218" s="307">
        <f t="shared" si="32"/>
        <v>0</v>
      </c>
      <c r="Y218" s="307">
        <f t="shared" si="33"/>
        <v>0</v>
      </c>
      <c r="Z218" s="307">
        <f t="shared" si="34"/>
        <v>0</v>
      </c>
      <c r="AA218" s="308">
        <f>VLOOKUP(G218,'3-Productie normen'!A:U,15,FALSE)</f>
        <v>0</v>
      </c>
      <c r="AB218" s="309">
        <f>VLOOKUP(G218,'3-Productie normen'!A:U,16,FALSE)</f>
        <v>198.56500000000014</v>
      </c>
      <c r="AC218" s="308"/>
      <c r="AE218" s="310">
        <f t="shared" si="35"/>
        <v>484.5</v>
      </c>
    </row>
    <row r="219" spans="1:31" ht="14.1" hidden="1" customHeight="1">
      <c r="A219" s="75">
        <v>214</v>
      </c>
      <c r="B219" s="380" t="s">
        <v>58</v>
      </c>
      <c r="C219" s="276" t="s">
        <v>419</v>
      </c>
      <c r="D219" s="304" t="s">
        <v>420</v>
      </c>
      <c r="E219" s="305" t="s">
        <v>434</v>
      </c>
      <c r="F219" s="71" t="s">
        <v>435</v>
      </c>
      <c r="G219" s="71" t="s">
        <v>105</v>
      </c>
      <c r="H219" s="71" t="s">
        <v>156</v>
      </c>
      <c r="I219" s="388">
        <v>5.4</v>
      </c>
      <c r="J219" s="306">
        <f t="shared" si="31"/>
        <v>156</v>
      </c>
      <c r="K219" s="230">
        <v>156</v>
      </c>
      <c r="L219" s="230"/>
      <c r="M219" s="230"/>
      <c r="N219" s="230"/>
      <c r="O219" s="230"/>
      <c r="P219" s="230"/>
      <c r="Q219" s="229" t="e">
        <f>IF(K219="nio",0,IF(K219&gt;0,K219*I219/W219,0))*VLOOKUP(B219,'2-Kosten per locatie'!$A$14:$C$25,3,FALSE)</f>
        <v>#DIV/0!</v>
      </c>
      <c r="R219" s="229">
        <f>IF(L219&gt;0,L219*I219/X219,0)*VLOOKUP(B219,'2-Kosten per locatie'!$A$14:$C$25,3,FALSE)</f>
        <v>0</v>
      </c>
      <c r="S219" s="229">
        <f>IF(M219&gt;0,M219*I219/Y219,0)*VLOOKUP(B219,'2-Kosten per locatie'!$A$14:$C$25,3,FALSE)</f>
        <v>0</v>
      </c>
      <c r="T219" s="229">
        <f>IF(N219&gt;0,N219*I219/Z219,0)*VLOOKUP(B219,'2-Kosten per locatie'!$A$14:$C$25,3,FALSE)</f>
        <v>0</v>
      </c>
      <c r="U219" s="229">
        <f>IF(O219&gt;0,O219*I219/Y219,0)*VLOOKUP(B219,'2-Kosten per locatie'!$A$14:$C$25,3,FALSE)</f>
        <v>0</v>
      </c>
      <c r="V219" s="229">
        <f>IF(P219&gt;0,P219*I219/Z219,0)*VLOOKUP(B219,'2-Kosten per locatie'!$A$14:$C$25,3,FALSE)</f>
        <v>0</v>
      </c>
      <c r="W219" s="307">
        <f>IF(K219="nio",0,IF(K219&gt;0,VLOOKUP(G219,'3-Productie normen'!A:R,VLOOKUP(K219,'3-Productie normen'!$B$29:$C$41,2,FALSE),FALSE)))</f>
        <v>0</v>
      </c>
      <c r="X219" s="307">
        <f t="shared" si="32"/>
        <v>0</v>
      </c>
      <c r="Y219" s="307">
        <f t="shared" si="33"/>
        <v>0</v>
      </c>
      <c r="Z219" s="307">
        <f t="shared" si="34"/>
        <v>0</v>
      </c>
      <c r="AA219" s="308">
        <f>VLOOKUP(G219,'3-Productie normen'!A:U,15,FALSE)</f>
        <v>0</v>
      </c>
      <c r="AB219" s="309">
        <f>VLOOKUP(G219,'3-Productie normen'!A:U,16,FALSE)</f>
        <v>75.828800000000015</v>
      </c>
      <c r="AC219" s="308"/>
      <c r="AE219" s="310">
        <f t="shared" si="35"/>
        <v>842.40000000000009</v>
      </c>
    </row>
    <row r="220" spans="1:31" ht="14.1" hidden="1" customHeight="1">
      <c r="A220" s="75">
        <v>215</v>
      </c>
      <c r="B220" s="380" t="s">
        <v>58</v>
      </c>
      <c r="C220" s="276" t="s">
        <v>419</v>
      </c>
      <c r="D220" s="304">
        <v>1</v>
      </c>
      <c r="E220" s="305" t="s">
        <v>436</v>
      </c>
      <c r="F220" s="71" t="s">
        <v>430</v>
      </c>
      <c r="G220" s="71" t="s">
        <v>100</v>
      </c>
      <c r="H220" s="71" t="s">
        <v>165</v>
      </c>
      <c r="I220" s="388">
        <v>13.2</v>
      </c>
      <c r="J220" s="306">
        <f t="shared" si="31"/>
        <v>255</v>
      </c>
      <c r="K220" s="230">
        <v>255</v>
      </c>
      <c r="L220" s="230"/>
      <c r="M220" s="230"/>
      <c r="N220" s="230"/>
      <c r="O220" s="230"/>
      <c r="P220" s="230"/>
      <c r="Q220" s="229" t="e">
        <f>IF(K220="nio",0,IF(K220&gt;0,K220*I220/W220,0))*VLOOKUP(B220,'2-Kosten per locatie'!$A$14:$C$25,3,FALSE)</f>
        <v>#DIV/0!</v>
      </c>
      <c r="R220" s="229">
        <f>IF(L220&gt;0,L220*I220/X220,0)*VLOOKUP(B220,'2-Kosten per locatie'!$A$14:$C$25,3,FALSE)</f>
        <v>0</v>
      </c>
      <c r="S220" s="229">
        <f>IF(M220&gt;0,M220*I220/Y220,0)*VLOOKUP(B220,'2-Kosten per locatie'!$A$14:$C$25,3,FALSE)</f>
        <v>0</v>
      </c>
      <c r="T220" s="229">
        <f>IF(N220&gt;0,N220*I220/Z220,0)*VLOOKUP(B220,'2-Kosten per locatie'!$A$14:$C$25,3,FALSE)</f>
        <v>0</v>
      </c>
      <c r="U220" s="229">
        <f>IF(O220&gt;0,O220*I220/Y220,0)*VLOOKUP(B220,'2-Kosten per locatie'!$A$14:$C$25,3,FALSE)</f>
        <v>0</v>
      </c>
      <c r="V220" s="229">
        <f>IF(P220&gt;0,P220*I220/Z220,0)*VLOOKUP(B220,'2-Kosten per locatie'!$A$14:$C$25,3,FALSE)</f>
        <v>0</v>
      </c>
      <c r="W220" s="307">
        <f>IF(K220="nio",0,IF(K220&gt;0,VLOOKUP(G220,'3-Productie normen'!A:R,VLOOKUP(K220,'3-Productie normen'!$B$29:$C$41,2,FALSE),FALSE)))</f>
        <v>0</v>
      </c>
      <c r="X220" s="307">
        <f t="shared" si="32"/>
        <v>0</v>
      </c>
      <c r="Y220" s="307">
        <f t="shared" si="33"/>
        <v>0</v>
      </c>
      <c r="Z220" s="307">
        <f t="shared" si="34"/>
        <v>0</v>
      </c>
      <c r="AA220" s="308">
        <f>VLOOKUP(G220,'3-Productie normen'!A:U,15,FALSE)</f>
        <v>0</v>
      </c>
      <c r="AB220" s="309">
        <f>VLOOKUP(G220,'3-Productie normen'!A:U,16,FALSE)</f>
        <v>455.57899999999995</v>
      </c>
      <c r="AC220" s="308"/>
      <c r="AE220" s="310">
        <f t="shared" si="35"/>
        <v>3366</v>
      </c>
    </row>
    <row r="221" spans="1:31" ht="14.1" hidden="1" customHeight="1">
      <c r="A221" s="75">
        <v>216</v>
      </c>
      <c r="B221" s="380" t="s">
        <v>58</v>
      </c>
      <c r="C221" s="276" t="s">
        <v>419</v>
      </c>
      <c r="D221" s="304">
        <v>1</v>
      </c>
      <c r="E221" s="305" t="s">
        <v>437</v>
      </c>
      <c r="F221" s="71" t="s">
        <v>230</v>
      </c>
      <c r="G221" s="71" t="s">
        <v>265</v>
      </c>
      <c r="H221" s="71" t="s">
        <v>165</v>
      </c>
      <c r="I221" s="388">
        <v>2.9</v>
      </c>
      <c r="J221" s="306">
        <f t="shared" si="31"/>
        <v>255</v>
      </c>
      <c r="K221" s="230">
        <v>255</v>
      </c>
      <c r="L221" s="230"/>
      <c r="M221" s="230"/>
      <c r="N221" s="230"/>
      <c r="O221" s="230"/>
      <c r="P221" s="230"/>
      <c r="Q221" s="229" t="e">
        <f>IF(K221="nio",0,IF(K221&gt;0,K221*I221/W221,0))*VLOOKUP(B221,'2-Kosten per locatie'!$A$14:$C$25,3,FALSE)</f>
        <v>#DIV/0!</v>
      </c>
      <c r="R221" s="229">
        <f>IF(L221&gt;0,L221*I221/X221,0)*VLOOKUP(B221,'2-Kosten per locatie'!$A$14:$C$25,3,FALSE)</f>
        <v>0</v>
      </c>
      <c r="S221" s="229">
        <f>IF(M221&gt;0,M221*I221/Y221,0)*VLOOKUP(B221,'2-Kosten per locatie'!$A$14:$C$25,3,FALSE)</f>
        <v>0</v>
      </c>
      <c r="T221" s="229">
        <f>IF(N221&gt;0,N221*I221/Z221,0)*VLOOKUP(B221,'2-Kosten per locatie'!$A$14:$C$25,3,FALSE)</f>
        <v>0</v>
      </c>
      <c r="U221" s="229">
        <f>IF(O221&gt;0,O221*I221/Y221,0)*VLOOKUP(B221,'2-Kosten per locatie'!$A$14:$C$25,3,FALSE)</f>
        <v>0</v>
      </c>
      <c r="V221" s="229">
        <f>IF(P221&gt;0,P221*I221/Z221,0)*VLOOKUP(B221,'2-Kosten per locatie'!$A$14:$C$25,3,FALSE)</f>
        <v>0</v>
      </c>
      <c r="W221" s="307">
        <f>IF(K221="nio",0,IF(K221&gt;0,VLOOKUP(G221,'3-Productie normen'!A:R,VLOOKUP(K221,'3-Productie normen'!$B$29:$C$41,2,FALSE),FALSE)))</f>
        <v>0</v>
      </c>
      <c r="X221" s="307">
        <f t="shared" si="32"/>
        <v>0</v>
      </c>
      <c r="Y221" s="307">
        <f t="shared" si="33"/>
        <v>0</v>
      </c>
      <c r="Z221" s="307">
        <f t="shared" si="34"/>
        <v>0</v>
      </c>
      <c r="AA221" s="308">
        <f>VLOOKUP(G221,'3-Productie normen'!A:U,15,FALSE)</f>
        <v>0</v>
      </c>
      <c r="AB221" s="309">
        <f>VLOOKUP(G221,'3-Productie normen'!A:U,16,FALSE)</f>
        <v>76.59999999999998</v>
      </c>
      <c r="AC221" s="308"/>
      <c r="AE221" s="310">
        <f t="shared" si="35"/>
        <v>739.5</v>
      </c>
    </row>
    <row r="222" spans="1:31" ht="14.1" hidden="1" customHeight="1">
      <c r="A222" s="75">
        <v>217</v>
      </c>
      <c r="B222" s="380" t="s">
        <v>58</v>
      </c>
      <c r="C222" s="276" t="s">
        <v>419</v>
      </c>
      <c r="D222" s="304">
        <v>1</v>
      </c>
      <c r="E222" s="305" t="s">
        <v>438</v>
      </c>
      <c r="F222" s="71" t="s">
        <v>433</v>
      </c>
      <c r="G222" s="71" t="s">
        <v>103</v>
      </c>
      <c r="H222" s="71" t="s">
        <v>165</v>
      </c>
      <c r="I222" s="388">
        <v>1.9</v>
      </c>
      <c r="J222" s="306">
        <f t="shared" si="31"/>
        <v>255</v>
      </c>
      <c r="K222" s="230">
        <v>255</v>
      </c>
      <c r="L222" s="230"/>
      <c r="M222" s="230"/>
      <c r="N222" s="230"/>
      <c r="O222" s="230"/>
      <c r="P222" s="230"/>
      <c r="Q222" s="229" t="e">
        <f>IF(K222="nio",0,IF(K222&gt;0,K222*I222/W222,0))*VLOOKUP(B222,'2-Kosten per locatie'!$A$14:$C$25,3,FALSE)</f>
        <v>#DIV/0!</v>
      </c>
      <c r="R222" s="229">
        <f>IF(L222&gt;0,L222*I222/X222,0)*VLOOKUP(B222,'2-Kosten per locatie'!$A$14:$C$25,3,FALSE)</f>
        <v>0</v>
      </c>
      <c r="S222" s="229">
        <f>IF(M222&gt;0,M222*I222/Y222,0)*VLOOKUP(B222,'2-Kosten per locatie'!$A$14:$C$25,3,FALSE)</f>
        <v>0</v>
      </c>
      <c r="T222" s="229">
        <f>IF(N222&gt;0,N222*I222/Z222,0)*VLOOKUP(B222,'2-Kosten per locatie'!$A$14:$C$25,3,FALSE)</f>
        <v>0</v>
      </c>
      <c r="U222" s="229">
        <f>IF(O222&gt;0,O222*I222/Y222,0)*VLOOKUP(B222,'2-Kosten per locatie'!$A$14:$C$25,3,FALSE)</f>
        <v>0</v>
      </c>
      <c r="V222" s="229">
        <f>IF(P222&gt;0,P222*I222/Z222,0)*VLOOKUP(B222,'2-Kosten per locatie'!$A$14:$C$25,3,FALSE)</f>
        <v>0</v>
      </c>
      <c r="W222" s="307">
        <f>IF(K222="nio",0,IF(K222&gt;0,VLOOKUP(G222,'3-Productie normen'!A:R,VLOOKUP(K222,'3-Productie normen'!$B$29:$C$41,2,FALSE),FALSE)))</f>
        <v>0</v>
      </c>
      <c r="X222" s="307">
        <f t="shared" si="32"/>
        <v>0</v>
      </c>
      <c r="Y222" s="307">
        <f t="shared" si="33"/>
        <v>0</v>
      </c>
      <c r="Z222" s="307">
        <f t="shared" si="34"/>
        <v>0</v>
      </c>
      <c r="AA222" s="308">
        <f>VLOOKUP(G222,'3-Productie normen'!A:U,15,FALSE)</f>
        <v>0</v>
      </c>
      <c r="AB222" s="309">
        <f>VLOOKUP(G222,'3-Productie normen'!A:U,16,FALSE)</f>
        <v>198.56500000000014</v>
      </c>
      <c r="AC222" s="308"/>
      <c r="AE222" s="310">
        <f t="shared" si="35"/>
        <v>484.5</v>
      </c>
    </row>
    <row r="223" spans="1:31" ht="14.1" hidden="1" customHeight="1">
      <c r="A223" s="75">
        <v>218</v>
      </c>
      <c r="B223" s="380" t="s">
        <v>58</v>
      </c>
      <c r="C223" s="276" t="s">
        <v>419</v>
      </c>
      <c r="D223" s="304">
        <v>1</v>
      </c>
      <c r="E223" s="305" t="s">
        <v>439</v>
      </c>
      <c r="F223" s="311" t="s">
        <v>163</v>
      </c>
      <c r="G223" s="311" t="s">
        <v>92</v>
      </c>
      <c r="H223" s="71" t="s">
        <v>156</v>
      </c>
      <c r="I223" s="388">
        <v>30.3</v>
      </c>
      <c r="J223" s="306">
        <f t="shared" si="31"/>
        <v>104</v>
      </c>
      <c r="K223" s="230">
        <v>104</v>
      </c>
      <c r="L223" s="230"/>
      <c r="M223" s="230"/>
      <c r="N223" s="230"/>
      <c r="O223" s="230"/>
      <c r="P223" s="230"/>
      <c r="Q223" s="229" t="e">
        <f>IF(K223="nio",0,IF(K223&gt;0,K223*I223/W223,0))*VLOOKUP(B223,'2-Kosten per locatie'!$A$14:$C$25,3,FALSE)</f>
        <v>#DIV/0!</v>
      </c>
      <c r="R223" s="229">
        <f>IF(L223&gt;0,L223*I223/X223,0)*VLOOKUP(B223,'2-Kosten per locatie'!$A$14:$C$25,3,FALSE)</f>
        <v>0</v>
      </c>
      <c r="S223" s="229">
        <f>IF(M223&gt;0,M223*I223/Y223,0)*VLOOKUP(B223,'2-Kosten per locatie'!$A$14:$C$25,3,FALSE)</f>
        <v>0</v>
      </c>
      <c r="T223" s="229">
        <f>IF(N223&gt;0,N223*I223/Z223,0)*VLOOKUP(B223,'2-Kosten per locatie'!$A$14:$C$25,3,FALSE)</f>
        <v>0</v>
      </c>
      <c r="U223" s="229">
        <f>IF(O223&gt;0,O223*I223/Y223,0)*VLOOKUP(B223,'2-Kosten per locatie'!$A$14:$C$25,3,FALSE)</f>
        <v>0</v>
      </c>
      <c r="V223" s="229">
        <f>IF(P223&gt;0,P223*I223/Z223,0)*VLOOKUP(B223,'2-Kosten per locatie'!$A$14:$C$25,3,FALSE)</f>
        <v>0</v>
      </c>
      <c r="W223" s="307">
        <f>IF(K223="nio",0,IF(K223&gt;0,VLOOKUP(G223,'3-Productie normen'!A:R,VLOOKUP(K223,'3-Productie normen'!$B$29:$C$41,2,FALSE),FALSE)))</f>
        <v>0</v>
      </c>
      <c r="X223" s="307">
        <f t="shared" si="32"/>
        <v>0</v>
      </c>
      <c r="Y223" s="307">
        <f t="shared" si="33"/>
        <v>0</v>
      </c>
      <c r="Z223" s="307">
        <f t="shared" si="34"/>
        <v>0</v>
      </c>
      <c r="AA223" s="308">
        <f>VLOOKUP(G223,'3-Productie normen'!A:U,15,FALSE)</f>
        <v>0</v>
      </c>
      <c r="AB223" s="309">
        <f>VLOOKUP(G223,'3-Productie normen'!A:U,16,FALSE)</f>
        <v>915.88999999999976</v>
      </c>
      <c r="AC223" s="308"/>
      <c r="AE223" s="310">
        <f t="shared" si="35"/>
        <v>3151.2000000000003</v>
      </c>
    </row>
    <row r="224" spans="1:31" ht="14.1" hidden="1" customHeight="1">
      <c r="A224" s="75">
        <v>219</v>
      </c>
      <c r="B224" s="380" t="s">
        <v>58</v>
      </c>
      <c r="C224" s="276" t="s">
        <v>419</v>
      </c>
      <c r="D224" s="304">
        <v>1</v>
      </c>
      <c r="E224" s="305" t="s">
        <v>440</v>
      </c>
      <c r="F224" s="71" t="s">
        <v>163</v>
      </c>
      <c r="G224" s="71" t="s">
        <v>92</v>
      </c>
      <c r="H224" s="71" t="s">
        <v>156</v>
      </c>
      <c r="I224" s="388">
        <v>14.1</v>
      </c>
      <c r="J224" s="306">
        <f t="shared" si="31"/>
        <v>104</v>
      </c>
      <c r="K224" s="230">
        <v>104</v>
      </c>
      <c r="L224" s="230"/>
      <c r="M224" s="230"/>
      <c r="N224" s="230"/>
      <c r="O224" s="230"/>
      <c r="P224" s="230"/>
      <c r="Q224" s="229" t="e">
        <f>IF(K224="nio",0,IF(K224&gt;0,K224*I224/W224,0))*VLOOKUP(B224,'2-Kosten per locatie'!$A$14:$C$25,3,FALSE)</f>
        <v>#DIV/0!</v>
      </c>
      <c r="R224" s="229">
        <f>IF(L224&gt;0,L224*I224/X224,0)*VLOOKUP(B224,'2-Kosten per locatie'!$A$14:$C$25,3,FALSE)</f>
        <v>0</v>
      </c>
      <c r="S224" s="229">
        <f>IF(M224&gt;0,M224*I224/Y224,0)*VLOOKUP(B224,'2-Kosten per locatie'!$A$14:$C$25,3,FALSE)</f>
        <v>0</v>
      </c>
      <c r="T224" s="229">
        <f>IF(N224&gt;0,N224*I224/Z224,0)*VLOOKUP(B224,'2-Kosten per locatie'!$A$14:$C$25,3,FALSE)</f>
        <v>0</v>
      </c>
      <c r="U224" s="229">
        <f>IF(O224&gt;0,O224*I224/Y224,0)*VLOOKUP(B224,'2-Kosten per locatie'!$A$14:$C$25,3,FALSE)</f>
        <v>0</v>
      </c>
      <c r="V224" s="229">
        <f>IF(P224&gt;0,P224*I224/Z224,0)*VLOOKUP(B224,'2-Kosten per locatie'!$A$14:$C$25,3,FALSE)</f>
        <v>0</v>
      </c>
      <c r="W224" s="307">
        <f>IF(K224="nio",0,IF(K224&gt;0,VLOOKUP(G224,'3-Productie normen'!A:R,VLOOKUP(K224,'3-Productie normen'!$B$29:$C$41,2,FALSE),FALSE)))</f>
        <v>0</v>
      </c>
      <c r="X224" s="307">
        <f t="shared" si="32"/>
        <v>0</v>
      </c>
      <c r="Y224" s="307">
        <f t="shared" si="33"/>
        <v>0</v>
      </c>
      <c r="Z224" s="307">
        <f t="shared" si="34"/>
        <v>0</v>
      </c>
      <c r="AA224" s="308">
        <f>VLOOKUP(G224,'3-Productie normen'!A:U,15,FALSE)</f>
        <v>0</v>
      </c>
      <c r="AB224" s="309">
        <f>VLOOKUP(G224,'3-Productie normen'!A:U,16,FALSE)</f>
        <v>915.88999999999976</v>
      </c>
      <c r="AC224" s="308"/>
      <c r="AE224" s="310">
        <f t="shared" si="35"/>
        <v>1466.3999999999999</v>
      </c>
    </row>
    <row r="225" spans="1:32" ht="14.1" hidden="1" customHeight="1">
      <c r="A225" s="75">
        <v>220</v>
      </c>
      <c r="B225" s="380" t="s">
        <v>58</v>
      </c>
      <c r="C225" s="276" t="s">
        <v>419</v>
      </c>
      <c r="D225" s="86">
        <v>1</v>
      </c>
      <c r="E225" s="226" t="s">
        <v>441</v>
      </c>
      <c r="F225" s="85" t="s">
        <v>442</v>
      </c>
      <c r="G225" s="71" t="s">
        <v>196</v>
      </c>
      <c r="H225" s="71" t="s">
        <v>223</v>
      </c>
      <c r="I225" s="388">
        <v>3.7</v>
      </c>
      <c r="J225" s="306">
        <f t="shared" si="31"/>
        <v>0</v>
      </c>
      <c r="K225" s="230" t="s">
        <v>197</v>
      </c>
      <c r="L225" s="230"/>
      <c r="M225" s="230"/>
      <c r="N225" s="230"/>
      <c r="O225" s="230"/>
      <c r="P225" s="230"/>
      <c r="Q225" s="229">
        <f>IF(K225="nio",0,IF(K225&gt;0,K225*I225/W225,0))*VLOOKUP(B225,'2-Kosten per locatie'!$A$14:$C$25,3,FALSE)</f>
        <v>0</v>
      </c>
      <c r="R225" s="229">
        <f>IF(L225&gt;0,L225*I225/X225,0)*VLOOKUP(B225,'2-Kosten per locatie'!$A$14:$C$25,3,FALSE)</f>
        <v>0</v>
      </c>
      <c r="S225" s="229">
        <f>IF(M225&gt;0,M225*I225/Y225,0)*VLOOKUP(B225,'2-Kosten per locatie'!$A$14:$C$25,3,FALSE)</f>
        <v>0</v>
      </c>
      <c r="T225" s="229">
        <f>IF(N225&gt;0,N225*I225/Z225,0)*VLOOKUP(B225,'2-Kosten per locatie'!$A$14:$C$25,3,FALSE)</f>
        <v>0</v>
      </c>
      <c r="U225" s="229">
        <f>IF(O225&gt;0,O225*I225/Y225,0)*VLOOKUP(B225,'2-Kosten per locatie'!$A$14:$C$25,3,FALSE)</f>
        <v>0</v>
      </c>
      <c r="V225" s="229">
        <f>IF(P225&gt;0,P225*I225/Z225,0)*VLOOKUP(B225,'2-Kosten per locatie'!$A$14:$C$25,3,FALSE)</f>
        <v>0</v>
      </c>
      <c r="W225" s="307">
        <f>IF(K225="nio",0,IF(K225&gt;0,VLOOKUP(G225,'3-Productie normen'!A:R,VLOOKUP(K225,'3-Productie normen'!$B$29:$C$41,2,FALSE),FALSE)))</f>
        <v>0</v>
      </c>
      <c r="X225" s="307">
        <f t="shared" si="32"/>
        <v>0</v>
      </c>
      <c r="Y225" s="307">
        <f t="shared" si="33"/>
        <v>0</v>
      </c>
      <c r="Z225" s="307">
        <f t="shared" si="34"/>
        <v>0</v>
      </c>
      <c r="AA225" s="308" t="e">
        <f>VLOOKUP(G225,'3-Productie normen'!A:U,15,FALSE)</f>
        <v>#N/A</v>
      </c>
      <c r="AB225" s="309" t="e">
        <f>VLOOKUP(G225,'3-Productie normen'!A:U,16,FALSE)</f>
        <v>#N/A</v>
      </c>
      <c r="AC225" s="308"/>
      <c r="AE225" s="310">
        <f t="shared" si="35"/>
        <v>0</v>
      </c>
    </row>
    <row r="226" spans="1:32" ht="14.1" hidden="1" customHeight="1">
      <c r="A226" s="75">
        <v>221</v>
      </c>
      <c r="B226" s="380" t="s">
        <v>58</v>
      </c>
      <c r="C226" s="276" t="s">
        <v>419</v>
      </c>
      <c r="D226" s="304">
        <v>1</v>
      </c>
      <c r="E226" s="305" t="s">
        <v>443</v>
      </c>
      <c r="F226" s="71" t="s">
        <v>444</v>
      </c>
      <c r="G226" s="71" t="s">
        <v>196</v>
      </c>
      <c r="H226" s="71" t="s">
        <v>223</v>
      </c>
      <c r="I226" s="388">
        <v>1</v>
      </c>
      <c r="J226" s="306">
        <f t="shared" si="31"/>
        <v>0</v>
      </c>
      <c r="K226" s="230" t="s">
        <v>197</v>
      </c>
      <c r="L226" s="230"/>
      <c r="M226" s="230"/>
      <c r="N226" s="230"/>
      <c r="O226" s="230"/>
      <c r="P226" s="230"/>
      <c r="Q226" s="229">
        <f>IF(K226="nio",0,IF(K226&gt;0,K226*I226/W226,0))*VLOOKUP(B226,'2-Kosten per locatie'!$A$14:$C$25,3,FALSE)</f>
        <v>0</v>
      </c>
      <c r="R226" s="229">
        <f>IF(L226&gt;0,L226*I226/X226,0)*VLOOKUP(B226,'2-Kosten per locatie'!$A$14:$C$25,3,FALSE)</f>
        <v>0</v>
      </c>
      <c r="S226" s="229">
        <f>IF(M226&gt;0,M226*I226/Y226,0)*VLOOKUP(B226,'2-Kosten per locatie'!$A$14:$C$25,3,FALSE)</f>
        <v>0</v>
      </c>
      <c r="T226" s="229">
        <f>IF(N226&gt;0,N226*I226/Z226,0)*VLOOKUP(B226,'2-Kosten per locatie'!$A$14:$C$25,3,FALSE)</f>
        <v>0</v>
      </c>
      <c r="U226" s="229">
        <f>IF(O226&gt;0,O226*I226/Y226,0)*VLOOKUP(B226,'2-Kosten per locatie'!$A$14:$C$25,3,FALSE)</f>
        <v>0</v>
      </c>
      <c r="V226" s="229">
        <f>IF(P226&gt;0,P226*I226/Z226,0)*VLOOKUP(B226,'2-Kosten per locatie'!$A$14:$C$25,3,FALSE)</f>
        <v>0</v>
      </c>
      <c r="W226" s="307">
        <f>IF(K226="nio",0,IF(K226&gt;0,VLOOKUP(G226,'3-Productie normen'!A:R,VLOOKUP(K226,'3-Productie normen'!$B$29:$C$41,2,FALSE),FALSE)))</f>
        <v>0</v>
      </c>
      <c r="X226" s="307">
        <f t="shared" si="32"/>
        <v>0</v>
      </c>
      <c r="Y226" s="307">
        <f t="shared" si="33"/>
        <v>0</v>
      </c>
      <c r="Z226" s="307">
        <f t="shared" si="34"/>
        <v>0</v>
      </c>
      <c r="AA226" s="308" t="e">
        <f>VLOOKUP(G226,'3-Productie normen'!A:U,15,FALSE)</f>
        <v>#N/A</v>
      </c>
      <c r="AB226" s="309" t="e">
        <f>VLOOKUP(G226,'3-Productie normen'!A:U,16,FALSE)</f>
        <v>#N/A</v>
      </c>
      <c r="AC226" s="308"/>
      <c r="AE226" s="310">
        <f t="shared" si="35"/>
        <v>0</v>
      </c>
    </row>
    <row r="227" spans="1:32" ht="14.1" customHeight="1">
      <c r="A227" s="75">
        <v>242</v>
      </c>
      <c r="B227" s="276" t="s">
        <v>55</v>
      </c>
      <c r="C227" s="276" t="s">
        <v>445</v>
      </c>
      <c r="D227" s="304" t="s">
        <v>446</v>
      </c>
      <c r="E227" s="227" t="s">
        <v>447</v>
      </c>
      <c r="F227" s="87" t="s">
        <v>448</v>
      </c>
      <c r="G227" s="87" t="s">
        <v>98</v>
      </c>
      <c r="H227" s="87" t="s">
        <v>192</v>
      </c>
      <c r="I227" s="389">
        <v>5</v>
      </c>
      <c r="J227" s="306">
        <f t="shared" si="31"/>
        <v>104</v>
      </c>
      <c r="K227" s="406">
        <v>104</v>
      </c>
      <c r="L227" s="389"/>
      <c r="M227" s="405"/>
      <c r="N227" s="405"/>
      <c r="O227" s="230"/>
      <c r="P227" s="230"/>
      <c r="Q227" s="229" t="e">
        <f>IF(K227="nio",0,IF(K227&gt;0,K227*I227/W227,0))*VLOOKUP(B227,'2-Kosten per locatie'!$A$14:$C$25,3,FALSE)</f>
        <v>#DIV/0!</v>
      </c>
      <c r="R227" s="229">
        <f>IF(L227&gt;0,L227*I227/X227,0)*VLOOKUP(B227,'2-Kosten per locatie'!$A$14:$C$25,3,FALSE)</f>
        <v>0</v>
      </c>
      <c r="S227" s="229">
        <f>IF(M227&gt;0,M227*I227/Y227,0)*VLOOKUP(B227,'2-Kosten per locatie'!$A$14:$C$25,3,FALSE)</f>
        <v>0</v>
      </c>
      <c r="T227" s="229">
        <f>IF(N227&gt;0,N227*I227/Z227,0)*VLOOKUP(B227,'2-Kosten per locatie'!$A$14:$C$25,3,FALSE)</f>
        <v>0</v>
      </c>
      <c r="U227" s="229">
        <f>IF(O227&gt;0,O227*I227/Y227,0)*VLOOKUP(B227,'2-Kosten per locatie'!$A$14:$C$25,3,FALSE)</f>
        <v>0</v>
      </c>
      <c r="V227" s="229">
        <f>IF(P227&gt;0,P227*I227/Z227,0)*VLOOKUP(B227,'2-Kosten per locatie'!$A$14:$C$25,3,FALSE)</f>
        <v>0</v>
      </c>
      <c r="W227" s="307">
        <f>IF(K227="nio",0,IF(K227&gt;0,VLOOKUP(G227,'3-Productie normen'!A:R,VLOOKUP(K227,'3-Productie normen'!$B$29:$C$41,2,FALSE),FALSE)))</f>
        <v>0</v>
      </c>
      <c r="X227" s="307">
        <f t="shared" ref="X227:X249" si="36">IF(L227&gt;0,W227*$X$8,0)</f>
        <v>0</v>
      </c>
      <c r="Y227" s="307">
        <f t="shared" ref="Y227:Y249" si="37">IF((OR(M227&gt;0,O227&gt;0)),W227*$Y$8,0)</f>
        <v>0</v>
      </c>
      <c r="Z227" s="307">
        <f t="shared" ref="Z227:Z249" si="38">IF((OR(N227&gt;0,P227&gt;0)),W227*$Z$8,0)</f>
        <v>0</v>
      </c>
      <c r="AA227" s="308">
        <f>VLOOKUP(G227,'3-Productie normen'!A:U,15,FALSE)</f>
        <v>0</v>
      </c>
      <c r="AB227" s="309">
        <f>VLOOKUP(G227,'3-Productie normen'!A:U,16,FALSE)</f>
        <v>467.3</v>
      </c>
      <c r="AC227" s="308"/>
      <c r="AD227" s="90"/>
      <c r="AE227" s="310">
        <f t="shared" ref="AE227:AE249" si="39">J227*I227</f>
        <v>520</v>
      </c>
      <c r="AF227" s="14"/>
    </row>
    <row r="228" spans="1:32" ht="14.1" customHeight="1">
      <c r="A228" s="75">
        <v>243</v>
      </c>
      <c r="B228" s="276" t="s">
        <v>55</v>
      </c>
      <c r="C228" s="276" t="s">
        <v>445</v>
      </c>
      <c r="D228" s="304" t="s">
        <v>446</v>
      </c>
      <c r="E228" s="227" t="s">
        <v>449</v>
      </c>
      <c r="F228" s="87" t="s">
        <v>164</v>
      </c>
      <c r="G228" s="87" t="s">
        <v>103</v>
      </c>
      <c r="H228" s="87" t="s">
        <v>192</v>
      </c>
      <c r="I228" s="389">
        <v>1</v>
      </c>
      <c r="J228" s="306">
        <f t="shared" si="31"/>
        <v>104</v>
      </c>
      <c r="K228" s="406">
        <v>104</v>
      </c>
      <c r="L228" s="389"/>
      <c r="M228" s="405"/>
      <c r="N228" s="405"/>
      <c r="O228" s="230"/>
      <c r="P228" s="230"/>
      <c r="Q228" s="229" t="e">
        <f>IF(K228="nio",0,IF(K228&gt;0,K228*I228/W228,0))*VLOOKUP(B228,'2-Kosten per locatie'!$A$14:$C$25,3,FALSE)</f>
        <v>#DIV/0!</v>
      </c>
      <c r="R228" s="229">
        <f>IF(L228&gt;0,L228*I228/X228,0)*VLOOKUP(B228,'2-Kosten per locatie'!$A$14:$C$25,3,FALSE)</f>
        <v>0</v>
      </c>
      <c r="S228" s="229">
        <f>IF(M228&gt;0,M228*I228/Y228,0)*VLOOKUP(B228,'2-Kosten per locatie'!$A$14:$C$25,3,FALSE)</f>
        <v>0</v>
      </c>
      <c r="T228" s="229">
        <f>IF(N228&gt;0,N228*I228/Z228,0)*VLOOKUP(B228,'2-Kosten per locatie'!$A$14:$C$25,3,FALSE)</f>
        <v>0</v>
      </c>
      <c r="U228" s="229">
        <f>IF(O228&gt;0,O228*I228/Y228,0)*VLOOKUP(B228,'2-Kosten per locatie'!$A$14:$C$25,3,FALSE)</f>
        <v>0</v>
      </c>
      <c r="V228" s="229">
        <f>IF(P228&gt;0,P228*I228/Z228,0)*VLOOKUP(B228,'2-Kosten per locatie'!$A$14:$C$25,3,FALSE)</f>
        <v>0</v>
      </c>
      <c r="W228" s="307">
        <f>IF(K228="nio",0,IF(K228&gt;0,VLOOKUP(G228,'3-Productie normen'!A:R,VLOOKUP(K228,'3-Productie normen'!$B$29:$C$41,2,FALSE),FALSE)))</f>
        <v>0</v>
      </c>
      <c r="X228" s="307">
        <f t="shared" si="36"/>
        <v>0</v>
      </c>
      <c r="Y228" s="307">
        <f t="shared" si="37"/>
        <v>0</v>
      </c>
      <c r="Z228" s="307">
        <f t="shared" si="38"/>
        <v>0</v>
      </c>
      <c r="AA228" s="308">
        <f>VLOOKUP(G228,'3-Productie normen'!A:U,15,FALSE)</f>
        <v>0</v>
      </c>
      <c r="AB228" s="309">
        <f>VLOOKUP(G228,'3-Productie normen'!A:U,16,FALSE)</f>
        <v>198.56500000000014</v>
      </c>
      <c r="AC228" s="308"/>
      <c r="AD228" s="90"/>
      <c r="AE228" s="310">
        <f t="shared" si="39"/>
        <v>104</v>
      </c>
      <c r="AF228" s="14"/>
    </row>
    <row r="229" spans="1:32" ht="14.1" customHeight="1">
      <c r="A229" s="75">
        <v>244</v>
      </c>
      <c r="B229" s="276" t="s">
        <v>55</v>
      </c>
      <c r="C229" s="276" t="s">
        <v>445</v>
      </c>
      <c r="D229" s="304" t="s">
        <v>446</v>
      </c>
      <c r="E229" s="227" t="s">
        <v>450</v>
      </c>
      <c r="F229" s="87" t="s">
        <v>451</v>
      </c>
      <c r="G229" s="87" t="s">
        <v>92</v>
      </c>
      <c r="H229" s="87" t="s">
        <v>231</v>
      </c>
      <c r="I229" s="389">
        <v>2.5</v>
      </c>
      <c r="J229" s="306">
        <f t="shared" si="31"/>
        <v>104</v>
      </c>
      <c r="K229" s="406">
        <v>104</v>
      </c>
      <c r="L229" s="389"/>
      <c r="M229" s="405"/>
      <c r="N229" s="405"/>
      <c r="O229" s="230"/>
      <c r="P229" s="230"/>
      <c r="Q229" s="229" t="e">
        <f>IF(K229="nio",0,IF(K229&gt;0,K229*I229/W229,0))*VLOOKUP(B229,'2-Kosten per locatie'!$A$14:$C$25,3,FALSE)</f>
        <v>#DIV/0!</v>
      </c>
      <c r="R229" s="229">
        <f>IF(L229&gt;0,L229*I229/X229,0)*VLOOKUP(B229,'2-Kosten per locatie'!$A$14:$C$25,3,FALSE)</f>
        <v>0</v>
      </c>
      <c r="S229" s="229">
        <f>IF(M229&gt;0,M229*I229/Y229,0)*VLOOKUP(B229,'2-Kosten per locatie'!$A$14:$C$25,3,FALSE)</f>
        <v>0</v>
      </c>
      <c r="T229" s="229">
        <f>IF(N229&gt;0,N229*I229/Z229,0)*VLOOKUP(B229,'2-Kosten per locatie'!$A$14:$C$25,3,FALSE)</f>
        <v>0</v>
      </c>
      <c r="U229" s="229">
        <f>IF(O229&gt;0,O229*I229/Y229,0)*VLOOKUP(B229,'2-Kosten per locatie'!$A$14:$C$25,3,FALSE)</f>
        <v>0</v>
      </c>
      <c r="V229" s="229">
        <f>IF(P229&gt;0,P229*I229/Z229,0)*VLOOKUP(B229,'2-Kosten per locatie'!$A$14:$C$25,3,FALSE)</f>
        <v>0</v>
      </c>
      <c r="W229" s="307">
        <f>IF(K229="nio",0,IF(K229&gt;0,VLOOKUP(G229,'3-Productie normen'!A:R,VLOOKUP(K229,'3-Productie normen'!$B$29:$C$41,2,FALSE),FALSE)))</f>
        <v>0</v>
      </c>
      <c r="X229" s="307">
        <f t="shared" si="36"/>
        <v>0</v>
      </c>
      <c r="Y229" s="307">
        <f t="shared" si="37"/>
        <v>0</v>
      </c>
      <c r="Z229" s="307">
        <f t="shared" si="38"/>
        <v>0</v>
      </c>
      <c r="AA229" s="308">
        <f>VLOOKUP(G229,'3-Productie normen'!A:U,15,FALSE)</f>
        <v>0</v>
      </c>
      <c r="AB229" s="309">
        <f>VLOOKUP(G229,'3-Productie normen'!A:U,16,FALSE)</f>
        <v>915.88999999999976</v>
      </c>
      <c r="AC229" s="308"/>
      <c r="AD229" s="90"/>
      <c r="AE229" s="310">
        <f t="shared" si="39"/>
        <v>260</v>
      </c>
      <c r="AF229" s="14"/>
    </row>
    <row r="230" spans="1:32" ht="14.1" customHeight="1">
      <c r="A230" s="75">
        <v>245</v>
      </c>
      <c r="B230" s="276" t="s">
        <v>55</v>
      </c>
      <c r="C230" s="276" t="s">
        <v>445</v>
      </c>
      <c r="D230" s="304" t="s">
        <v>446</v>
      </c>
      <c r="E230" s="227" t="s">
        <v>452</v>
      </c>
      <c r="F230" s="87" t="s">
        <v>191</v>
      </c>
      <c r="G230" s="87" t="s">
        <v>96</v>
      </c>
      <c r="H230" s="87" t="s">
        <v>453</v>
      </c>
      <c r="I230" s="389">
        <v>3</v>
      </c>
      <c r="J230" s="306">
        <f t="shared" si="31"/>
        <v>52</v>
      </c>
      <c r="K230" s="406">
        <v>52</v>
      </c>
      <c r="L230" s="389"/>
      <c r="M230" s="405"/>
      <c r="N230" s="405"/>
      <c r="O230" s="230"/>
      <c r="P230" s="230"/>
      <c r="Q230" s="229" t="e">
        <f>IF(K230="nio",0,IF(K230&gt;0,K230*I230/W230,0))*VLOOKUP(B230,'2-Kosten per locatie'!$A$14:$C$25,3,FALSE)</f>
        <v>#DIV/0!</v>
      </c>
      <c r="R230" s="229">
        <f>IF(L230&gt;0,L230*I230/X230,0)*VLOOKUP(B230,'2-Kosten per locatie'!$A$14:$C$25,3,FALSE)</f>
        <v>0</v>
      </c>
      <c r="S230" s="229">
        <f>IF(M230&gt;0,M230*I230/Y230,0)*VLOOKUP(B230,'2-Kosten per locatie'!$A$14:$C$25,3,FALSE)</f>
        <v>0</v>
      </c>
      <c r="T230" s="229">
        <f>IF(N230&gt;0,N230*I230/Z230,0)*VLOOKUP(B230,'2-Kosten per locatie'!$A$14:$C$25,3,FALSE)</f>
        <v>0</v>
      </c>
      <c r="U230" s="229">
        <f>IF(O230&gt;0,O230*I230/Y230,0)*VLOOKUP(B230,'2-Kosten per locatie'!$A$14:$C$25,3,FALSE)</f>
        <v>0</v>
      </c>
      <c r="V230" s="229">
        <f>IF(P230&gt;0,P230*I230/Z230,0)*VLOOKUP(B230,'2-Kosten per locatie'!$A$14:$C$25,3,FALSE)</f>
        <v>0</v>
      </c>
      <c r="W230" s="307">
        <f>IF(K230="nio",0,IF(K230&gt;0,VLOOKUP(G230,'3-Productie normen'!A:R,VLOOKUP(K230,'3-Productie normen'!$B$29:$C$41,2,FALSE),FALSE)))</f>
        <v>0</v>
      </c>
      <c r="X230" s="307">
        <f t="shared" si="36"/>
        <v>0</v>
      </c>
      <c r="Y230" s="307">
        <f t="shared" si="37"/>
        <v>0</v>
      </c>
      <c r="Z230" s="307">
        <f t="shared" si="38"/>
        <v>0</v>
      </c>
      <c r="AA230" s="308">
        <f>VLOOKUP(G230,'3-Productie normen'!A:U,15,FALSE)</f>
        <v>0</v>
      </c>
      <c r="AB230" s="309">
        <f>VLOOKUP(G230,'3-Productie normen'!A:U,16,FALSE)</f>
        <v>84.322499999999991</v>
      </c>
      <c r="AC230" s="308"/>
      <c r="AD230" s="90"/>
      <c r="AE230" s="310">
        <f t="shared" si="39"/>
        <v>156</v>
      </c>
      <c r="AF230" s="14"/>
    </row>
    <row r="231" spans="1:32" ht="14.1" customHeight="1">
      <c r="A231" s="75">
        <v>246</v>
      </c>
      <c r="B231" s="276" t="s">
        <v>55</v>
      </c>
      <c r="C231" s="276" t="s">
        <v>445</v>
      </c>
      <c r="D231" s="304" t="s">
        <v>446</v>
      </c>
      <c r="E231" s="227" t="s">
        <v>454</v>
      </c>
      <c r="F231" s="87" t="s">
        <v>455</v>
      </c>
      <c r="G231" s="87" t="s">
        <v>92</v>
      </c>
      <c r="H231" s="87" t="s">
        <v>156</v>
      </c>
      <c r="I231" s="389">
        <v>20</v>
      </c>
      <c r="J231" s="306">
        <f t="shared" si="31"/>
        <v>52</v>
      </c>
      <c r="K231" s="406">
        <v>52</v>
      </c>
      <c r="L231" s="389"/>
      <c r="M231" s="405"/>
      <c r="N231" s="405"/>
      <c r="O231" s="230"/>
      <c r="P231" s="230"/>
      <c r="Q231" s="229" t="e">
        <f>IF(K231="nio",0,IF(K231&gt;0,K231*I231/W231,0))*VLOOKUP(B231,'2-Kosten per locatie'!$A$14:$C$25,3,FALSE)</f>
        <v>#DIV/0!</v>
      </c>
      <c r="R231" s="229">
        <f>IF(L231&gt;0,L231*I231/X231,0)*VLOOKUP(B231,'2-Kosten per locatie'!$A$14:$C$25,3,FALSE)</f>
        <v>0</v>
      </c>
      <c r="S231" s="229">
        <f>IF(M231&gt;0,M231*I231/Y231,0)*VLOOKUP(B231,'2-Kosten per locatie'!$A$14:$C$25,3,FALSE)</f>
        <v>0</v>
      </c>
      <c r="T231" s="229">
        <f>IF(N231&gt;0,N231*I231/Z231,0)*VLOOKUP(B231,'2-Kosten per locatie'!$A$14:$C$25,3,FALSE)</f>
        <v>0</v>
      </c>
      <c r="U231" s="229">
        <f>IF(O231&gt;0,O231*I231/Y231,0)*VLOOKUP(B231,'2-Kosten per locatie'!$A$14:$C$25,3,FALSE)</f>
        <v>0</v>
      </c>
      <c r="V231" s="229">
        <f>IF(P231&gt;0,P231*I231/Z231,0)*VLOOKUP(B231,'2-Kosten per locatie'!$A$14:$C$25,3,FALSE)</f>
        <v>0</v>
      </c>
      <c r="W231" s="307">
        <f>IF(K231="nio",0,IF(K231&gt;0,VLOOKUP(G231,'3-Productie normen'!A:R,VLOOKUP(K231,'3-Productie normen'!$B$29:$C$41,2,FALSE),FALSE)))</f>
        <v>0</v>
      </c>
      <c r="X231" s="307">
        <f t="shared" si="36"/>
        <v>0</v>
      </c>
      <c r="Y231" s="307">
        <f t="shared" si="37"/>
        <v>0</v>
      </c>
      <c r="Z231" s="307">
        <f t="shared" si="38"/>
        <v>0</v>
      </c>
      <c r="AA231" s="308">
        <f>VLOOKUP(G231,'3-Productie normen'!A:U,15,FALSE)</f>
        <v>0</v>
      </c>
      <c r="AB231" s="309">
        <f>VLOOKUP(G231,'3-Productie normen'!A:U,16,FALSE)</f>
        <v>915.88999999999976</v>
      </c>
      <c r="AC231" s="308"/>
      <c r="AD231" s="90"/>
      <c r="AE231" s="310">
        <f t="shared" si="39"/>
        <v>1040</v>
      </c>
      <c r="AF231" s="14"/>
    </row>
    <row r="232" spans="1:32" ht="14.1" customHeight="1">
      <c r="A232" s="75">
        <v>247</v>
      </c>
      <c r="B232" s="276" t="s">
        <v>55</v>
      </c>
      <c r="C232" s="276" t="s">
        <v>445</v>
      </c>
      <c r="D232" s="304" t="s">
        <v>446</v>
      </c>
      <c r="E232" s="227" t="s">
        <v>456</v>
      </c>
      <c r="F232" s="87" t="s">
        <v>457</v>
      </c>
      <c r="G232" s="87" t="s">
        <v>92</v>
      </c>
      <c r="H232" s="87" t="s">
        <v>156</v>
      </c>
      <c r="I232" s="389">
        <v>18</v>
      </c>
      <c r="J232" s="306">
        <f t="shared" si="31"/>
        <v>104</v>
      </c>
      <c r="K232" s="406">
        <v>104</v>
      </c>
      <c r="L232" s="389"/>
      <c r="M232" s="405"/>
      <c r="N232" s="405"/>
      <c r="O232" s="230"/>
      <c r="P232" s="230"/>
      <c r="Q232" s="229" t="e">
        <f>IF(K232="nio",0,IF(K232&gt;0,K232*I232/W232,0))*VLOOKUP(B232,'2-Kosten per locatie'!$A$14:$C$25,3,FALSE)</f>
        <v>#DIV/0!</v>
      </c>
      <c r="R232" s="229">
        <f>IF(L232&gt;0,L232*I232/X232,0)*VLOOKUP(B232,'2-Kosten per locatie'!$A$14:$C$25,3,FALSE)</f>
        <v>0</v>
      </c>
      <c r="S232" s="229">
        <f>IF(M232&gt;0,M232*I232/Y232,0)*VLOOKUP(B232,'2-Kosten per locatie'!$A$14:$C$25,3,FALSE)</f>
        <v>0</v>
      </c>
      <c r="T232" s="229">
        <f>IF(N232&gt;0,N232*I232/Z232,0)*VLOOKUP(B232,'2-Kosten per locatie'!$A$14:$C$25,3,FALSE)</f>
        <v>0</v>
      </c>
      <c r="U232" s="229">
        <f>IF(O232&gt;0,O232*I232/Y232,0)*VLOOKUP(B232,'2-Kosten per locatie'!$A$14:$C$25,3,FALSE)</f>
        <v>0</v>
      </c>
      <c r="V232" s="229">
        <f>IF(P232&gt;0,P232*I232/Z232,0)*VLOOKUP(B232,'2-Kosten per locatie'!$A$14:$C$25,3,FALSE)</f>
        <v>0</v>
      </c>
      <c r="W232" s="307">
        <f>IF(K232="nio",0,IF(K232&gt;0,VLOOKUP(G232,'3-Productie normen'!A:R,VLOOKUP(K232,'3-Productie normen'!$B$29:$C$41,2,FALSE),FALSE)))</f>
        <v>0</v>
      </c>
      <c r="X232" s="307">
        <f t="shared" si="36"/>
        <v>0</v>
      </c>
      <c r="Y232" s="307">
        <f t="shared" si="37"/>
        <v>0</v>
      </c>
      <c r="Z232" s="307">
        <f t="shared" si="38"/>
        <v>0</v>
      </c>
      <c r="AA232" s="308">
        <f>VLOOKUP(G232,'3-Productie normen'!A:U,15,FALSE)</f>
        <v>0</v>
      </c>
      <c r="AB232" s="309">
        <f>VLOOKUP(G232,'3-Productie normen'!A:U,16,FALSE)</f>
        <v>915.88999999999976</v>
      </c>
      <c r="AC232" s="308"/>
      <c r="AE232" s="310">
        <f t="shared" si="39"/>
        <v>1872</v>
      </c>
    </row>
    <row r="233" spans="1:32" ht="14.1" customHeight="1">
      <c r="A233" s="75">
        <v>248</v>
      </c>
      <c r="B233" s="276" t="s">
        <v>55</v>
      </c>
      <c r="C233" s="276" t="s">
        <v>445</v>
      </c>
      <c r="D233" s="304" t="s">
        <v>446</v>
      </c>
      <c r="E233" s="227" t="s">
        <v>458</v>
      </c>
      <c r="F233" s="87" t="s">
        <v>459</v>
      </c>
      <c r="G233" s="87" t="s">
        <v>100</v>
      </c>
      <c r="H233" s="87" t="s">
        <v>156</v>
      </c>
      <c r="I233" s="389">
        <v>2</v>
      </c>
      <c r="J233" s="306">
        <f t="shared" si="31"/>
        <v>104</v>
      </c>
      <c r="K233" s="406">
        <v>104</v>
      </c>
      <c r="L233" s="389"/>
      <c r="M233" s="405"/>
      <c r="N233" s="405"/>
      <c r="O233" s="230"/>
      <c r="P233" s="230"/>
      <c r="Q233" s="229" t="e">
        <f>IF(K233="nio",0,IF(K233&gt;0,K233*I233/W233,0))*VLOOKUP(B233,'2-Kosten per locatie'!$A$14:$C$25,3,FALSE)</f>
        <v>#DIV/0!</v>
      </c>
      <c r="R233" s="229">
        <f>IF(L233&gt;0,L233*I233/X233,0)*VLOOKUP(B233,'2-Kosten per locatie'!$A$14:$C$25,3,FALSE)</f>
        <v>0</v>
      </c>
      <c r="S233" s="229">
        <f>IF(M233&gt;0,M233*I233/Y233,0)*VLOOKUP(B233,'2-Kosten per locatie'!$A$14:$C$25,3,FALSE)</f>
        <v>0</v>
      </c>
      <c r="T233" s="229">
        <f>IF(N233&gt;0,N233*I233/Z233,0)*VLOOKUP(B233,'2-Kosten per locatie'!$A$14:$C$25,3,FALSE)</f>
        <v>0</v>
      </c>
      <c r="U233" s="229">
        <f>IF(O233&gt;0,O233*I233/Y233,0)*VLOOKUP(B233,'2-Kosten per locatie'!$A$14:$C$25,3,FALSE)</f>
        <v>0</v>
      </c>
      <c r="V233" s="229">
        <f>IF(P233&gt;0,P233*I233/Z233,0)*VLOOKUP(B233,'2-Kosten per locatie'!$A$14:$C$25,3,FALSE)</f>
        <v>0</v>
      </c>
      <c r="W233" s="307">
        <f>IF(K233="nio",0,IF(K233&gt;0,VLOOKUP(G233,'3-Productie normen'!A:R,VLOOKUP(K233,'3-Productie normen'!$B$29:$C$41,2,FALSE),FALSE)))</f>
        <v>0</v>
      </c>
      <c r="X233" s="307">
        <f t="shared" si="36"/>
        <v>0</v>
      </c>
      <c r="Y233" s="307">
        <f t="shared" si="37"/>
        <v>0</v>
      </c>
      <c r="Z233" s="307">
        <f t="shared" si="38"/>
        <v>0</v>
      </c>
      <c r="AA233" s="308">
        <f>VLOOKUP(G233,'3-Productie normen'!A:U,15,FALSE)</f>
        <v>0</v>
      </c>
      <c r="AB233" s="309">
        <f>VLOOKUP(G233,'3-Productie normen'!A:U,16,FALSE)</f>
        <v>455.57899999999995</v>
      </c>
      <c r="AC233" s="308"/>
      <c r="AE233" s="310">
        <f t="shared" si="39"/>
        <v>208</v>
      </c>
    </row>
    <row r="234" spans="1:32" ht="14.1" customHeight="1">
      <c r="A234" s="75">
        <v>249</v>
      </c>
      <c r="B234" s="276" t="s">
        <v>55</v>
      </c>
      <c r="C234" s="276" t="s">
        <v>445</v>
      </c>
      <c r="D234" s="304" t="s">
        <v>446</v>
      </c>
      <c r="E234" s="227" t="s">
        <v>460</v>
      </c>
      <c r="F234" s="87" t="s">
        <v>461</v>
      </c>
      <c r="G234" s="87" t="s">
        <v>103</v>
      </c>
      <c r="H234" s="87" t="s">
        <v>192</v>
      </c>
      <c r="I234" s="389">
        <v>2.5</v>
      </c>
      <c r="J234" s="306">
        <f t="shared" si="31"/>
        <v>104</v>
      </c>
      <c r="K234" s="406">
        <v>104</v>
      </c>
      <c r="L234" s="389"/>
      <c r="M234" s="405"/>
      <c r="N234" s="405"/>
      <c r="O234" s="230"/>
      <c r="P234" s="230"/>
      <c r="Q234" s="229" t="e">
        <f>IF(K234="nio",0,IF(K234&gt;0,K234*I234/W234,0))*VLOOKUP(B234,'2-Kosten per locatie'!$A$14:$C$25,3,FALSE)</f>
        <v>#DIV/0!</v>
      </c>
      <c r="R234" s="229">
        <f>IF(L234&gt;0,L234*I234/X234,0)*VLOOKUP(B234,'2-Kosten per locatie'!$A$14:$C$25,3,FALSE)</f>
        <v>0</v>
      </c>
      <c r="S234" s="229">
        <f>IF(M234&gt;0,M234*I234/Y234,0)*VLOOKUP(B234,'2-Kosten per locatie'!$A$14:$C$25,3,FALSE)</f>
        <v>0</v>
      </c>
      <c r="T234" s="229">
        <f>IF(N234&gt;0,N234*I234/Z234,0)*VLOOKUP(B234,'2-Kosten per locatie'!$A$14:$C$25,3,FALSE)</f>
        <v>0</v>
      </c>
      <c r="U234" s="229">
        <f>IF(O234&gt;0,O234*I234/Y234,0)*VLOOKUP(B234,'2-Kosten per locatie'!$A$14:$C$25,3,FALSE)</f>
        <v>0</v>
      </c>
      <c r="V234" s="229">
        <f>IF(P234&gt;0,P234*I234/Z234,0)*VLOOKUP(B234,'2-Kosten per locatie'!$A$14:$C$25,3,FALSE)</f>
        <v>0</v>
      </c>
      <c r="W234" s="307">
        <f>IF(K234="nio",0,IF(K234&gt;0,VLOOKUP(G234,'3-Productie normen'!A:R,VLOOKUP(K234,'3-Productie normen'!$B$29:$C$41,2,FALSE),FALSE)))</f>
        <v>0</v>
      </c>
      <c r="X234" s="307">
        <f t="shared" si="36"/>
        <v>0</v>
      </c>
      <c r="Y234" s="307">
        <f t="shared" si="37"/>
        <v>0</v>
      </c>
      <c r="Z234" s="307">
        <f t="shared" si="38"/>
        <v>0</v>
      </c>
      <c r="AA234" s="308">
        <f>VLOOKUP(G234,'3-Productie normen'!A:U,15,FALSE)</f>
        <v>0</v>
      </c>
      <c r="AB234" s="309">
        <f>VLOOKUP(G234,'3-Productie normen'!A:U,16,FALSE)</f>
        <v>198.56500000000014</v>
      </c>
      <c r="AC234" s="308"/>
      <c r="AE234" s="310">
        <f t="shared" si="39"/>
        <v>260</v>
      </c>
    </row>
    <row r="235" spans="1:32" ht="14.1" customHeight="1">
      <c r="A235" s="75">
        <v>250</v>
      </c>
      <c r="B235" s="276" t="s">
        <v>55</v>
      </c>
      <c r="C235" s="276" t="s">
        <v>445</v>
      </c>
      <c r="D235" s="304" t="s">
        <v>446</v>
      </c>
      <c r="E235" s="227" t="s">
        <v>462</v>
      </c>
      <c r="F235" s="87" t="s">
        <v>222</v>
      </c>
      <c r="G235" s="87" t="s">
        <v>196</v>
      </c>
      <c r="H235" s="87" t="s">
        <v>223</v>
      </c>
      <c r="I235" s="389">
        <v>4</v>
      </c>
      <c r="J235" s="306">
        <f t="shared" si="31"/>
        <v>0</v>
      </c>
      <c r="K235" s="406" t="s">
        <v>197</v>
      </c>
      <c r="L235" s="389"/>
      <c r="M235" s="405"/>
      <c r="N235" s="405"/>
      <c r="O235" s="230"/>
      <c r="P235" s="230"/>
      <c r="Q235" s="229">
        <f>IF(K235="nio",0,IF(K235&gt;0,K235*I235/W235,0))*VLOOKUP(B235,'2-Kosten per locatie'!$A$14:$C$25,3,FALSE)</f>
        <v>0</v>
      </c>
      <c r="R235" s="229">
        <f>IF(L235&gt;0,L235*I235/X235,0)*VLOOKUP(B235,'2-Kosten per locatie'!$A$14:$C$25,3,FALSE)</f>
        <v>0</v>
      </c>
      <c r="S235" s="229">
        <f>IF(M235&gt;0,M235*I235/Y235,0)*VLOOKUP(B235,'2-Kosten per locatie'!$A$14:$C$25,3,FALSE)</f>
        <v>0</v>
      </c>
      <c r="T235" s="229">
        <f>IF(N235&gt;0,N235*I235/Z235,0)*VLOOKUP(B235,'2-Kosten per locatie'!$A$14:$C$25,3,FALSE)</f>
        <v>0</v>
      </c>
      <c r="U235" s="229">
        <f>IF(O235&gt;0,O235*I235/Y235,0)*VLOOKUP(B235,'2-Kosten per locatie'!$A$14:$C$25,3,FALSE)</f>
        <v>0</v>
      </c>
      <c r="V235" s="229">
        <f>IF(P235&gt;0,P235*I235/Z235,0)*VLOOKUP(B235,'2-Kosten per locatie'!$A$14:$C$25,3,FALSE)</f>
        <v>0</v>
      </c>
      <c r="W235" s="307">
        <f>IF(K235="nio",0,IF(K235&gt;0,VLOOKUP(G235,'3-Productie normen'!A:R,VLOOKUP(K235,'3-Productie normen'!$B$29:$C$41,2,FALSE),FALSE)))</f>
        <v>0</v>
      </c>
      <c r="X235" s="307">
        <f t="shared" si="36"/>
        <v>0</v>
      </c>
      <c r="Y235" s="307">
        <f t="shared" si="37"/>
        <v>0</v>
      </c>
      <c r="Z235" s="307">
        <f t="shared" si="38"/>
        <v>0</v>
      </c>
      <c r="AA235" s="308" t="e">
        <f>VLOOKUP(G235,'3-Productie normen'!A:U,15,FALSE)</f>
        <v>#N/A</v>
      </c>
      <c r="AB235" s="309" t="e">
        <f>VLOOKUP(G235,'3-Productie normen'!A:U,16,FALSE)</f>
        <v>#N/A</v>
      </c>
      <c r="AC235" s="308"/>
      <c r="AE235" s="310">
        <f t="shared" si="39"/>
        <v>0</v>
      </c>
    </row>
    <row r="236" spans="1:32" ht="14.1" customHeight="1">
      <c r="A236" s="75">
        <v>251</v>
      </c>
      <c r="B236" s="276" t="s">
        <v>55</v>
      </c>
      <c r="C236" s="276" t="s">
        <v>445</v>
      </c>
      <c r="D236" s="304" t="s">
        <v>446</v>
      </c>
      <c r="E236" s="227" t="s">
        <v>463</v>
      </c>
      <c r="F236" s="87" t="s">
        <v>464</v>
      </c>
      <c r="G236" s="87" t="s">
        <v>196</v>
      </c>
      <c r="H236" s="87" t="s">
        <v>465</v>
      </c>
      <c r="I236" s="389">
        <v>3</v>
      </c>
      <c r="J236" s="306">
        <f t="shared" si="31"/>
        <v>0</v>
      </c>
      <c r="K236" s="406" t="s">
        <v>197</v>
      </c>
      <c r="L236" s="389"/>
      <c r="M236" s="405"/>
      <c r="N236" s="405"/>
      <c r="O236" s="230"/>
      <c r="P236" s="230"/>
      <c r="Q236" s="229">
        <f>IF(K236="nio",0,IF(K236&gt;0,K236*I236/W236,0))*VLOOKUP(B236,'2-Kosten per locatie'!$A$14:$C$25,3,FALSE)</f>
        <v>0</v>
      </c>
      <c r="R236" s="229">
        <f>IF(L236&gt;0,L236*I236/X236,0)*VLOOKUP(B236,'2-Kosten per locatie'!$A$14:$C$25,3,FALSE)</f>
        <v>0</v>
      </c>
      <c r="S236" s="229">
        <f>IF(M236&gt;0,M236*I236/Y236,0)*VLOOKUP(B236,'2-Kosten per locatie'!$A$14:$C$25,3,FALSE)</f>
        <v>0</v>
      </c>
      <c r="T236" s="229">
        <f>IF(N236&gt;0,N236*I236/Z236,0)*VLOOKUP(B236,'2-Kosten per locatie'!$A$14:$C$25,3,FALSE)</f>
        <v>0</v>
      </c>
      <c r="U236" s="229">
        <f>IF(O236&gt;0,O236*I236/Y236,0)*VLOOKUP(B236,'2-Kosten per locatie'!$A$14:$C$25,3,FALSE)</f>
        <v>0</v>
      </c>
      <c r="V236" s="229">
        <f>IF(P236&gt;0,P236*I236/Z236,0)*VLOOKUP(B236,'2-Kosten per locatie'!$A$14:$C$25,3,FALSE)</f>
        <v>0</v>
      </c>
      <c r="W236" s="307">
        <f>IF(K236="nio",0,IF(K236&gt;0,VLOOKUP(G236,'3-Productie normen'!A:R,VLOOKUP(K236,'3-Productie normen'!$B$29:$C$41,2,FALSE),FALSE)))</f>
        <v>0</v>
      </c>
      <c r="X236" s="307">
        <f t="shared" si="36"/>
        <v>0</v>
      </c>
      <c r="Y236" s="307">
        <f t="shared" si="37"/>
        <v>0</v>
      </c>
      <c r="Z236" s="307">
        <f t="shared" si="38"/>
        <v>0</v>
      </c>
      <c r="AA236" s="308" t="e">
        <f>VLOOKUP(G236,'3-Productie normen'!A:U,15,FALSE)</f>
        <v>#N/A</v>
      </c>
      <c r="AB236" s="309" t="e">
        <f>VLOOKUP(G236,'3-Productie normen'!A:U,16,FALSE)</f>
        <v>#N/A</v>
      </c>
      <c r="AC236" s="308"/>
      <c r="AE236" s="310">
        <f t="shared" si="39"/>
        <v>0</v>
      </c>
    </row>
    <row r="237" spans="1:32" ht="14.1" customHeight="1">
      <c r="A237" s="75">
        <v>252</v>
      </c>
      <c r="B237" s="276" t="s">
        <v>55</v>
      </c>
      <c r="C237" s="276" t="s">
        <v>445</v>
      </c>
      <c r="D237" s="304" t="s">
        <v>446</v>
      </c>
      <c r="E237" s="227" t="s">
        <v>466</v>
      </c>
      <c r="F237" s="87" t="s">
        <v>191</v>
      </c>
      <c r="G237" s="87" t="s">
        <v>96</v>
      </c>
      <c r="H237" s="87" t="s">
        <v>453</v>
      </c>
      <c r="I237" s="389">
        <v>2.5</v>
      </c>
      <c r="J237" s="306">
        <f t="shared" si="31"/>
        <v>104</v>
      </c>
      <c r="K237" s="406">
        <v>104</v>
      </c>
      <c r="L237" s="389"/>
      <c r="M237" s="405"/>
      <c r="N237" s="405"/>
      <c r="O237" s="230"/>
      <c r="P237" s="230"/>
      <c r="Q237" s="229" t="e">
        <f>IF(K237="nio",0,IF(K237&gt;0,K237*I237/W237,0))*VLOOKUP(B237,'2-Kosten per locatie'!$A$14:$C$25,3,FALSE)</f>
        <v>#DIV/0!</v>
      </c>
      <c r="R237" s="229">
        <f>IF(L237&gt;0,L237*I237/X237,0)*VLOOKUP(B237,'2-Kosten per locatie'!$A$14:$C$25,3,FALSE)</f>
        <v>0</v>
      </c>
      <c r="S237" s="229">
        <f>IF(M237&gt;0,M237*I237/Y237,0)*VLOOKUP(B237,'2-Kosten per locatie'!$A$14:$C$25,3,FALSE)</f>
        <v>0</v>
      </c>
      <c r="T237" s="229">
        <f>IF(N237&gt;0,N237*I237/Z237,0)*VLOOKUP(B237,'2-Kosten per locatie'!$A$14:$C$25,3,FALSE)</f>
        <v>0</v>
      </c>
      <c r="U237" s="229">
        <f>IF(O237&gt;0,O237*I237/Y237,0)*VLOOKUP(B237,'2-Kosten per locatie'!$A$14:$C$25,3,FALSE)</f>
        <v>0</v>
      </c>
      <c r="V237" s="229">
        <f>IF(P237&gt;0,P237*I237/Z237,0)*VLOOKUP(B237,'2-Kosten per locatie'!$A$14:$C$25,3,FALSE)</f>
        <v>0</v>
      </c>
      <c r="W237" s="307">
        <f>IF(K237="nio",0,IF(K237&gt;0,VLOOKUP(G237,'3-Productie normen'!A:R,VLOOKUP(K237,'3-Productie normen'!$B$29:$C$41,2,FALSE),FALSE)))</f>
        <v>0</v>
      </c>
      <c r="X237" s="307">
        <f t="shared" si="36"/>
        <v>0</v>
      </c>
      <c r="Y237" s="307">
        <f t="shared" si="37"/>
        <v>0</v>
      </c>
      <c r="Z237" s="307">
        <f t="shared" si="38"/>
        <v>0</v>
      </c>
      <c r="AA237" s="308">
        <f>VLOOKUP(G237,'3-Productie normen'!A:U,15,FALSE)</f>
        <v>0</v>
      </c>
      <c r="AB237" s="309">
        <f>VLOOKUP(G237,'3-Productie normen'!A:U,16,FALSE)</f>
        <v>84.322499999999991</v>
      </c>
      <c r="AC237" s="308"/>
      <c r="AE237" s="310">
        <f t="shared" si="39"/>
        <v>260</v>
      </c>
    </row>
    <row r="238" spans="1:32" ht="14.1" customHeight="1">
      <c r="A238" s="75">
        <v>253</v>
      </c>
      <c r="B238" s="276" t="s">
        <v>55</v>
      </c>
      <c r="C238" s="276" t="s">
        <v>445</v>
      </c>
      <c r="D238" s="304" t="s">
        <v>446</v>
      </c>
      <c r="E238" s="227" t="s">
        <v>467</v>
      </c>
      <c r="F238" s="87" t="s">
        <v>468</v>
      </c>
      <c r="G238" s="87" t="s">
        <v>92</v>
      </c>
      <c r="H238" s="87" t="s">
        <v>231</v>
      </c>
      <c r="I238" s="389">
        <v>51</v>
      </c>
      <c r="J238" s="306">
        <f t="shared" si="31"/>
        <v>52</v>
      </c>
      <c r="K238" s="406">
        <v>52</v>
      </c>
      <c r="L238" s="389"/>
      <c r="M238" s="405"/>
      <c r="N238" s="405"/>
      <c r="O238" s="230"/>
      <c r="P238" s="230"/>
      <c r="Q238" s="229" t="e">
        <f>IF(K238="nio",0,IF(K238&gt;0,K238*I238/W238,0))*VLOOKUP(B238,'2-Kosten per locatie'!$A$14:$C$25,3,FALSE)</f>
        <v>#DIV/0!</v>
      </c>
      <c r="R238" s="229">
        <f>IF(L238&gt;0,L238*I238/X238,0)*VLOOKUP(B238,'2-Kosten per locatie'!$A$14:$C$25,3,FALSE)</f>
        <v>0</v>
      </c>
      <c r="S238" s="229">
        <f>IF(M238&gt;0,M238*I238/Y238,0)*VLOOKUP(B238,'2-Kosten per locatie'!$A$14:$C$25,3,FALSE)</f>
        <v>0</v>
      </c>
      <c r="T238" s="229">
        <f>IF(N238&gt;0,N238*I238/Z238,0)*VLOOKUP(B238,'2-Kosten per locatie'!$A$14:$C$25,3,FALSE)</f>
        <v>0</v>
      </c>
      <c r="U238" s="229">
        <f>IF(O238&gt;0,O238*I238/Y238,0)*VLOOKUP(B238,'2-Kosten per locatie'!$A$14:$C$25,3,FALSE)</f>
        <v>0</v>
      </c>
      <c r="V238" s="229">
        <f>IF(P238&gt;0,P238*I238/Z238,0)*VLOOKUP(B238,'2-Kosten per locatie'!$A$14:$C$25,3,FALSE)</f>
        <v>0</v>
      </c>
      <c r="W238" s="307">
        <f>IF(K238="nio",0,IF(K238&gt;0,VLOOKUP(G238,'3-Productie normen'!A:R,VLOOKUP(K238,'3-Productie normen'!$B$29:$C$41,2,FALSE),FALSE)))</f>
        <v>0</v>
      </c>
      <c r="X238" s="307">
        <f t="shared" si="36"/>
        <v>0</v>
      </c>
      <c r="Y238" s="307">
        <f t="shared" si="37"/>
        <v>0</v>
      </c>
      <c r="Z238" s="307">
        <f t="shared" si="38"/>
        <v>0</v>
      </c>
      <c r="AA238" s="308">
        <f>VLOOKUP(G238,'3-Productie normen'!A:U,15,FALSE)</f>
        <v>0</v>
      </c>
      <c r="AB238" s="309">
        <f>VLOOKUP(G238,'3-Productie normen'!A:U,16,FALSE)</f>
        <v>915.88999999999976</v>
      </c>
      <c r="AC238" s="308"/>
      <c r="AE238" s="310">
        <f t="shared" si="39"/>
        <v>2652</v>
      </c>
    </row>
    <row r="239" spans="1:32" ht="14.1" customHeight="1">
      <c r="A239" s="75">
        <v>254</v>
      </c>
      <c r="B239" s="276" t="s">
        <v>55</v>
      </c>
      <c r="C239" s="276" t="s">
        <v>445</v>
      </c>
      <c r="D239" s="304" t="s">
        <v>446</v>
      </c>
      <c r="E239" s="227" t="s">
        <v>469</v>
      </c>
      <c r="F239" s="87" t="s">
        <v>470</v>
      </c>
      <c r="G239" s="87" t="s">
        <v>98</v>
      </c>
      <c r="H239" s="87" t="s">
        <v>156</v>
      </c>
      <c r="I239" s="389">
        <v>4</v>
      </c>
      <c r="J239" s="306">
        <f t="shared" si="31"/>
        <v>52</v>
      </c>
      <c r="K239" s="406">
        <v>52</v>
      </c>
      <c r="L239" s="389"/>
      <c r="M239" s="405"/>
      <c r="N239" s="405"/>
      <c r="O239" s="230"/>
      <c r="P239" s="230"/>
      <c r="Q239" s="229" t="e">
        <f>IF(K239="nio",0,IF(K239&gt;0,K239*I239/W239,0))*VLOOKUP(B239,'2-Kosten per locatie'!$A$14:$C$25,3,FALSE)</f>
        <v>#DIV/0!</v>
      </c>
      <c r="R239" s="229">
        <f>IF(L239&gt;0,L239*I239/X239,0)*VLOOKUP(B239,'2-Kosten per locatie'!$A$14:$C$25,3,FALSE)</f>
        <v>0</v>
      </c>
      <c r="S239" s="229">
        <f>IF(M239&gt;0,M239*I239/Y239,0)*VLOOKUP(B239,'2-Kosten per locatie'!$A$14:$C$25,3,FALSE)</f>
        <v>0</v>
      </c>
      <c r="T239" s="229">
        <f>IF(N239&gt;0,N239*I239/Z239,0)*VLOOKUP(B239,'2-Kosten per locatie'!$A$14:$C$25,3,FALSE)</f>
        <v>0</v>
      </c>
      <c r="U239" s="229">
        <f>IF(O239&gt;0,O239*I239/Y239,0)*VLOOKUP(B239,'2-Kosten per locatie'!$A$14:$C$25,3,FALSE)</f>
        <v>0</v>
      </c>
      <c r="V239" s="229">
        <f>IF(P239&gt;0,P239*I239/Z239,0)*VLOOKUP(B239,'2-Kosten per locatie'!$A$14:$C$25,3,FALSE)</f>
        <v>0</v>
      </c>
      <c r="W239" s="307">
        <f>IF(K239="nio",0,IF(K239&gt;0,VLOOKUP(G239,'3-Productie normen'!A:R,VLOOKUP(K239,'3-Productie normen'!$B$29:$C$41,2,FALSE),FALSE)))</f>
        <v>0</v>
      </c>
      <c r="X239" s="307">
        <f t="shared" si="36"/>
        <v>0</v>
      </c>
      <c r="Y239" s="307">
        <f t="shared" si="37"/>
        <v>0</v>
      </c>
      <c r="Z239" s="307">
        <f t="shared" si="38"/>
        <v>0</v>
      </c>
      <c r="AA239" s="308">
        <f>VLOOKUP(G239,'3-Productie normen'!A:U,15,FALSE)</f>
        <v>0</v>
      </c>
      <c r="AB239" s="309">
        <f>VLOOKUP(G239,'3-Productie normen'!A:U,16,FALSE)</f>
        <v>467.3</v>
      </c>
      <c r="AC239" s="308"/>
      <c r="AE239" s="310">
        <f t="shared" si="39"/>
        <v>208</v>
      </c>
    </row>
    <row r="240" spans="1:32" ht="14.1" customHeight="1">
      <c r="A240" s="75">
        <v>255</v>
      </c>
      <c r="B240" s="276" t="s">
        <v>55</v>
      </c>
      <c r="C240" s="276" t="s">
        <v>445</v>
      </c>
      <c r="D240" s="304" t="s">
        <v>446</v>
      </c>
      <c r="E240" s="227" t="s">
        <v>471</v>
      </c>
      <c r="F240" s="87" t="s">
        <v>472</v>
      </c>
      <c r="G240" s="87" t="s">
        <v>103</v>
      </c>
      <c r="H240" s="87" t="s">
        <v>192</v>
      </c>
      <c r="I240" s="389">
        <v>4</v>
      </c>
      <c r="J240" s="306">
        <f t="shared" si="31"/>
        <v>104</v>
      </c>
      <c r="K240" s="406">
        <v>104</v>
      </c>
      <c r="L240" s="389"/>
      <c r="M240" s="405"/>
      <c r="N240" s="405"/>
      <c r="O240" s="230"/>
      <c r="P240" s="230"/>
      <c r="Q240" s="229" t="e">
        <f>IF(K240="nio",0,IF(K240&gt;0,K240*I240/W240,0))*VLOOKUP(B240,'2-Kosten per locatie'!$A$14:$C$25,3,FALSE)</f>
        <v>#DIV/0!</v>
      </c>
      <c r="R240" s="229">
        <f>IF(L240&gt;0,L240*I240/X240,0)*VLOOKUP(B240,'2-Kosten per locatie'!$A$14:$C$25,3,FALSE)</f>
        <v>0</v>
      </c>
      <c r="S240" s="229">
        <f>IF(M240&gt;0,M240*I240/Y240,0)*VLOOKUP(B240,'2-Kosten per locatie'!$A$14:$C$25,3,FALSE)</f>
        <v>0</v>
      </c>
      <c r="T240" s="229">
        <f>IF(N240&gt;0,N240*I240/Z240,0)*VLOOKUP(B240,'2-Kosten per locatie'!$A$14:$C$25,3,FALSE)</f>
        <v>0</v>
      </c>
      <c r="U240" s="229">
        <f>IF(O240&gt;0,O240*I240/Y240,0)*VLOOKUP(B240,'2-Kosten per locatie'!$A$14:$C$25,3,FALSE)</f>
        <v>0</v>
      </c>
      <c r="V240" s="229">
        <f>IF(P240&gt;0,P240*I240/Z240,0)*VLOOKUP(B240,'2-Kosten per locatie'!$A$14:$C$25,3,FALSE)</f>
        <v>0</v>
      </c>
      <c r="W240" s="307">
        <f>IF(K240="nio",0,IF(K240&gt;0,VLOOKUP(G240,'3-Productie normen'!A:R,VLOOKUP(K240,'3-Productie normen'!$B$29:$C$41,2,FALSE),FALSE)))</f>
        <v>0</v>
      </c>
      <c r="X240" s="307">
        <f t="shared" si="36"/>
        <v>0</v>
      </c>
      <c r="Y240" s="307">
        <f t="shared" si="37"/>
        <v>0</v>
      </c>
      <c r="Z240" s="307">
        <f t="shared" si="38"/>
        <v>0</v>
      </c>
      <c r="AA240" s="308">
        <f>VLOOKUP(G240,'3-Productie normen'!A:U,15,FALSE)</f>
        <v>0</v>
      </c>
      <c r="AB240" s="309">
        <f>VLOOKUP(G240,'3-Productie normen'!A:U,16,FALSE)</f>
        <v>198.56500000000014</v>
      </c>
      <c r="AC240" s="308"/>
      <c r="AE240" s="310">
        <f t="shared" si="39"/>
        <v>416</v>
      </c>
    </row>
    <row r="241" spans="1:31" ht="14.1" customHeight="1">
      <c r="A241" s="75">
        <v>256</v>
      </c>
      <c r="B241" s="276" t="s">
        <v>55</v>
      </c>
      <c r="C241" s="276" t="s">
        <v>445</v>
      </c>
      <c r="D241" s="304" t="s">
        <v>446</v>
      </c>
      <c r="E241" s="227" t="s">
        <v>473</v>
      </c>
      <c r="F241" s="87" t="s">
        <v>474</v>
      </c>
      <c r="G241" s="87" t="s">
        <v>196</v>
      </c>
      <c r="H241" s="87" t="s">
        <v>231</v>
      </c>
      <c r="I241" s="389">
        <v>3</v>
      </c>
      <c r="J241" s="306">
        <f t="shared" si="31"/>
        <v>0</v>
      </c>
      <c r="K241" s="406" t="s">
        <v>197</v>
      </c>
      <c r="L241" s="389"/>
      <c r="M241" s="405"/>
      <c r="N241" s="405"/>
      <c r="O241" s="230"/>
      <c r="P241" s="230"/>
      <c r="Q241" s="229">
        <f>IF(K241="nio",0,IF(K241&gt;0,K241*I241/W241,0))*VLOOKUP(B241,'2-Kosten per locatie'!$A$14:$C$25,3,FALSE)</f>
        <v>0</v>
      </c>
      <c r="R241" s="229">
        <f>IF(L241&gt;0,L241*I241/X241,0)*VLOOKUP(B241,'2-Kosten per locatie'!$A$14:$C$25,3,FALSE)</f>
        <v>0</v>
      </c>
      <c r="S241" s="229">
        <f>IF(M241&gt;0,M241*I241/Y241,0)*VLOOKUP(B241,'2-Kosten per locatie'!$A$14:$C$25,3,FALSE)</f>
        <v>0</v>
      </c>
      <c r="T241" s="229">
        <f>IF(N241&gt;0,N241*I241/Z241,0)*VLOOKUP(B241,'2-Kosten per locatie'!$A$14:$C$25,3,FALSE)</f>
        <v>0</v>
      </c>
      <c r="U241" s="229">
        <f>IF(O241&gt;0,O241*I241/Y241,0)*VLOOKUP(B241,'2-Kosten per locatie'!$A$14:$C$25,3,FALSE)</f>
        <v>0</v>
      </c>
      <c r="V241" s="229">
        <f>IF(P241&gt;0,P241*I241/Z241,0)*VLOOKUP(B241,'2-Kosten per locatie'!$A$14:$C$25,3,FALSE)</f>
        <v>0</v>
      </c>
      <c r="W241" s="307">
        <f>IF(K241="nio",0,IF(K241&gt;0,VLOOKUP(G241,'3-Productie normen'!A:R,VLOOKUP(K241,'3-Productie normen'!$B$29:$C$41,2,FALSE),FALSE)))</f>
        <v>0</v>
      </c>
      <c r="X241" s="307">
        <f t="shared" si="36"/>
        <v>0</v>
      </c>
      <c r="Y241" s="307">
        <f t="shared" si="37"/>
        <v>0</v>
      </c>
      <c r="Z241" s="307">
        <f t="shared" si="38"/>
        <v>0</v>
      </c>
      <c r="AA241" s="308" t="e">
        <f>VLOOKUP(G241,'3-Productie normen'!A:U,15,FALSE)</f>
        <v>#N/A</v>
      </c>
      <c r="AB241" s="309" t="e">
        <f>VLOOKUP(G241,'3-Productie normen'!A:U,16,FALSE)</f>
        <v>#N/A</v>
      </c>
      <c r="AC241" s="308"/>
      <c r="AE241" s="310">
        <f t="shared" si="39"/>
        <v>0</v>
      </c>
    </row>
    <row r="242" spans="1:31" ht="14.1" customHeight="1">
      <c r="A242" s="75">
        <v>257</v>
      </c>
      <c r="B242" s="276" t="s">
        <v>55</v>
      </c>
      <c r="C242" s="276" t="s">
        <v>445</v>
      </c>
      <c r="D242" s="304" t="s">
        <v>446</v>
      </c>
      <c r="E242" s="227" t="s">
        <v>475</v>
      </c>
      <c r="F242" s="87" t="s">
        <v>476</v>
      </c>
      <c r="G242" s="87" t="s">
        <v>196</v>
      </c>
      <c r="H242" s="87" t="s">
        <v>231</v>
      </c>
      <c r="I242" s="389">
        <v>1</v>
      </c>
      <c r="J242" s="306">
        <f t="shared" si="31"/>
        <v>0</v>
      </c>
      <c r="K242" s="406" t="s">
        <v>197</v>
      </c>
      <c r="L242" s="389"/>
      <c r="M242" s="405"/>
      <c r="N242" s="405"/>
      <c r="O242" s="230"/>
      <c r="P242" s="230"/>
      <c r="Q242" s="229">
        <f>IF(K242="nio",0,IF(K242&gt;0,K242*I242/W242,0))*VLOOKUP(B242,'2-Kosten per locatie'!$A$14:$C$25,3,FALSE)</f>
        <v>0</v>
      </c>
      <c r="R242" s="229">
        <f>IF(L242&gt;0,L242*I242/X242,0)*VLOOKUP(B242,'2-Kosten per locatie'!$A$14:$C$25,3,FALSE)</f>
        <v>0</v>
      </c>
      <c r="S242" s="229">
        <f>IF(M242&gt;0,M242*I242/Y242,0)*VLOOKUP(B242,'2-Kosten per locatie'!$A$14:$C$25,3,FALSE)</f>
        <v>0</v>
      </c>
      <c r="T242" s="229">
        <f>IF(N242&gt;0,N242*I242/Z242,0)*VLOOKUP(B242,'2-Kosten per locatie'!$A$14:$C$25,3,FALSE)</f>
        <v>0</v>
      </c>
      <c r="U242" s="229">
        <f>IF(O242&gt;0,O242*I242/Y242,0)*VLOOKUP(B242,'2-Kosten per locatie'!$A$14:$C$25,3,FALSE)</f>
        <v>0</v>
      </c>
      <c r="V242" s="229">
        <f>IF(P242&gt;0,P242*I242/Z242,0)*VLOOKUP(B242,'2-Kosten per locatie'!$A$14:$C$25,3,FALSE)</f>
        <v>0</v>
      </c>
      <c r="W242" s="307">
        <f>IF(K242="nio",0,IF(K242&gt;0,VLOOKUP(G242,'3-Productie normen'!A:R,VLOOKUP(K242,'3-Productie normen'!$B$29:$C$41,2,FALSE),FALSE)))</f>
        <v>0</v>
      </c>
      <c r="X242" s="307">
        <f t="shared" si="36"/>
        <v>0</v>
      </c>
      <c r="Y242" s="307">
        <f t="shared" si="37"/>
        <v>0</v>
      </c>
      <c r="Z242" s="307">
        <f t="shared" si="38"/>
        <v>0</v>
      </c>
      <c r="AA242" s="308" t="e">
        <f>VLOOKUP(G242,'3-Productie normen'!A:U,15,FALSE)</f>
        <v>#N/A</v>
      </c>
      <c r="AB242" s="309" t="e">
        <f>VLOOKUP(G242,'3-Productie normen'!A:U,16,FALSE)</f>
        <v>#N/A</v>
      </c>
      <c r="AC242" s="308"/>
      <c r="AE242" s="310">
        <f t="shared" si="39"/>
        <v>0</v>
      </c>
    </row>
    <row r="243" spans="1:31" ht="14.1" customHeight="1">
      <c r="A243" s="75">
        <v>258</v>
      </c>
      <c r="B243" s="276" t="s">
        <v>55</v>
      </c>
      <c r="C243" s="276" t="s">
        <v>445</v>
      </c>
      <c r="D243" s="304" t="s">
        <v>446</v>
      </c>
      <c r="E243" s="227" t="s">
        <v>477</v>
      </c>
      <c r="F243" s="87" t="s">
        <v>478</v>
      </c>
      <c r="G243" s="87" t="s">
        <v>196</v>
      </c>
      <c r="H243" s="87" t="s">
        <v>231</v>
      </c>
      <c r="I243" s="389">
        <v>8</v>
      </c>
      <c r="J243" s="306">
        <f t="shared" si="31"/>
        <v>0</v>
      </c>
      <c r="K243" s="406" t="s">
        <v>197</v>
      </c>
      <c r="L243" s="389"/>
      <c r="M243" s="405"/>
      <c r="N243" s="405"/>
      <c r="O243" s="230"/>
      <c r="P243" s="230"/>
      <c r="Q243" s="229">
        <f>IF(K243="nio",0,IF(K243&gt;0,K243*I243/W243,0))*VLOOKUP(B243,'2-Kosten per locatie'!$A$14:$C$25,3,FALSE)</f>
        <v>0</v>
      </c>
      <c r="R243" s="229">
        <f>IF(L243&gt;0,L243*I243/X243,0)*VLOOKUP(B243,'2-Kosten per locatie'!$A$14:$C$25,3,FALSE)</f>
        <v>0</v>
      </c>
      <c r="S243" s="229">
        <f>IF(M243&gt;0,M243*I243/Y243,0)*VLOOKUP(B243,'2-Kosten per locatie'!$A$14:$C$25,3,FALSE)</f>
        <v>0</v>
      </c>
      <c r="T243" s="229">
        <f>IF(N243&gt;0,N243*I243/Z243,0)*VLOOKUP(B243,'2-Kosten per locatie'!$A$14:$C$25,3,FALSE)</f>
        <v>0</v>
      </c>
      <c r="U243" s="229">
        <f>IF(O243&gt;0,O243*I243/Y243,0)*VLOOKUP(B243,'2-Kosten per locatie'!$A$14:$C$25,3,FALSE)</f>
        <v>0</v>
      </c>
      <c r="V243" s="229">
        <f>IF(P243&gt;0,P243*I243/Z243,0)*VLOOKUP(B243,'2-Kosten per locatie'!$A$14:$C$25,3,FALSE)</f>
        <v>0</v>
      </c>
      <c r="W243" s="307">
        <f>IF(K243="nio",0,IF(K243&gt;0,VLOOKUP(G243,'3-Productie normen'!A:R,VLOOKUP(K243,'3-Productie normen'!$B$29:$C$41,2,FALSE),FALSE)))</f>
        <v>0</v>
      </c>
      <c r="X243" s="307">
        <f t="shared" si="36"/>
        <v>0</v>
      </c>
      <c r="Y243" s="307">
        <f t="shared" si="37"/>
        <v>0</v>
      </c>
      <c r="Z243" s="307">
        <f t="shared" si="38"/>
        <v>0</v>
      </c>
      <c r="AA243" s="308" t="e">
        <f>VLOOKUP(G243,'3-Productie normen'!A:U,15,FALSE)</f>
        <v>#N/A</v>
      </c>
      <c r="AB243" s="309" t="e">
        <f>VLOOKUP(G243,'3-Productie normen'!A:U,16,FALSE)</f>
        <v>#N/A</v>
      </c>
      <c r="AC243" s="308"/>
      <c r="AE243" s="310">
        <f t="shared" si="39"/>
        <v>0</v>
      </c>
    </row>
    <row r="244" spans="1:31" ht="14.1" customHeight="1">
      <c r="A244" s="75">
        <v>259</v>
      </c>
      <c r="B244" s="276" t="s">
        <v>55</v>
      </c>
      <c r="C244" s="276" t="s">
        <v>445</v>
      </c>
      <c r="D244" s="304" t="s">
        <v>446</v>
      </c>
      <c r="E244" s="227" t="s">
        <v>479</v>
      </c>
      <c r="F244" s="87" t="s">
        <v>480</v>
      </c>
      <c r="G244" s="87" t="s">
        <v>98</v>
      </c>
      <c r="H244" s="87" t="s">
        <v>231</v>
      </c>
      <c r="I244" s="389">
        <v>10</v>
      </c>
      <c r="J244" s="306">
        <f t="shared" si="31"/>
        <v>52</v>
      </c>
      <c r="K244" s="406">
        <v>52</v>
      </c>
      <c r="L244" s="389"/>
      <c r="M244" s="405"/>
      <c r="N244" s="405"/>
      <c r="O244" s="230"/>
      <c r="P244" s="230"/>
      <c r="Q244" s="229" t="e">
        <f>IF(K244="nio",0,IF(K244&gt;0,K244*I244/W244,0))*VLOOKUP(B244,'2-Kosten per locatie'!$A$14:$C$25,3,FALSE)</f>
        <v>#DIV/0!</v>
      </c>
      <c r="R244" s="229">
        <f>IF(L244&gt;0,L244*I244/X244,0)*VLOOKUP(B244,'2-Kosten per locatie'!$A$14:$C$25,3,FALSE)</f>
        <v>0</v>
      </c>
      <c r="S244" s="229">
        <f>IF(M244&gt;0,M244*I244/Y244,0)*VLOOKUP(B244,'2-Kosten per locatie'!$A$14:$C$25,3,FALSE)</f>
        <v>0</v>
      </c>
      <c r="T244" s="229">
        <f>IF(N244&gt;0,N244*I244/Z244,0)*VLOOKUP(B244,'2-Kosten per locatie'!$A$14:$C$25,3,FALSE)</f>
        <v>0</v>
      </c>
      <c r="U244" s="229">
        <f>IF(O244&gt;0,O244*I244/Y244,0)*VLOOKUP(B244,'2-Kosten per locatie'!$A$14:$C$25,3,FALSE)</f>
        <v>0</v>
      </c>
      <c r="V244" s="229">
        <f>IF(P244&gt;0,P244*I244/Z244,0)*VLOOKUP(B244,'2-Kosten per locatie'!$A$14:$C$25,3,FALSE)</f>
        <v>0</v>
      </c>
      <c r="W244" s="307">
        <f>IF(K244="nio",0,IF(K244&gt;0,VLOOKUP(G244,'3-Productie normen'!A:R,VLOOKUP(K244,'3-Productie normen'!$B$29:$C$41,2,FALSE),FALSE)))</f>
        <v>0</v>
      </c>
      <c r="X244" s="307">
        <f t="shared" si="36"/>
        <v>0</v>
      </c>
      <c r="Y244" s="307">
        <f t="shared" si="37"/>
        <v>0</v>
      </c>
      <c r="Z244" s="307">
        <f t="shared" si="38"/>
        <v>0</v>
      </c>
      <c r="AA244" s="308">
        <f>VLOOKUP(G244,'3-Productie normen'!A:U,15,FALSE)</f>
        <v>0</v>
      </c>
      <c r="AB244" s="309">
        <f>VLOOKUP(G244,'3-Productie normen'!A:U,16,FALSE)</f>
        <v>467.3</v>
      </c>
      <c r="AC244" s="308"/>
      <c r="AE244" s="310">
        <f t="shared" si="39"/>
        <v>520</v>
      </c>
    </row>
    <row r="245" spans="1:31" ht="14.1" customHeight="1">
      <c r="A245" s="75">
        <v>260</v>
      </c>
      <c r="B245" s="276" t="s">
        <v>55</v>
      </c>
      <c r="C245" s="276" t="s">
        <v>445</v>
      </c>
      <c r="D245" s="304" t="s">
        <v>446</v>
      </c>
      <c r="E245" s="227" t="s">
        <v>481</v>
      </c>
      <c r="F245" s="87" t="s">
        <v>222</v>
      </c>
      <c r="G245" s="87" t="s">
        <v>196</v>
      </c>
      <c r="H245" s="87" t="s">
        <v>165</v>
      </c>
      <c r="I245" s="389">
        <v>6</v>
      </c>
      <c r="J245" s="306">
        <f t="shared" si="31"/>
        <v>0</v>
      </c>
      <c r="K245" s="406" t="s">
        <v>197</v>
      </c>
      <c r="L245" s="389"/>
      <c r="M245" s="405"/>
      <c r="N245" s="405"/>
      <c r="O245" s="230"/>
      <c r="P245" s="230"/>
      <c r="Q245" s="229">
        <f>IF(K245="nio",0,IF(K245&gt;0,K245*I245/W245,0))*VLOOKUP(B245,'2-Kosten per locatie'!$A$14:$C$25,3,FALSE)</f>
        <v>0</v>
      </c>
      <c r="R245" s="229">
        <f>IF(L245&gt;0,L245*I245/X245,0)*VLOOKUP(B245,'2-Kosten per locatie'!$A$14:$C$25,3,FALSE)</f>
        <v>0</v>
      </c>
      <c r="S245" s="229">
        <f>IF(M245&gt;0,M245*I245/Y245,0)*VLOOKUP(B245,'2-Kosten per locatie'!$A$14:$C$25,3,FALSE)</f>
        <v>0</v>
      </c>
      <c r="T245" s="229">
        <f>IF(N245&gt;0,N245*I245/Z245,0)*VLOOKUP(B245,'2-Kosten per locatie'!$A$14:$C$25,3,FALSE)</f>
        <v>0</v>
      </c>
      <c r="U245" s="229">
        <f>IF(O245&gt;0,O245*I245/Y245,0)*VLOOKUP(B245,'2-Kosten per locatie'!$A$14:$C$25,3,FALSE)</f>
        <v>0</v>
      </c>
      <c r="V245" s="229">
        <f>IF(P245&gt;0,P245*I245/Z245,0)*VLOOKUP(B245,'2-Kosten per locatie'!$A$14:$C$25,3,FALSE)</f>
        <v>0</v>
      </c>
      <c r="W245" s="307">
        <f>IF(K245="nio",0,IF(K245&gt;0,VLOOKUP(G245,'3-Productie normen'!A:R,VLOOKUP(K245,'3-Productie normen'!$B$29:$C$41,2,FALSE),FALSE)))</f>
        <v>0</v>
      </c>
      <c r="X245" s="307">
        <f t="shared" si="36"/>
        <v>0</v>
      </c>
      <c r="Y245" s="307">
        <f t="shared" si="37"/>
        <v>0</v>
      </c>
      <c r="Z245" s="307">
        <f t="shared" si="38"/>
        <v>0</v>
      </c>
      <c r="AA245" s="308" t="e">
        <f>VLOOKUP(G245,'3-Productie normen'!A:U,15,FALSE)</f>
        <v>#N/A</v>
      </c>
      <c r="AB245" s="309" t="e">
        <f>VLOOKUP(G245,'3-Productie normen'!A:U,16,FALSE)</f>
        <v>#N/A</v>
      </c>
      <c r="AC245" s="308"/>
      <c r="AE245" s="310">
        <f t="shared" si="39"/>
        <v>0</v>
      </c>
    </row>
    <row r="246" spans="1:31" ht="14.1" customHeight="1">
      <c r="A246" s="75">
        <v>261</v>
      </c>
      <c r="B246" s="276" t="s">
        <v>55</v>
      </c>
      <c r="C246" s="276" t="s">
        <v>445</v>
      </c>
      <c r="D246" s="304" t="s">
        <v>446</v>
      </c>
      <c r="E246" s="227" t="s">
        <v>482</v>
      </c>
      <c r="F246" s="87" t="s">
        <v>195</v>
      </c>
      <c r="G246" s="87" t="s">
        <v>196</v>
      </c>
      <c r="H246" s="87" t="s">
        <v>165</v>
      </c>
      <c r="I246" s="389">
        <v>1.5</v>
      </c>
      <c r="J246" s="306">
        <f t="shared" si="31"/>
        <v>0</v>
      </c>
      <c r="K246" s="406" t="s">
        <v>197</v>
      </c>
      <c r="L246" s="389"/>
      <c r="M246" s="405"/>
      <c r="N246" s="405"/>
      <c r="O246" s="230"/>
      <c r="P246" s="230"/>
      <c r="Q246" s="229">
        <f>IF(K246="nio",0,IF(K246&gt;0,K246*I246/W246,0))*VLOOKUP(B246,'2-Kosten per locatie'!$A$14:$C$25,3,FALSE)</f>
        <v>0</v>
      </c>
      <c r="R246" s="229">
        <f>IF(L246&gt;0,L246*I246/X246,0)*VLOOKUP(B246,'2-Kosten per locatie'!$A$14:$C$25,3,FALSE)</f>
        <v>0</v>
      </c>
      <c r="S246" s="229">
        <f>IF(M246&gt;0,M246*I246/Y246,0)*VLOOKUP(B246,'2-Kosten per locatie'!$A$14:$C$25,3,FALSE)</f>
        <v>0</v>
      </c>
      <c r="T246" s="229">
        <f>IF(N246&gt;0,N246*I246/Z246,0)*VLOOKUP(B246,'2-Kosten per locatie'!$A$14:$C$25,3,FALSE)</f>
        <v>0</v>
      </c>
      <c r="U246" s="229">
        <f>IF(O246&gt;0,O246*I246/Y246,0)*VLOOKUP(B246,'2-Kosten per locatie'!$A$14:$C$25,3,FALSE)</f>
        <v>0</v>
      </c>
      <c r="V246" s="229">
        <f>IF(P246&gt;0,P246*I246/Z246,0)*VLOOKUP(B246,'2-Kosten per locatie'!$A$14:$C$25,3,FALSE)</f>
        <v>0</v>
      </c>
      <c r="W246" s="307">
        <f>IF(K246="nio",0,IF(K246&gt;0,VLOOKUP(G246,'3-Productie normen'!A:R,VLOOKUP(K246,'3-Productie normen'!$B$29:$C$41,2,FALSE),FALSE)))</f>
        <v>0</v>
      </c>
      <c r="X246" s="307">
        <f t="shared" si="36"/>
        <v>0</v>
      </c>
      <c r="Y246" s="307">
        <f t="shared" si="37"/>
        <v>0</v>
      </c>
      <c r="Z246" s="307">
        <f t="shared" si="38"/>
        <v>0</v>
      </c>
      <c r="AA246" s="308" t="e">
        <f>VLOOKUP(G246,'3-Productie normen'!A:U,15,FALSE)</f>
        <v>#N/A</v>
      </c>
      <c r="AB246" s="309" t="e">
        <f>VLOOKUP(G246,'3-Productie normen'!A:U,16,FALSE)</f>
        <v>#N/A</v>
      </c>
      <c r="AC246" s="308"/>
      <c r="AE246" s="310">
        <f t="shared" si="39"/>
        <v>0</v>
      </c>
    </row>
    <row r="247" spans="1:31" ht="14.1" customHeight="1">
      <c r="A247" s="75">
        <v>262</v>
      </c>
      <c r="B247" s="276" t="s">
        <v>55</v>
      </c>
      <c r="C247" s="276" t="s">
        <v>445</v>
      </c>
      <c r="D247" s="304" t="s">
        <v>446</v>
      </c>
      <c r="E247" s="227" t="s">
        <v>483</v>
      </c>
      <c r="F247" s="87" t="s">
        <v>484</v>
      </c>
      <c r="G247" s="87" t="s">
        <v>196</v>
      </c>
      <c r="H247" s="87" t="s">
        <v>465</v>
      </c>
      <c r="I247" s="389">
        <v>4</v>
      </c>
      <c r="J247" s="306">
        <f t="shared" si="31"/>
        <v>0</v>
      </c>
      <c r="K247" s="406" t="s">
        <v>197</v>
      </c>
      <c r="L247" s="389"/>
      <c r="M247" s="405"/>
      <c r="N247" s="405"/>
      <c r="O247" s="230"/>
      <c r="P247" s="230"/>
      <c r="Q247" s="229">
        <f>IF(K247="nio",0,IF(K247&gt;0,K247*I247/W247,0))*VLOOKUP(B247,'2-Kosten per locatie'!$A$14:$C$25,3,FALSE)</f>
        <v>0</v>
      </c>
      <c r="R247" s="229">
        <f>IF(L247&gt;0,L247*I247/X247,0)*VLOOKUP(B247,'2-Kosten per locatie'!$A$14:$C$25,3,FALSE)</f>
        <v>0</v>
      </c>
      <c r="S247" s="229">
        <f>IF(M247&gt;0,M247*I247/Y247,0)*VLOOKUP(B247,'2-Kosten per locatie'!$A$14:$C$25,3,FALSE)</f>
        <v>0</v>
      </c>
      <c r="T247" s="229">
        <f>IF(N247&gt;0,N247*I247/Z247,0)*VLOOKUP(B247,'2-Kosten per locatie'!$A$14:$C$25,3,FALSE)</f>
        <v>0</v>
      </c>
      <c r="U247" s="229">
        <f>IF(O247&gt;0,O247*I247/Y247,0)*VLOOKUP(B247,'2-Kosten per locatie'!$A$14:$C$25,3,FALSE)</f>
        <v>0</v>
      </c>
      <c r="V247" s="229">
        <f>IF(P247&gt;0,P247*I247/Z247,0)*VLOOKUP(B247,'2-Kosten per locatie'!$A$14:$C$25,3,FALSE)</f>
        <v>0</v>
      </c>
      <c r="W247" s="307">
        <f>IF(K247="nio",0,IF(K247&gt;0,VLOOKUP(G247,'3-Productie normen'!A:R,VLOOKUP(K247,'3-Productie normen'!$B$29:$C$41,2,FALSE),FALSE)))</f>
        <v>0</v>
      </c>
      <c r="X247" s="307">
        <f t="shared" si="36"/>
        <v>0</v>
      </c>
      <c r="Y247" s="307">
        <f t="shared" si="37"/>
        <v>0</v>
      </c>
      <c r="Z247" s="307">
        <f t="shared" si="38"/>
        <v>0</v>
      </c>
      <c r="AA247" s="308" t="e">
        <f>VLOOKUP(G247,'3-Productie normen'!A:U,15,FALSE)</f>
        <v>#N/A</v>
      </c>
      <c r="AB247" s="309" t="e">
        <f>VLOOKUP(G247,'3-Productie normen'!A:U,16,FALSE)</f>
        <v>#N/A</v>
      </c>
      <c r="AC247" s="308"/>
      <c r="AE247" s="310">
        <f t="shared" si="39"/>
        <v>0</v>
      </c>
    </row>
    <row r="248" spans="1:31" ht="14.1" customHeight="1">
      <c r="A248" s="75">
        <v>263</v>
      </c>
      <c r="B248" s="276" t="s">
        <v>55</v>
      </c>
      <c r="C248" s="276" t="s">
        <v>445</v>
      </c>
      <c r="D248" s="304" t="s">
        <v>446</v>
      </c>
      <c r="E248" s="227" t="s">
        <v>485</v>
      </c>
      <c r="F248" s="87" t="s">
        <v>486</v>
      </c>
      <c r="G248" s="87" t="s">
        <v>196</v>
      </c>
      <c r="H248" s="87" t="s">
        <v>465</v>
      </c>
      <c r="I248" s="389">
        <v>4</v>
      </c>
      <c r="J248" s="306">
        <f t="shared" si="31"/>
        <v>0</v>
      </c>
      <c r="K248" s="406" t="s">
        <v>197</v>
      </c>
      <c r="L248" s="389"/>
      <c r="M248" s="405"/>
      <c r="N248" s="405"/>
      <c r="O248" s="230"/>
      <c r="P248" s="230"/>
      <c r="Q248" s="229">
        <f>IF(K248="nio",0,IF(K248&gt;0,K248*I248/W248,0))*VLOOKUP(B248,'2-Kosten per locatie'!$A$14:$C$25,3,FALSE)</f>
        <v>0</v>
      </c>
      <c r="R248" s="229">
        <f>IF(L248&gt;0,L248*I248/X248,0)*VLOOKUP(B248,'2-Kosten per locatie'!$A$14:$C$25,3,FALSE)</f>
        <v>0</v>
      </c>
      <c r="S248" s="229">
        <f>IF(M248&gt;0,M248*I248/Y248,0)*VLOOKUP(B248,'2-Kosten per locatie'!$A$14:$C$25,3,FALSE)</f>
        <v>0</v>
      </c>
      <c r="T248" s="229">
        <f>IF(N248&gt;0,N248*I248/Z248,0)*VLOOKUP(B248,'2-Kosten per locatie'!$A$14:$C$25,3,FALSE)</f>
        <v>0</v>
      </c>
      <c r="U248" s="229">
        <f>IF(O248&gt;0,O248*I248/Y248,0)*VLOOKUP(B248,'2-Kosten per locatie'!$A$14:$C$25,3,FALSE)</f>
        <v>0</v>
      </c>
      <c r="V248" s="229">
        <f>IF(P248&gt;0,P248*I248/Z248,0)*VLOOKUP(B248,'2-Kosten per locatie'!$A$14:$C$25,3,FALSE)</f>
        <v>0</v>
      </c>
      <c r="W248" s="307">
        <f>IF(K248="nio",0,IF(K248&gt;0,VLOOKUP(G248,'3-Productie normen'!A:R,VLOOKUP(K248,'3-Productie normen'!$B$29:$C$41,2,FALSE),FALSE)))</f>
        <v>0</v>
      </c>
      <c r="X248" s="307">
        <f t="shared" si="36"/>
        <v>0</v>
      </c>
      <c r="Y248" s="307">
        <f t="shared" si="37"/>
        <v>0</v>
      </c>
      <c r="Z248" s="307">
        <f t="shared" si="38"/>
        <v>0</v>
      </c>
      <c r="AA248" s="308" t="e">
        <f>VLOOKUP(G248,'3-Productie normen'!A:U,15,FALSE)</f>
        <v>#N/A</v>
      </c>
      <c r="AB248" s="309" t="e">
        <f>VLOOKUP(G248,'3-Productie normen'!A:U,16,FALSE)</f>
        <v>#N/A</v>
      </c>
      <c r="AC248" s="308"/>
      <c r="AE248" s="310">
        <f t="shared" si="39"/>
        <v>0</v>
      </c>
    </row>
    <row r="249" spans="1:31" ht="14.1" customHeight="1">
      <c r="A249" s="75">
        <v>264</v>
      </c>
      <c r="B249" s="276" t="s">
        <v>55</v>
      </c>
      <c r="C249" s="276" t="s">
        <v>445</v>
      </c>
      <c r="D249" s="304" t="s">
        <v>446</v>
      </c>
      <c r="E249" s="227" t="s">
        <v>487</v>
      </c>
      <c r="F249" s="87" t="s">
        <v>488</v>
      </c>
      <c r="G249" s="87" t="s">
        <v>196</v>
      </c>
      <c r="H249" s="87" t="s">
        <v>465</v>
      </c>
      <c r="I249" s="389">
        <v>1</v>
      </c>
      <c r="J249" s="306">
        <f t="shared" si="31"/>
        <v>0</v>
      </c>
      <c r="K249" s="406" t="s">
        <v>197</v>
      </c>
      <c r="L249" s="389"/>
      <c r="M249" s="405"/>
      <c r="N249" s="405"/>
      <c r="O249" s="230"/>
      <c r="P249" s="230"/>
      <c r="Q249" s="229">
        <f>IF(K249="nio",0,IF(K249&gt;0,K249*I249/W249,0))*VLOOKUP(B249,'2-Kosten per locatie'!$A$14:$C$25,3,FALSE)</f>
        <v>0</v>
      </c>
      <c r="R249" s="229">
        <f>IF(L249&gt;0,L249*I249/X249,0)*VLOOKUP(B249,'2-Kosten per locatie'!$A$14:$C$25,3,FALSE)</f>
        <v>0</v>
      </c>
      <c r="S249" s="229">
        <f>IF(M249&gt;0,M249*I249/Y249,0)*VLOOKUP(B249,'2-Kosten per locatie'!$A$14:$C$25,3,FALSE)</f>
        <v>0</v>
      </c>
      <c r="T249" s="229">
        <f>IF(N249&gt;0,N249*I249/Z249,0)*VLOOKUP(B249,'2-Kosten per locatie'!$A$14:$C$25,3,FALSE)</f>
        <v>0</v>
      </c>
      <c r="U249" s="229">
        <f>IF(O249&gt;0,O249*I249/Y249,0)*VLOOKUP(B249,'2-Kosten per locatie'!$A$14:$C$25,3,FALSE)</f>
        <v>0</v>
      </c>
      <c r="V249" s="229">
        <f>IF(P249&gt;0,P249*I249/Z249,0)*VLOOKUP(B249,'2-Kosten per locatie'!$A$14:$C$25,3,FALSE)</f>
        <v>0</v>
      </c>
      <c r="W249" s="307">
        <f>IF(K249="nio",0,IF(K249&gt;0,VLOOKUP(G249,'3-Productie normen'!A:R,VLOOKUP(K249,'3-Productie normen'!$B$29:$C$41,2,FALSE),FALSE)))</f>
        <v>0</v>
      </c>
      <c r="X249" s="307">
        <f t="shared" si="36"/>
        <v>0</v>
      </c>
      <c r="Y249" s="307">
        <f t="shared" si="37"/>
        <v>0</v>
      </c>
      <c r="Z249" s="307">
        <f t="shared" si="38"/>
        <v>0</v>
      </c>
      <c r="AA249" s="308" t="e">
        <f>VLOOKUP(G249,'3-Productie normen'!A:U,15,FALSE)</f>
        <v>#N/A</v>
      </c>
      <c r="AB249" s="309" t="e">
        <f>VLOOKUP(G249,'3-Productie normen'!A:U,16,FALSE)</f>
        <v>#N/A</v>
      </c>
      <c r="AC249" s="308"/>
      <c r="AE249" s="310">
        <f t="shared" si="39"/>
        <v>0</v>
      </c>
    </row>
    <row r="250" spans="1:31" ht="14.1" hidden="1" customHeight="1">
      <c r="A250" s="75">
        <v>222</v>
      </c>
      <c r="B250" s="380" t="s">
        <v>56</v>
      </c>
      <c r="C250" s="276" t="s">
        <v>489</v>
      </c>
      <c r="D250" s="304" t="s">
        <v>420</v>
      </c>
      <c r="E250" s="305" t="s">
        <v>421</v>
      </c>
      <c r="F250" s="71" t="s">
        <v>191</v>
      </c>
      <c r="G250" s="71" t="s">
        <v>191</v>
      </c>
      <c r="H250" s="71" t="s">
        <v>490</v>
      </c>
      <c r="I250" s="388">
        <v>4</v>
      </c>
      <c r="J250" s="306">
        <f t="shared" si="31"/>
        <v>255</v>
      </c>
      <c r="K250" s="230">
        <v>255</v>
      </c>
      <c r="L250" s="230"/>
      <c r="M250" s="230"/>
      <c r="N250" s="230"/>
      <c r="O250" s="230"/>
      <c r="P250" s="230"/>
      <c r="Q250" s="229" t="e">
        <f>IF(K250="nio",0,IF(K250&gt;0,K250*I250/W250,0))*VLOOKUP(B250,'2-Kosten per locatie'!$A$14:$C$25,3,FALSE)</f>
        <v>#DIV/0!</v>
      </c>
      <c r="R250" s="229">
        <f>IF(L250&gt;0,L250*I250/X250,0)*VLOOKUP(B250,'2-Kosten per locatie'!$A$14:$C$25,3,FALSE)</f>
        <v>0</v>
      </c>
      <c r="S250" s="229">
        <f>IF(M250&gt;0,M250*I250/Y250,0)*VLOOKUP(B250,'2-Kosten per locatie'!$A$14:$C$25,3,FALSE)</f>
        <v>0</v>
      </c>
      <c r="T250" s="229">
        <f>IF(N250&gt;0,N250*I250/Z250,0)*VLOOKUP(B250,'2-Kosten per locatie'!$A$14:$C$25,3,FALSE)</f>
        <v>0</v>
      </c>
      <c r="U250" s="229">
        <f>IF(O250&gt;0,O250*I250/Y250,0)*VLOOKUP(B250,'2-Kosten per locatie'!$A$14:$C$25,3,FALSE)</f>
        <v>0</v>
      </c>
      <c r="V250" s="229">
        <f>IF(P250&gt;0,P250*I250/Z250,0)*VLOOKUP(B250,'2-Kosten per locatie'!$A$14:$C$25,3,FALSE)</f>
        <v>0</v>
      </c>
      <c r="W250" s="307">
        <f>IF(K250="nio",0,IF(K250&gt;0,VLOOKUP(G250,'3-Productie normen'!A:R,VLOOKUP(K250,'3-Productie normen'!$B$29:$C$41,2,FALSE),FALSE)))</f>
        <v>0</v>
      </c>
      <c r="X250" s="307">
        <f t="shared" si="32"/>
        <v>0</v>
      </c>
      <c r="Y250" s="307">
        <f t="shared" si="33"/>
        <v>0</v>
      </c>
      <c r="Z250" s="307">
        <f t="shared" si="34"/>
        <v>0</v>
      </c>
      <c r="AA250" s="308">
        <f>VLOOKUP(G250,'3-Productie normen'!A:U,15,FALSE)</f>
        <v>0</v>
      </c>
      <c r="AB250" s="309">
        <f>VLOOKUP(G250,'3-Productie normen'!A:U,16,FALSE)</f>
        <v>84.322499999999991</v>
      </c>
      <c r="AC250" s="308"/>
      <c r="AE250" s="310">
        <f t="shared" si="35"/>
        <v>1020</v>
      </c>
    </row>
    <row r="251" spans="1:31" ht="14.1" hidden="1" customHeight="1">
      <c r="A251" s="75">
        <v>223</v>
      </c>
      <c r="B251" s="380" t="s">
        <v>56</v>
      </c>
      <c r="C251" s="276" t="s">
        <v>489</v>
      </c>
      <c r="D251" s="304" t="s">
        <v>420</v>
      </c>
      <c r="E251" s="305" t="s">
        <v>422</v>
      </c>
      <c r="F251" s="71" t="s">
        <v>491</v>
      </c>
      <c r="G251" s="71" t="s">
        <v>98</v>
      </c>
      <c r="H251" s="71" t="s">
        <v>321</v>
      </c>
      <c r="I251" s="388">
        <v>72.5</v>
      </c>
      <c r="J251" s="306">
        <f t="shared" si="31"/>
        <v>156</v>
      </c>
      <c r="K251" s="230">
        <v>156</v>
      </c>
      <c r="L251" s="230"/>
      <c r="M251" s="230"/>
      <c r="N251" s="230"/>
      <c r="O251" s="230"/>
      <c r="P251" s="230"/>
      <c r="Q251" s="229" t="e">
        <f>IF(K251="nio",0,IF(K251&gt;0,K251*I251/W251,0))*VLOOKUP(B251,'2-Kosten per locatie'!$A$14:$C$25,3,FALSE)</f>
        <v>#DIV/0!</v>
      </c>
      <c r="R251" s="229">
        <f>IF(L251&gt;0,L251*I251/X251,0)*VLOOKUP(B251,'2-Kosten per locatie'!$A$14:$C$25,3,FALSE)</f>
        <v>0</v>
      </c>
      <c r="S251" s="229">
        <f>IF(M251&gt;0,M251*I251/Y251,0)*VLOOKUP(B251,'2-Kosten per locatie'!$A$14:$C$25,3,FALSE)</f>
        <v>0</v>
      </c>
      <c r="T251" s="229">
        <f>IF(N251&gt;0,N251*I251/Z251,0)*VLOOKUP(B251,'2-Kosten per locatie'!$A$14:$C$25,3,FALSE)</f>
        <v>0</v>
      </c>
      <c r="U251" s="229">
        <f>IF(O251&gt;0,O251*I251/Y251,0)*VLOOKUP(B251,'2-Kosten per locatie'!$A$14:$C$25,3,FALSE)</f>
        <v>0</v>
      </c>
      <c r="V251" s="229">
        <f>IF(P251&gt;0,P251*I251/Z251,0)*VLOOKUP(B251,'2-Kosten per locatie'!$A$14:$C$25,3,FALSE)</f>
        <v>0</v>
      </c>
      <c r="W251" s="307">
        <f>IF(K251="nio",0,IF(K251&gt;0,VLOOKUP(G251,'3-Productie normen'!A:R,VLOOKUP(K251,'3-Productie normen'!$B$29:$C$41,2,FALSE),FALSE)))</f>
        <v>0</v>
      </c>
      <c r="X251" s="307">
        <f t="shared" si="32"/>
        <v>0</v>
      </c>
      <c r="Y251" s="307">
        <f t="shared" si="33"/>
        <v>0</v>
      </c>
      <c r="Z251" s="307">
        <f t="shared" si="34"/>
        <v>0</v>
      </c>
      <c r="AA251" s="308">
        <f>VLOOKUP(G251,'3-Productie normen'!A:U,15,FALSE)</f>
        <v>0</v>
      </c>
      <c r="AB251" s="309">
        <f>VLOOKUP(G251,'3-Productie normen'!A:U,16,FALSE)</f>
        <v>467.3</v>
      </c>
      <c r="AC251" s="308"/>
      <c r="AE251" s="310">
        <f t="shared" si="35"/>
        <v>11310</v>
      </c>
    </row>
    <row r="252" spans="1:31" ht="14.1" hidden="1" customHeight="1">
      <c r="A252" s="75">
        <v>224</v>
      </c>
      <c r="B252" s="380" t="s">
        <v>56</v>
      </c>
      <c r="C252" s="276" t="s">
        <v>489</v>
      </c>
      <c r="D252" s="304" t="s">
        <v>420</v>
      </c>
      <c r="E252" s="305" t="s">
        <v>423</v>
      </c>
      <c r="F252" s="71" t="s">
        <v>492</v>
      </c>
      <c r="G252" s="71" t="s">
        <v>103</v>
      </c>
      <c r="H252" s="71" t="s">
        <v>493</v>
      </c>
      <c r="I252" s="388">
        <v>11.4</v>
      </c>
      <c r="J252" s="306">
        <f t="shared" si="31"/>
        <v>255</v>
      </c>
      <c r="K252" s="230">
        <v>255</v>
      </c>
      <c r="L252" s="230"/>
      <c r="M252" s="230"/>
      <c r="N252" s="230"/>
      <c r="O252" s="230"/>
      <c r="P252" s="230"/>
      <c r="Q252" s="229" t="e">
        <f>IF(K252="nio",0,IF(K252&gt;0,K252*I252/W252,0))*VLOOKUP(B252,'2-Kosten per locatie'!$A$14:$C$25,3,FALSE)</f>
        <v>#DIV/0!</v>
      </c>
      <c r="R252" s="229">
        <f>IF(L252&gt;0,L252*I252/X252,0)*VLOOKUP(B252,'2-Kosten per locatie'!$A$14:$C$25,3,FALSE)</f>
        <v>0</v>
      </c>
      <c r="S252" s="229">
        <f>IF(M252&gt;0,M252*I252/Y252,0)*VLOOKUP(B252,'2-Kosten per locatie'!$A$14:$C$25,3,FALSE)</f>
        <v>0</v>
      </c>
      <c r="T252" s="229">
        <f>IF(N252&gt;0,N252*I252/Z252,0)*VLOOKUP(B252,'2-Kosten per locatie'!$A$14:$C$25,3,FALSE)</f>
        <v>0</v>
      </c>
      <c r="U252" s="229">
        <f>IF(O252&gt;0,O252*I252/Y252,0)*VLOOKUP(B252,'2-Kosten per locatie'!$A$14:$C$25,3,FALSE)</f>
        <v>0</v>
      </c>
      <c r="V252" s="229">
        <f>IF(P252&gt;0,P252*I252/Z252,0)*VLOOKUP(B252,'2-Kosten per locatie'!$A$14:$C$25,3,FALSE)</f>
        <v>0</v>
      </c>
      <c r="W252" s="307">
        <f>IF(K252="nio",0,IF(K252&gt;0,VLOOKUP(G252,'3-Productie normen'!A:R,VLOOKUP(K252,'3-Productie normen'!$B$29:$C$41,2,FALSE),FALSE)))</f>
        <v>0</v>
      </c>
      <c r="X252" s="307">
        <f t="shared" si="32"/>
        <v>0</v>
      </c>
      <c r="Y252" s="307">
        <f t="shared" si="33"/>
        <v>0</v>
      </c>
      <c r="Z252" s="307">
        <f t="shared" si="34"/>
        <v>0</v>
      </c>
      <c r="AA252" s="308">
        <f>VLOOKUP(G252,'3-Productie normen'!A:U,15,FALSE)</f>
        <v>0</v>
      </c>
      <c r="AB252" s="309">
        <f>VLOOKUP(G252,'3-Productie normen'!A:U,16,FALSE)</f>
        <v>198.56500000000014</v>
      </c>
      <c r="AC252" s="308"/>
      <c r="AE252" s="310">
        <f t="shared" si="35"/>
        <v>2907</v>
      </c>
    </row>
    <row r="253" spans="1:31" ht="14.1" hidden="1" customHeight="1">
      <c r="A253" s="75">
        <v>225</v>
      </c>
      <c r="B253" s="380" t="s">
        <v>56</v>
      </c>
      <c r="C253" s="276" t="s">
        <v>489</v>
      </c>
      <c r="D253" s="304" t="s">
        <v>420</v>
      </c>
      <c r="E253" s="305" t="s">
        <v>425</v>
      </c>
      <c r="F253" s="71" t="s">
        <v>494</v>
      </c>
      <c r="G253" s="71" t="s">
        <v>99</v>
      </c>
      <c r="H253" s="71" t="s">
        <v>321</v>
      </c>
      <c r="I253" s="388">
        <v>24.1</v>
      </c>
      <c r="J253" s="306">
        <f t="shared" si="31"/>
        <v>255</v>
      </c>
      <c r="K253" s="230">
        <v>255</v>
      </c>
      <c r="L253" s="230"/>
      <c r="M253" s="230"/>
      <c r="N253" s="230"/>
      <c r="O253" s="230"/>
      <c r="P253" s="230"/>
      <c r="Q253" s="229" t="e">
        <f>IF(K253="nio",0,IF(K253&gt;0,K253*I253/W253,0))*VLOOKUP(B253,'2-Kosten per locatie'!$A$14:$C$25,3,FALSE)</f>
        <v>#DIV/0!</v>
      </c>
      <c r="R253" s="229">
        <f>IF(L253&gt;0,L253*I253/X253,0)*VLOOKUP(B253,'2-Kosten per locatie'!$A$14:$C$25,3,FALSE)</f>
        <v>0</v>
      </c>
      <c r="S253" s="229">
        <f>IF(M253&gt;0,M253*I253/Y253,0)*VLOOKUP(B253,'2-Kosten per locatie'!$A$14:$C$25,3,FALSE)</f>
        <v>0</v>
      </c>
      <c r="T253" s="229">
        <f>IF(N253&gt;0,N253*I253/Z253,0)*VLOOKUP(B253,'2-Kosten per locatie'!$A$14:$C$25,3,FALSE)</f>
        <v>0</v>
      </c>
      <c r="U253" s="229">
        <f>IF(O253&gt;0,O253*I253/Y253,0)*VLOOKUP(B253,'2-Kosten per locatie'!$A$14:$C$25,3,FALSE)</f>
        <v>0</v>
      </c>
      <c r="V253" s="229">
        <f>IF(P253&gt;0,P253*I253/Z253,0)*VLOOKUP(B253,'2-Kosten per locatie'!$A$14:$C$25,3,FALSE)</f>
        <v>0</v>
      </c>
      <c r="W253" s="307">
        <f>IF(K253="nio",0,IF(K253&gt;0,VLOOKUP(G253,'3-Productie normen'!A:R,VLOOKUP(K253,'3-Productie normen'!$B$29:$C$41,2,FALSE),FALSE)))</f>
        <v>0</v>
      </c>
      <c r="X253" s="307">
        <f t="shared" si="32"/>
        <v>0</v>
      </c>
      <c r="Y253" s="307">
        <f t="shared" si="33"/>
        <v>0</v>
      </c>
      <c r="Z253" s="307">
        <f t="shared" si="34"/>
        <v>0</v>
      </c>
      <c r="AA253" s="308">
        <f>VLOOKUP(G253,'3-Productie normen'!A:U,15,FALSE)</f>
        <v>0</v>
      </c>
      <c r="AB253" s="309">
        <f>VLOOKUP(G253,'3-Productie normen'!A:U,16,FALSE)</f>
        <v>98.211600000000004</v>
      </c>
      <c r="AC253" s="308"/>
      <c r="AE253" s="310">
        <f t="shared" si="35"/>
        <v>6145.5</v>
      </c>
    </row>
    <row r="254" spans="1:31" ht="14.1" hidden="1" customHeight="1">
      <c r="A254" s="75">
        <v>226</v>
      </c>
      <c r="B254" s="380" t="s">
        <v>56</v>
      </c>
      <c r="C254" s="276" t="s">
        <v>489</v>
      </c>
      <c r="D254" s="304" t="s">
        <v>420</v>
      </c>
      <c r="E254" s="305" t="s">
        <v>426</v>
      </c>
      <c r="F254" s="71" t="s">
        <v>495</v>
      </c>
      <c r="G254" s="71" t="s">
        <v>92</v>
      </c>
      <c r="H254" s="71" t="s">
        <v>496</v>
      </c>
      <c r="I254" s="388">
        <v>54.8</v>
      </c>
      <c r="J254" s="306">
        <f t="shared" si="31"/>
        <v>104</v>
      </c>
      <c r="K254" s="230">
        <v>104</v>
      </c>
      <c r="L254" s="230"/>
      <c r="M254" s="230"/>
      <c r="N254" s="230"/>
      <c r="O254" s="230"/>
      <c r="P254" s="230"/>
      <c r="Q254" s="229" t="e">
        <f>IF(K254="nio",0,IF(K254&gt;0,K254*I254/W254,0))*VLOOKUP(B254,'2-Kosten per locatie'!$A$14:$C$25,3,FALSE)</f>
        <v>#DIV/0!</v>
      </c>
      <c r="R254" s="229">
        <f>IF(L254&gt;0,L254*I254/X254,0)*VLOOKUP(B254,'2-Kosten per locatie'!$A$14:$C$25,3,FALSE)</f>
        <v>0</v>
      </c>
      <c r="S254" s="229">
        <f>IF(M254&gt;0,M254*I254/Y254,0)*VLOOKUP(B254,'2-Kosten per locatie'!$A$14:$C$25,3,FALSE)</f>
        <v>0</v>
      </c>
      <c r="T254" s="229">
        <f>IF(N254&gt;0,N254*I254/Z254,0)*VLOOKUP(B254,'2-Kosten per locatie'!$A$14:$C$25,3,FALSE)</f>
        <v>0</v>
      </c>
      <c r="U254" s="229">
        <f>IF(O254&gt;0,O254*I254/Y254,0)*VLOOKUP(B254,'2-Kosten per locatie'!$A$14:$C$25,3,FALSE)</f>
        <v>0</v>
      </c>
      <c r="V254" s="229">
        <f>IF(P254&gt;0,P254*I254/Z254,0)*VLOOKUP(B254,'2-Kosten per locatie'!$A$14:$C$25,3,FALSE)</f>
        <v>0</v>
      </c>
      <c r="W254" s="307">
        <f>IF(K254="nio",0,IF(K254&gt;0,VLOOKUP(G254,'3-Productie normen'!A:R,VLOOKUP(K254,'3-Productie normen'!$B$29:$C$41,2,FALSE),FALSE)))</f>
        <v>0</v>
      </c>
      <c r="X254" s="307">
        <f t="shared" si="32"/>
        <v>0</v>
      </c>
      <c r="Y254" s="307">
        <f t="shared" si="33"/>
        <v>0</v>
      </c>
      <c r="Z254" s="307">
        <f t="shared" si="34"/>
        <v>0</v>
      </c>
      <c r="AA254" s="308">
        <f>VLOOKUP(G254,'3-Productie normen'!A:U,15,FALSE)</f>
        <v>0</v>
      </c>
      <c r="AB254" s="309">
        <f>VLOOKUP(G254,'3-Productie normen'!A:U,16,FALSE)</f>
        <v>915.88999999999976</v>
      </c>
      <c r="AC254" s="308"/>
      <c r="AE254" s="310">
        <f t="shared" si="35"/>
        <v>5699.2</v>
      </c>
    </row>
    <row r="255" spans="1:31" ht="14.1" hidden="1" customHeight="1">
      <c r="A255" s="75">
        <v>227</v>
      </c>
      <c r="B255" s="380" t="s">
        <v>56</v>
      </c>
      <c r="C255" s="276" t="s">
        <v>489</v>
      </c>
      <c r="D255" s="304" t="s">
        <v>420</v>
      </c>
      <c r="E255" s="305" t="s">
        <v>427</v>
      </c>
      <c r="F255" s="71" t="s">
        <v>495</v>
      </c>
      <c r="G255" s="71" t="s">
        <v>92</v>
      </c>
      <c r="H255" s="71" t="s">
        <v>496</v>
      </c>
      <c r="I255" s="388">
        <v>27.4</v>
      </c>
      <c r="J255" s="306">
        <f t="shared" si="31"/>
        <v>104</v>
      </c>
      <c r="K255" s="230">
        <v>104</v>
      </c>
      <c r="L255" s="230"/>
      <c r="M255" s="230"/>
      <c r="N255" s="230"/>
      <c r="O255" s="230"/>
      <c r="P255" s="230"/>
      <c r="Q255" s="229" t="e">
        <f>IF(K255="nio",0,IF(K255&gt;0,K255*I255/W255,0))*VLOOKUP(B255,'2-Kosten per locatie'!$A$14:$C$25,3,FALSE)</f>
        <v>#DIV/0!</v>
      </c>
      <c r="R255" s="229">
        <f>IF(L255&gt;0,L255*I255/X255,0)*VLOOKUP(B255,'2-Kosten per locatie'!$A$14:$C$25,3,FALSE)</f>
        <v>0</v>
      </c>
      <c r="S255" s="229">
        <f>IF(M255&gt;0,M255*I255/Y255,0)*VLOOKUP(B255,'2-Kosten per locatie'!$A$14:$C$25,3,FALSE)</f>
        <v>0</v>
      </c>
      <c r="T255" s="229">
        <f>IF(N255&gt;0,N255*I255/Z255,0)*VLOOKUP(B255,'2-Kosten per locatie'!$A$14:$C$25,3,FALSE)</f>
        <v>0</v>
      </c>
      <c r="U255" s="229">
        <f>IF(O255&gt;0,O255*I255/Y255,0)*VLOOKUP(B255,'2-Kosten per locatie'!$A$14:$C$25,3,FALSE)</f>
        <v>0</v>
      </c>
      <c r="V255" s="229">
        <f>IF(P255&gt;0,P255*I255/Z255,0)*VLOOKUP(B255,'2-Kosten per locatie'!$A$14:$C$25,3,FALSE)</f>
        <v>0</v>
      </c>
      <c r="W255" s="307">
        <f>IF(K255="nio",0,IF(K255&gt;0,VLOOKUP(G255,'3-Productie normen'!A:R,VLOOKUP(K255,'3-Productie normen'!$B$29:$C$41,2,FALSE),FALSE)))</f>
        <v>0</v>
      </c>
      <c r="X255" s="307">
        <f t="shared" si="32"/>
        <v>0</v>
      </c>
      <c r="Y255" s="307">
        <f t="shared" si="33"/>
        <v>0</v>
      </c>
      <c r="Z255" s="307">
        <f t="shared" si="34"/>
        <v>0</v>
      </c>
      <c r="AA255" s="308">
        <f>VLOOKUP(G255,'3-Productie normen'!A:U,15,FALSE)</f>
        <v>0</v>
      </c>
      <c r="AB255" s="309">
        <f>VLOOKUP(G255,'3-Productie normen'!A:U,16,FALSE)</f>
        <v>915.88999999999976</v>
      </c>
      <c r="AC255" s="308"/>
      <c r="AE255" s="310">
        <f t="shared" si="35"/>
        <v>2849.6</v>
      </c>
    </row>
    <row r="256" spans="1:31" ht="14.1" hidden="1" customHeight="1">
      <c r="A256" s="75">
        <v>228</v>
      </c>
      <c r="B256" s="380" t="s">
        <v>56</v>
      </c>
      <c r="C256" s="276" t="s">
        <v>489</v>
      </c>
      <c r="D256" s="304" t="s">
        <v>420</v>
      </c>
      <c r="E256" s="305" t="s">
        <v>429</v>
      </c>
      <c r="F256" s="71" t="s">
        <v>497</v>
      </c>
      <c r="G256" s="71" t="s">
        <v>107</v>
      </c>
      <c r="H256" s="71" t="s">
        <v>496</v>
      </c>
      <c r="I256" s="388">
        <v>27.4</v>
      </c>
      <c r="J256" s="306">
        <f t="shared" si="31"/>
        <v>156</v>
      </c>
      <c r="K256" s="230">
        <v>156</v>
      </c>
      <c r="L256" s="230"/>
      <c r="M256" s="230"/>
      <c r="N256" s="230"/>
      <c r="O256" s="230"/>
      <c r="P256" s="230"/>
      <c r="Q256" s="229" t="e">
        <f>IF(K256="nio",0,IF(K256&gt;0,K256*I256/W256,0))*VLOOKUP(B256,'2-Kosten per locatie'!$A$14:$C$25,3,FALSE)</f>
        <v>#DIV/0!</v>
      </c>
      <c r="R256" s="229">
        <f>IF(L256&gt;0,L256*I256/X256,0)*VLOOKUP(B256,'2-Kosten per locatie'!$A$14:$C$25,3,FALSE)</f>
        <v>0</v>
      </c>
      <c r="S256" s="229">
        <f>IF(M256&gt;0,M256*I256/Y256,0)*VLOOKUP(B256,'2-Kosten per locatie'!$A$14:$C$25,3,FALSE)</f>
        <v>0</v>
      </c>
      <c r="T256" s="229">
        <f>IF(N256&gt;0,N256*I256/Z256,0)*VLOOKUP(B256,'2-Kosten per locatie'!$A$14:$C$25,3,FALSE)</f>
        <v>0</v>
      </c>
      <c r="U256" s="229">
        <f>IF(O256&gt;0,O256*I256/Y256,0)*VLOOKUP(B256,'2-Kosten per locatie'!$A$14:$C$25,3,FALSE)</f>
        <v>0</v>
      </c>
      <c r="V256" s="229">
        <f>IF(P256&gt;0,P256*I256/Z256,0)*VLOOKUP(B256,'2-Kosten per locatie'!$A$14:$C$25,3,FALSE)</f>
        <v>0</v>
      </c>
      <c r="W256" s="307">
        <f>IF(K256="nio",0,IF(K256&gt;0,VLOOKUP(G256,'3-Productie normen'!A:R,VLOOKUP(K256,'3-Productie normen'!$B$29:$C$41,2,FALSE),FALSE)))</f>
        <v>0</v>
      </c>
      <c r="X256" s="307">
        <f t="shared" si="32"/>
        <v>0</v>
      </c>
      <c r="Y256" s="307">
        <f t="shared" si="33"/>
        <v>0</v>
      </c>
      <c r="Z256" s="307">
        <f t="shared" si="34"/>
        <v>0</v>
      </c>
      <c r="AA256" s="308">
        <f>VLOOKUP(G256,'3-Productie normen'!A:U,15,FALSE)</f>
        <v>0</v>
      </c>
      <c r="AB256" s="309">
        <f>VLOOKUP(G256,'3-Productie normen'!A:U,16,FALSE)</f>
        <v>479.64999999999992</v>
      </c>
      <c r="AC256" s="308"/>
      <c r="AE256" s="310">
        <f t="shared" si="35"/>
        <v>4274.3999999999996</v>
      </c>
    </row>
    <row r="257" spans="1:31" ht="14.1" hidden="1" customHeight="1">
      <c r="A257" s="75">
        <v>229</v>
      </c>
      <c r="B257" s="380" t="s">
        <v>56</v>
      </c>
      <c r="C257" s="276" t="s">
        <v>489</v>
      </c>
      <c r="D257" s="304" t="s">
        <v>420</v>
      </c>
      <c r="E257" s="305" t="s">
        <v>431</v>
      </c>
      <c r="F257" s="71" t="s">
        <v>491</v>
      </c>
      <c r="G257" s="71" t="s">
        <v>98</v>
      </c>
      <c r="H257" s="71" t="s">
        <v>321</v>
      </c>
      <c r="I257" s="388">
        <v>7.4</v>
      </c>
      <c r="J257" s="306">
        <v>156</v>
      </c>
      <c r="K257" s="230">
        <v>156</v>
      </c>
      <c r="L257" s="230"/>
      <c r="M257" s="230"/>
      <c r="N257" s="230"/>
      <c r="O257" s="230"/>
      <c r="P257" s="230"/>
      <c r="Q257" s="229" t="e">
        <f>IF(K257="nio",0,IF(K257&gt;0,K257*I257/W257,0))*VLOOKUP(B257,'2-Kosten per locatie'!$A$14:$C$25,3,FALSE)</f>
        <v>#DIV/0!</v>
      </c>
      <c r="R257" s="229">
        <f>IF(L257&gt;0,L257*I257/X257,0)*VLOOKUP(B257,'2-Kosten per locatie'!$A$14:$C$25,3,FALSE)</f>
        <v>0</v>
      </c>
      <c r="S257" s="229">
        <f>IF(M257&gt;0,M257*I257/Y257,0)*VLOOKUP(B257,'2-Kosten per locatie'!$A$14:$C$25,3,FALSE)</f>
        <v>0</v>
      </c>
      <c r="T257" s="229">
        <f>IF(N257&gt;0,N257*I257/Z257,0)*VLOOKUP(B257,'2-Kosten per locatie'!$A$14:$C$25,3,FALSE)</f>
        <v>0</v>
      </c>
      <c r="U257" s="229">
        <f>IF(O257&gt;0,O257*I257/Y257,0)*VLOOKUP(B257,'2-Kosten per locatie'!$A$14:$C$25,3,FALSE)</f>
        <v>0</v>
      </c>
      <c r="V257" s="229">
        <f>IF(P257&gt;0,P257*I257/Z257,0)*VLOOKUP(B257,'2-Kosten per locatie'!$A$14:$C$25,3,FALSE)</f>
        <v>0</v>
      </c>
      <c r="W257" s="307">
        <f>IF(K257="nio",0,IF(K257&gt;0,VLOOKUP(G257,'3-Productie normen'!A:R,VLOOKUP(K257,'3-Productie normen'!$B$29:$C$41,2,FALSE),FALSE)))</f>
        <v>0</v>
      </c>
      <c r="X257" s="307">
        <f t="shared" si="32"/>
        <v>0</v>
      </c>
      <c r="Y257" s="307">
        <f t="shared" si="33"/>
        <v>0</v>
      </c>
      <c r="Z257" s="307">
        <f t="shared" si="34"/>
        <v>0</v>
      </c>
      <c r="AA257" s="308">
        <f>VLOOKUP(G257,'3-Productie normen'!A:U,15,FALSE)</f>
        <v>0</v>
      </c>
      <c r="AB257" s="309">
        <f>VLOOKUP(G257,'3-Productie normen'!A:U,16,FALSE)</f>
        <v>467.3</v>
      </c>
      <c r="AC257" s="308"/>
      <c r="AE257" s="310">
        <f t="shared" si="35"/>
        <v>1154.4000000000001</v>
      </c>
    </row>
    <row r="258" spans="1:31" ht="14.1" hidden="1" customHeight="1">
      <c r="A258" s="75">
        <v>230</v>
      </c>
      <c r="B258" s="380" t="s">
        <v>56</v>
      </c>
      <c r="C258" s="276" t="s">
        <v>489</v>
      </c>
      <c r="D258" s="304" t="s">
        <v>420</v>
      </c>
      <c r="E258" s="305" t="s">
        <v>432</v>
      </c>
      <c r="F258" s="71" t="s">
        <v>491</v>
      </c>
      <c r="G258" s="71" t="s">
        <v>98</v>
      </c>
      <c r="H258" s="71" t="s">
        <v>321</v>
      </c>
      <c r="I258" s="388">
        <v>9.1999999999999993</v>
      </c>
      <c r="J258" s="306">
        <f t="shared" si="31"/>
        <v>156</v>
      </c>
      <c r="K258" s="230">
        <v>156</v>
      </c>
      <c r="L258" s="230"/>
      <c r="M258" s="230"/>
      <c r="N258" s="230"/>
      <c r="O258" s="230"/>
      <c r="P258" s="230"/>
      <c r="Q258" s="229" t="e">
        <f>IF(K258="nio",0,IF(K258&gt;0,K258*I258/W258,0))*VLOOKUP(B258,'2-Kosten per locatie'!$A$14:$C$25,3,FALSE)</f>
        <v>#DIV/0!</v>
      </c>
      <c r="R258" s="229">
        <f>IF(L258&gt;0,L258*I258/X258,0)*VLOOKUP(B258,'2-Kosten per locatie'!$A$14:$C$25,3,FALSE)</f>
        <v>0</v>
      </c>
      <c r="S258" s="229">
        <f>IF(M258&gt;0,M258*I258/Y258,0)*VLOOKUP(B258,'2-Kosten per locatie'!$A$14:$C$25,3,FALSE)</f>
        <v>0</v>
      </c>
      <c r="T258" s="229">
        <f>IF(N258&gt;0,N258*I258/Z258,0)*VLOOKUP(B258,'2-Kosten per locatie'!$A$14:$C$25,3,FALSE)</f>
        <v>0</v>
      </c>
      <c r="U258" s="229">
        <f>IF(O258&gt;0,O258*I258/Y258,0)*VLOOKUP(B258,'2-Kosten per locatie'!$A$14:$C$25,3,FALSE)</f>
        <v>0</v>
      </c>
      <c r="V258" s="229">
        <f>IF(P258&gt;0,P258*I258/Z258,0)*VLOOKUP(B258,'2-Kosten per locatie'!$A$14:$C$25,3,FALSE)</f>
        <v>0</v>
      </c>
      <c r="W258" s="307">
        <f>IF(K258="nio",0,IF(K258&gt;0,VLOOKUP(G258,'3-Productie normen'!A:R,VLOOKUP(K258,'3-Productie normen'!$B$29:$C$41,2,FALSE),FALSE)))</f>
        <v>0</v>
      </c>
      <c r="X258" s="307">
        <f t="shared" si="32"/>
        <v>0</v>
      </c>
      <c r="Y258" s="307">
        <f t="shared" si="33"/>
        <v>0</v>
      </c>
      <c r="Z258" s="307">
        <f t="shared" si="34"/>
        <v>0</v>
      </c>
      <c r="AA258" s="308">
        <f>VLOOKUP(G258,'3-Productie normen'!A:U,15,FALSE)</f>
        <v>0</v>
      </c>
      <c r="AB258" s="309">
        <f>VLOOKUP(G258,'3-Productie normen'!A:U,16,FALSE)</f>
        <v>467.3</v>
      </c>
      <c r="AC258" s="308"/>
      <c r="AE258" s="310">
        <f t="shared" si="35"/>
        <v>1435.1999999999998</v>
      </c>
    </row>
    <row r="259" spans="1:31" ht="14.1" hidden="1" customHeight="1">
      <c r="A259" s="75">
        <v>231</v>
      </c>
      <c r="B259" s="380" t="s">
        <v>56</v>
      </c>
      <c r="C259" s="276" t="s">
        <v>489</v>
      </c>
      <c r="D259" s="304" t="s">
        <v>420</v>
      </c>
      <c r="E259" s="305" t="s">
        <v>434</v>
      </c>
      <c r="F259" s="71" t="s">
        <v>498</v>
      </c>
      <c r="G259" s="71" t="s">
        <v>107</v>
      </c>
      <c r="H259" s="71" t="s">
        <v>496</v>
      </c>
      <c r="I259" s="388">
        <v>10.3</v>
      </c>
      <c r="J259" s="306">
        <f t="shared" si="31"/>
        <v>156</v>
      </c>
      <c r="K259" s="230">
        <v>156</v>
      </c>
      <c r="L259" s="230"/>
      <c r="M259" s="230"/>
      <c r="N259" s="230"/>
      <c r="O259" s="230"/>
      <c r="P259" s="230"/>
      <c r="Q259" s="229" t="e">
        <f>IF(K259="nio",0,IF(K259&gt;0,K259*I259/W259,0))*VLOOKUP(B259,'2-Kosten per locatie'!$A$14:$C$25,3,FALSE)</f>
        <v>#DIV/0!</v>
      </c>
      <c r="R259" s="229">
        <f>IF(L259&gt;0,L259*I259/X259,0)*VLOOKUP(B259,'2-Kosten per locatie'!$A$14:$C$25,3,FALSE)</f>
        <v>0</v>
      </c>
      <c r="S259" s="229">
        <f>IF(M259&gt;0,M259*I259/Y259,0)*VLOOKUP(B259,'2-Kosten per locatie'!$A$14:$C$25,3,FALSE)</f>
        <v>0</v>
      </c>
      <c r="T259" s="229">
        <f>IF(N259&gt;0,N259*I259/Z259,0)*VLOOKUP(B259,'2-Kosten per locatie'!$A$14:$C$25,3,FALSE)</f>
        <v>0</v>
      </c>
      <c r="U259" s="229">
        <f>IF(O259&gt;0,O259*I259/Y259,0)*VLOOKUP(B259,'2-Kosten per locatie'!$A$14:$C$25,3,FALSE)</f>
        <v>0</v>
      </c>
      <c r="V259" s="229">
        <f>IF(P259&gt;0,P259*I259/Z259,0)*VLOOKUP(B259,'2-Kosten per locatie'!$A$14:$C$25,3,FALSE)</f>
        <v>0</v>
      </c>
      <c r="W259" s="307">
        <f>IF(K259="nio",0,IF(K259&gt;0,VLOOKUP(G259,'3-Productie normen'!A:R,VLOOKUP(K259,'3-Productie normen'!$B$29:$C$41,2,FALSE),FALSE)))</f>
        <v>0</v>
      </c>
      <c r="X259" s="307">
        <f t="shared" si="32"/>
        <v>0</v>
      </c>
      <c r="Y259" s="307">
        <f t="shared" si="33"/>
        <v>0</v>
      </c>
      <c r="Z259" s="307">
        <f t="shared" si="34"/>
        <v>0</v>
      </c>
      <c r="AA259" s="308">
        <f>VLOOKUP(G259,'3-Productie normen'!A:U,15,FALSE)</f>
        <v>0</v>
      </c>
      <c r="AB259" s="309">
        <f>VLOOKUP(G259,'3-Productie normen'!A:U,16,FALSE)</f>
        <v>479.64999999999992</v>
      </c>
      <c r="AC259" s="308"/>
      <c r="AE259" s="310">
        <f t="shared" si="35"/>
        <v>1606.8000000000002</v>
      </c>
    </row>
    <row r="260" spans="1:31" ht="14.1" hidden="1" customHeight="1">
      <c r="A260" s="75">
        <v>232</v>
      </c>
      <c r="B260" s="380" t="s">
        <v>56</v>
      </c>
      <c r="C260" s="276" t="s">
        <v>489</v>
      </c>
      <c r="D260" s="304" t="s">
        <v>420</v>
      </c>
      <c r="E260" s="305" t="s">
        <v>499</v>
      </c>
      <c r="F260" s="276" t="s">
        <v>500</v>
      </c>
      <c r="G260" s="276" t="s">
        <v>107</v>
      </c>
      <c r="H260" s="71" t="s">
        <v>496</v>
      </c>
      <c r="I260" s="388">
        <v>12.9</v>
      </c>
      <c r="J260" s="306">
        <f t="shared" si="31"/>
        <v>156</v>
      </c>
      <c r="K260" s="230">
        <v>156</v>
      </c>
      <c r="L260" s="230"/>
      <c r="M260" s="230"/>
      <c r="N260" s="230"/>
      <c r="O260" s="230"/>
      <c r="P260" s="230"/>
      <c r="Q260" s="229" t="e">
        <f>IF(K260="nio",0,IF(K260&gt;0,K260*I260/W260,0))*VLOOKUP(B260,'2-Kosten per locatie'!$A$14:$C$25,3,FALSE)</f>
        <v>#DIV/0!</v>
      </c>
      <c r="R260" s="229">
        <f>IF(L260&gt;0,L260*I260/X260,0)*VLOOKUP(B260,'2-Kosten per locatie'!$A$14:$C$25,3,FALSE)</f>
        <v>0</v>
      </c>
      <c r="S260" s="229">
        <f>IF(M260&gt;0,M260*I260/Y260,0)*VLOOKUP(B260,'2-Kosten per locatie'!$A$14:$C$25,3,FALSE)</f>
        <v>0</v>
      </c>
      <c r="T260" s="229">
        <f>IF(N260&gt;0,N260*I260/Z260,0)*VLOOKUP(B260,'2-Kosten per locatie'!$A$14:$C$25,3,FALSE)</f>
        <v>0</v>
      </c>
      <c r="U260" s="229">
        <f>IF(O260&gt;0,O260*I260/Y260,0)*VLOOKUP(B260,'2-Kosten per locatie'!$A$14:$C$25,3,FALSE)</f>
        <v>0</v>
      </c>
      <c r="V260" s="229">
        <f>IF(P260&gt;0,P260*I260/Z260,0)*VLOOKUP(B260,'2-Kosten per locatie'!$A$14:$C$25,3,FALSE)</f>
        <v>0</v>
      </c>
      <c r="W260" s="307">
        <f>IF(K260="nio",0,IF(K260&gt;0,VLOOKUP(G260,'3-Productie normen'!A:R,VLOOKUP(K260,'3-Productie normen'!$B$29:$C$41,2,FALSE),FALSE)))</f>
        <v>0</v>
      </c>
      <c r="X260" s="307">
        <f t="shared" si="32"/>
        <v>0</v>
      </c>
      <c r="Y260" s="307">
        <f t="shared" si="33"/>
        <v>0</v>
      </c>
      <c r="Z260" s="307">
        <f t="shared" si="34"/>
        <v>0</v>
      </c>
      <c r="AA260" s="308">
        <f>VLOOKUP(G260,'3-Productie normen'!A:U,15,FALSE)</f>
        <v>0</v>
      </c>
      <c r="AB260" s="309">
        <f>VLOOKUP(G260,'3-Productie normen'!A:U,16,FALSE)</f>
        <v>479.64999999999992</v>
      </c>
      <c r="AC260" s="308"/>
      <c r="AE260" s="310">
        <f t="shared" si="35"/>
        <v>2012.4</v>
      </c>
    </row>
    <row r="261" spans="1:31" ht="14.1" hidden="1" customHeight="1">
      <c r="A261" s="75">
        <v>233</v>
      </c>
      <c r="B261" s="380" t="s">
        <v>56</v>
      </c>
      <c r="C261" s="276" t="s">
        <v>489</v>
      </c>
      <c r="D261" s="304" t="s">
        <v>420</v>
      </c>
      <c r="E261" s="305" t="s">
        <v>501</v>
      </c>
      <c r="F261" s="276" t="s">
        <v>500</v>
      </c>
      <c r="G261" s="276" t="s">
        <v>107</v>
      </c>
      <c r="H261" s="71" t="s">
        <v>496</v>
      </c>
      <c r="I261" s="388">
        <v>12.9</v>
      </c>
      <c r="J261" s="306">
        <f t="shared" si="31"/>
        <v>156</v>
      </c>
      <c r="K261" s="230">
        <v>156</v>
      </c>
      <c r="L261" s="230"/>
      <c r="M261" s="230"/>
      <c r="N261" s="230"/>
      <c r="O261" s="230"/>
      <c r="P261" s="230"/>
      <c r="Q261" s="229" t="e">
        <f>IF(K261="nio",0,IF(K261&gt;0,K261*I261/W261,0))*VLOOKUP(B261,'2-Kosten per locatie'!$A$14:$C$25,3,FALSE)</f>
        <v>#DIV/0!</v>
      </c>
      <c r="R261" s="229">
        <f>IF(L261&gt;0,L261*I261/X261,0)*VLOOKUP(B261,'2-Kosten per locatie'!$A$14:$C$25,3,FALSE)</f>
        <v>0</v>
      </c>
      <c r="S261" s="229">
        <f>IF(M261&gt;0,M261*I261/Y261,0)*VLOOKUP(B261,'2-Kosten per locatie'!$A$14:$C$25,3,FALSE)</f>
        <v>0</v>
      </c>
      <c r="T261" s="229">
        <f>IF(N261&gt;0,N261*I261/Z261,0)*VLOOKUP(B261,'2-Kosten per locatie'!$A$14:$C$25,3,FALSE)</f>
        <v>0</v>
      </c>
      <c r="U261" s="229">
        <f>IF(O261&gt;0,O261*I261/Y261,0)*VLOOKUP(B261,'2-Kosten per locatie'!$A$14:$C$25,3,FALSE)</f>
        <v>0</v>
      </c>
      <c r="V261" s="229">
        <f>IF(P261&gt;0,P261*I261/Z261,0)*VLOOKUP(B261,'2-Kosten per locatie'!$A$14:$C$25,3,FALSE)</f>
        <v>0</v>
      </c>
      <c r="W261" s="307">
        <f>IF(K261="nio",0,IF(K261&gt;0,VLOOKUP(G261,'3-Productie normen'!A:R,VLOOKUP(K261,'3-Productie normen'!$B$29:$C$41,2,FALSE),FALSE)))</f>
        <v>0</v>
      </c>
      <c r="X261" s="307">
        <f t="shared" si="32"/>
        <v>0</v>
      </c>
      <c r="Y261" s="307">
        <f t="shared" si="33"/>
        <v>0</v>
      </c>
      <c r="Z261" s="307">
        <f t="shared" si="34"/>
        <v>0</v>
      </c>
      <c r="AA261" s="308">
        <f>VLOOKUP(G261,'3-Productie normen'!A:U,15,FALSE)</f>
        <v>0</v>
      </c>
      <c r="AB261" s="309">
        <f>VLOOKUP(G261,'3-Productie normen'!A:U,16,FALSE)</f>
        <v>479.64999999999992</v>
      </c>
      <c r="AC261" s="308"/>
      <c r="AE261" s="310">
        <f t="shared" si="35"/>
        <v>2012.4</v>
      </c>
    </row>
    <row r="262" spans="1:31" ht="14.1" hidden="1" customHeight="1">
      <c r="A262" s="75">
        <v>234</v>
      </c>
      <c r="B262" s="380" t="s">
        <v>56</v>
      </c>
      <c r="C262" s="276" t="s">
        <v>489</v>
      </c>
      <c r="D262" s="304" t="s">
        <v>420</v>
      </c>
      <c r="E262" s="305" t="s">
        <v>502</v>
      </c>
      <c r="F262" s="276" t="s">
        <v>500</v>
      </c>
      <c r="G262" s="276" t="s">
        <v>107</v>
      </c>
      <c r="H262" s="71" t="s">
        <v>496</v>
      </c>
      <c r="I262" s="388">
        <v>6.4</v>
      </c>
      <c r="J262" s="306">
        <f t="shared" si="31"/>
        <v>156</v>
      </c>
      <c r="K262" s="230">
        <v>156</v>
      </c>
      <c r="L262" s="230"/>
      <c r="M262" s="230"/>
      <c r="N262" s="230"/>
      <c r="O262" s="230"/>
      <c r="P262" s="230"/>
      <c r="Q262" s="229" t="e">
        <f>IF(K262="nio",0,IF(K262&gt;0,K262*I262/W262,0))*VLOOKUP(B262,'2-Kosten per locatie'!$A$14:$C$25,3,FALSE)</f>
        <v>#DIV/0!</v>
      </c>
      <c r="R262" s="229">
        <f>IF(L262&gt;0,L262*I262/X262,0)*VLOOKUP(B262,'2-Kosten per locatie'!$A$14:$C$25,3,FALSE)</f>
        <v>0</v>
      </c>
      <c r="S262" s="229">
        <f>IF(M262&gt;0,M262*I262/Y262,0)*VLOOKUP(B262,'2-Kosten per locatie'!$A$14:$C$25,3,FALSE)</f>
        <v>0</v>
      </c>
      <c r="T262" s="229">
        <f>IF(N262&gt;0,N262*I262/Z262,0)*VLOOKUP(B262,'2-Kosten per locatie'!$A$14:$C$25,3,FALSE)</f>
        <v>0</v>
      </c>
      <c r="U262" s="229">
        <f>IF(O262&gt;0,O262*I262/Y262,0)*VLOOKUP(B262,'2-Kosten per locatie'!$A$14:$C$25,3,FALSE)</f>
        <v>0</v>
      </c>
      <c r="V262" s="229">
        <f>IF(P262&gt;0,P262*I262/Z262,0)*VLOOKUP(B262,'2-Kosten per locatie'!$A$14:$C$25,3,FALSE)</f>
        <v>0</v>
      </c>
      <c r="W262" s="307">
        <f>IF(K262="nio",0,IF(K262&gt;0,VLOOKUP(G262,'3-Productie normen'!A:R,VLOOKUP(K262,'3-Productie normen'!$B$29:$C$41,2,FALSE),FALSE)))</f>
        <v>0</v>
      </c>
      <c r="X262" s="307">
        <f t="shared" si="32"/>
        <v>0</v>
      </c>
      <c r="Y262" s="307">
        <f t="shared" si="33"/>
        <v>0</v>
      </c>
      <c r="Z262" s="307">
        <f t="shared" si="34"/>
        <v>0</v>
      </c>
      <c r="AA262" s="308">
        <f>VLOOKUP(G262,'3-Productie normen'!A:U,15,FALSE)</f>
        <v>0</v>
      </c>
      <c r="AB262" s="309">
        <f>VLOOKUP(G262,'3-Productie normen'!A:U,16,FALSE)</f>
        <v>479.64999999999992</v>
      </c>
      <c r="AC262" s="308"/>
      <c r="AE262" s="310">
        <f t="shared" si="35"/>
        <v>998.40000000000009</v>
      </c>
    </row>
    <row r="263" spans="1:31" ht="14.1" hidden="1" customHeight="1">
      <c r="A263" s="75">
        <v>235</v>
      </c>
      <c r="B263" s="380" t="s">
        <v>56</v>
      </c>
      <c r="C263" s="276" t="s">
        <v>489</v>
      </c>
      <c r="D263" s="304" t="s">
        <v>420</v>
      </c>
      <c r="E263" s="305" t="s">
        <v>503</v>
      </c>
      <c r="F263" s="71" t="s">
        <v>495</v>
      </c>
      <c r="G263" s="71" t="s">
        <v>92</v>
      </c>
      <c r="H263" s="71" t="s">
        <v>496</v>
      </c>
      <c r="I263" s="388">
        <v>36.5</v>
      </c>
      <c r="J263" s="306">
        <f t="shared" si="31"/>
        <v>104</v>
      </c>
      <c r="K263" s="230">
        <v>104</v>
      </c>
      <c r="L263" s="230"/>
      <c r="M263" s="230"/>
      <c r="N263" s="230"/>
      <c r="O263" s="230"/>
      <c r="P263" s="230"/>
      <c r="Q263" s="229" t="e">
        <f>IF(K263="nio",0,IF(K263&gt;0,K263*I263/W263,0))*VLOOKUP(B263,'2-Kosten per locatie'!$A$14:$C$25,3,FALSE)</f>
        <v>#DIV/0!</v>
      </c>
      <c r="R263" s="229">
        <f>IF(L263&gt;0,L263*I263/X263,0)*VLOOKUP(B263,'2-Kosten per locatie'!$A$14:$C$25,3,FALSE)</f>
        <v>0</v>
      </c>
      <c r="S263" s="229">
        <f>IF(M263&gt;0,M263*I263/Y263,0)*VLOOKUP(B263,'2-Kosten per locatie'!$A$14:$C$25,3,FALSE)</f>
        <v>0</v>
      </c>
      <c r="T263" s="229">
        <f>IF(N263&gt;0,N263*I263/Z263,0)*VLOOKUP(B263,'2-Kosten per locatie'!$A$14:$C$25,3,FALSE)</f>
        <v>0</v>
      </c>
      <c r="U263" s="229">
        <f>IF(O263&gt;0,O263*I263/Y263,0)*VLOOKUP(B263,'2-Kosten per locatie'!$A$14:$C$25,3,FALSE)</f>
        <v>0</v>
      </c>
      <c r="V263" s="229">
        <f>IF(P263&gt;0,P263*I263/Z263,0)*VLOOKUP(B263,'2-Kosten per locatie'!$A$14:$C$25,3,FALSE)</f>
        <v>0</v>
      </c>
      <c r="W263" s="307">
        <f>IF(K263="nio",0,IF(K263&gt;0,VLOOKUP(G263,'3-Productie normen'!A:R,VLOOKUP(K263,'3-Productie normen'!$B$29:$C$41,2,FALSE),FALSE)))</f>
        <v>0</v>
      </c>
      <c r="X263" s="307">
        <f t="shared" si="32"/>
        <v>0</v>
      </c>
      <c r="Y263" s="307">
        <f t="shared" si="33"/>
        <v>0</v>
      </c>
      <c r="Z263" s="307">
        <f t="shared" si="34"/>
        <v>0</v>
      </c>
      <c r="AA263" s="308">
        <f>VLOOKUP(G263,'3-Productie normen'!A:U,15,FALSE)</f>
        <v>0</v>
      </c>
      <c r="AB263" s="309">
        <f>VLOOKUP(G263,'3-Productie normen'!A:U,16,FALSE)</f>
        <v>915.88999999999976</v>
      </c>
      <c r="AC263" s="308"/>
      <c r="AE263" s="310">
        <f t="shared" si="35"/>
        <v>3796</v>
      </c>
    </row>
    <row r="264" spans="1:31" ht="14.1" hidden="1" customHeight="1">
      <c r="A264" s="75">
        <v>236</v>
      </c>
      <c r="B264" s="380" t="s">
        <v>56</v>
      </c>
      <c r="C264" s="276" t="s">
        <v>489</v>
      </c>
      <c r="D264" s="304" t="s">
        <v>420</v>
      </c>
      <c r="E264" s="305" t="s">
        <v>504</v>
      </c>
      <c r="F264" s="71" t="s">
        <v>505</v>
      </c>
      <c r="G264" s="71" t="s">
        <v>92</v>
      </c>
      <c r="H264" s="71" t="s">
        <v>496</v>
      </c>
      <c r="I264" s="388">
        <v>1.4</v>
      </c>
      <c r="J264" s="306">
        <f t="shared" si="31"/>
        <v>104</v>
      </c>
      <c r="K264" s="230">
        <v>104</v>
      </c>
      <c r="L264" s="230"/>
      <c r="M264" s="230"/>
      <c r="N264" s="230"/>
      <c r="O264" s="230"/>
      <c r="P264" s="230"/>
      <c r="Q264" s="229" t="e">
        <f>IF(K264="nio",0,IF(K264&gt;0,K264*I264/W264,0))*VLOOKUP(B264,'2-Kosten per locatie'!$A$14:$C$25,3,FALSE)</f>
        <v>#DIV/0!</v>
      </c>
      <c r="R264" s="229">
        <f>IF(L264&gt;0,L264*I264/X264,0)*VLOOKUP(B264,'2-Kosten per locatie'!$A$14:$C$25,3,FALSE)</f>
        <v>0</v>
      </c>
      <c r="S264" s="229">
        <f>IF(M264&gt;0,M264*I264/Y264,0)*VLOOKUP(B264,'2-Kosten per locatie'!$A$14:$C$25,3,FALSE)</f>
        <v>0</v>
      </c>
      <c r="T264" s="229">
        <f>IF(N264&gt;0,N264*I264/Z264,0)*VLOOKUP(B264,'2-Kosten per locatie'!$A$14:$C$25,3,FALSE)</f>
        <v>0</v>
      </c>
      <c r="U264" s="229">
        <f>IF(O264&gt;0,O264*I264/Y264,0)*VLOOKUP(B264,'2-Kosten per locatie'!$A$14:$C$25,3,FALSE)</f>
        <v>0</v>
      </c>
      <c r="V264" s="229">
        <f>IF(P264&gt;0,P264*I264/Z264,0)*VLOOKUP(B264,'2-Kosten per locatie'!$A$14:$C$25,3,FALSE)</f>
        <v>0</v>
      </c>
      <c r="W264" s="307">
        <f>IF(K264="nio",0,IF(K264&gt;0,VLOOKUP(G264,'3-Productie normen'!A:R,VLOOKUP(K264,'3-Productie normen'!$B$29:$C$41,2,FALSE),FALSE)))</f>
        <v>0</v>
      </c>
      <c r="X264" s="307">
        <f t="shared" si="32"/>
        <v>0</v>
      </c>
      <c r="Y264" s="307">
        <f t="shared" si="33"/>
        <v>0</v>
      </c>
      <c r="Z264" s="307">
        <f t="shared" si="34"/>
        <v>0</v>
      </c>
      <c r="AA264" s="308">
        <f>VLOOKUP(G264,'3-Productie normen'!A:U,15,FALSE)</f>
        <v>0</v>
      </c>
      <c r="AB264" s="309">
        <f>VLOOKUP(G264,'3-Productie normen'!A:U,16,FALSE)</f>
        <v>915.88999999999976</v>
      </c>
      <c r="AC264" s="308"/>
      <c r="AE264" s="310">
        <f t="shared" si="35"/>
        <v>145.6</v>
      </c>
    </row>
    <row r="265" spans="1:31" ht="14.1" hidden="1" customHeight="1">
      <c r="A265" s="75">
        <v>237</v>
      </c>
      <c r="B265" s="380" t="s">
        <v>56</v>
      </c>
      <c r="C265" s="276" t="s">
        <v>489</v>
      </c>
      <c r="D265" s="304" t="s">
        <v>420</v>
      </c>
      <c r="E265" s="305" t="s">
        <v>506</v>
      </c>
      <c r="F265" s="71" t="s">
        <v>505</v>
      </c>
      <c r="G265" s="71" t="s">
        <v>92</v>
      </c>
      <c r="H265" s="71" t="s">
        <v>496</v>
      </c>
      <c r="I265" s="388">
        <v>1.4</v>
      </c>
      <c r="J265" s="306">
        <f t="shared" si="31"/>
        <v>104</v>
      </c>
      <c r="K265" s="230">
        <v>104</v>
      </c>
      <c r="L265" s="230"/>
      <c r="M265" s="230"/>
      <c r="N265" s="230"/>
      <c r="O265" s="230"/>
      <c r="P265" s="230"/>
      <c r="Q265" s="229" t="e">
        <f>IF(K265="nio",0,IF(K265&gt;0,K265*I265/W265,0))*VLOOKUP(B265,'2-Kosten per locatie'!$A$14:$C$25,3,FALSE)</f>
        <v>#DIV/0!</v>
      </c>
      <c r="R265" s="229">
        <f>IF(L265&gt;0,L265*I265/X265,0)*VLOOKUP(B265,'2-Kosten per locatie'!$A$14:$C$25,3,FALSE)</f>
        <v>0</v>
      </c>
      <c r="S265" s="229">
        <f>IF(M265&gt;0,M265*I265/Y265,0)*VLOOKUP(B265,'2-Kosten per locatie'!$A$14:$C$25,3,FALSE)</f>
        <v>0</v>
      </c>
      <c r="T265" s="229">
        <f>IF(N265&gt;0,N265*I265/Z265,0)*VLOOKUP(B265,'2-Kosten per locatie'!$A$14:$C$25,3,FALSE)</f>
        <v>0</v>
      </c>
      <c r="U265" s="229">
        <f>IF(O265&gt;0,O265*I265/Y265,0)*VLOOKUP(B265,'2-Kosten per locatie'!$A$14:$C$25,3,FALSE)</f>
        <v>0</v>
      </c>
      <c r="V265" s="229">
        <f>IF(P265&gt;0,P265*I265/Z265,0)*VLOOKUP(B265,'2-Kosten per locatie'!$A$14:$C$25,3,FALSE)</f>
        <v>0</v>
      </c>
      <c r="W265" s="307">
        <f>IF(K265="nio",0,IF(K265&gt;0,VLOOKUP(G265,'3-Productie normen'!A:R,VLOOKUP(K265,'3-Productie normen'!$B$29:$C$41,2,FALSE),FALSE)))</f>
        <v>0</v>
      </c>
      <c r="X265" s="307">
        <f t="shared" si="32"/>
        <v>0</v>
      </c>
      <c r="Y265" s="307">
        <f t="shared" si="33"/>
        <v>0</v>
      </c>
      <c r="Z265" s="307">
        <f t="shared" si="34"/>
        <v>0</v>
      </c>
      <c r="AA265" s="308">
        <f>VLOOKUP(G265,'3-Productie normen'!A:U,15,FALSE)</f>
        <v>0</v>
      </c>
      <c r="AB265" s="309">
        <f>VLOOKUP(G265,'3-Productie normen'!A:U,16,FALSE)</f>
        <v>915.88999999999976</v>
      </c>
      <c r="AC265" s="308"/>
      <c r="AE265" s="310">
        <f t="shared" si="35"/>
        <v>145.6</v>
      </c>
    </row>
    <row r="266" spans="1:31" ht="14.1" hidden="1" customHeight="1">
      <c r="A266" s="75">
        <v>238</v>
      </c>
      <c r="B266" s="380" t="s">
        <v>56</v>
      </c>
      <c r="C266" s="276" t="s">
        <v>489</v>
      </c>
      <c r="D266" s="304" t="s">
        <v>420</v>
      </c>
      <c r="E266" s="305" t="s">
        <v>507</v>
      </c>
      <c r="F266" s="71" t="s">
        <v>505</v>
      </c>
      <c r="G266" s="71" t="s">
        <v>92</v>
      </c>
      <c r="H266" s="71" t="s">
        <v>496</v>
      </c>
      <c r="I266" s="388">
        <v>1.4</v>
      </c>
      <c r="J266" s="306">
        <f t="shared" si="31"/>
        <v>104</v>
      </c>
      <c r="K266" s="230">
        <v>104</v>
      </c>
      <c r="L266" s="230"/>
      <c r="M266" s="230"/>
      <c r="N266" s="230"/>
      <c r="O266" s="230"/>
      <c r="P266" s="230"/>
      <c r="Q266" s="229" t="e">
        <f>IF(K266="nio",0,IF(K266&gt;0,K266*I266/W266,0))*VLOOKUP(B266,'2-Kosten per locatie'!$A$14:$C$25,3,FALSE)</f>
        <v>#DIV/0!</v>
      </c>
      <c r="R266" s="229">
        <f>IF(L266&gt;0,L266*I266/X266,0)*VLOOKUP(B266,'2-Kosten per locatie'!$A$14:$C$25,3,FALSE)</f>
        <v>0</v>
      </c>
      <c r="S266" s="229">
        <f>IF(M266&gt;0,M266*I266/Y266,0)*VLOOKUP(B266,'2-Kosten per locatie'!$A$14:$C$25,3,FALSE)</f>
        <v>0</v>
      </c>
      <c r="T266" s="229">
        <f>IF(N266&gt;0,N266*I266/Z266,0)*VLOOKUP(B266,'2-Kosten per locatie'!$A$14:$C$25,3,FALSE)</f>
        <v>0</v>
      </c>
      <c r="U266" s="229">
        <f>IF(O266&gt;0,O266*I266/Y266,0)*VLOOKUP(B266,'2-Kosten per locatie'!$A$14:$C$25,3,FALSE)</f>
        <v>0</v>
      </c>
      <c r="V266" s="229">
        <f>IF(P266&gt;0,P266*I266/Z266,0)*VLOOKUP(B266,'2-Kosten per locatie'!$A$14:$C$25,3,FALSE)</f>
        <v>0</v>
      </c>
      <c r="W266" s="307">
        <f>IF(K266="nio",0,IF(K266&gt;0,VLOOKUP(G266,'3-Productie normen'!A:R,VLOOKUP(K266,'3-Productie normen'!$B$29:$C$41,2,FALSE),FALSE)))</f>
        <v>0</v>
      </c>
      <c r="X266" s="307">
        <f t="shared" si="32"/>
        <v>0</v>
      </c>
      <c r="Y266" s="307">
        <f t="shared" si="33"/>
        <v>0</v>
      </c>
      <c r="Z266" s="307">
        <f t="shared" si="34"/>
        <v>0</v>
      </c>
      <c r="AA266" s="308">
        <f>VLOOKUP(G266,'3-Productie normen'!A:U,15,FALSE)</f>
        <v>0</v>
      </c>
      <c r="AB266" s="309">
        <f>VLOOKUP(G266,'3-Productie normen'!A:U,16,FALSE)</f>
        <v>915.88999999999976</v>
      </c>
      <c r="AC266" s="308"/>
      <c r="AE266" s="310">
        <f t="shared" si="35"/>
        <v>145.6</v>
      </c>
    </row>
    <row r="267" spans="1:31" ht="14.1" hidden="1" customHeight="1">
      <c r="A267" s="75">
        <v>239</v>
      </c>
      <c r="B267" s="380" t="s">
        <v>56</v>
      </c>
      <c r="C267" s="276" t="s">
        <v>489</v>
      </c>
      <c r="D267" s="304" t="s">
        <v>420</v>
      </c>
      <c r="E267" s="227" t="s">
        <v>508</v>
      </c>
      <c r="F267" s="87" t="s">
        <v>505</v>
      </c>
      <c r="G267" s="87" t="s">
        <v>92</v>
      </c>
      <c r="H267" s="88" t="s">
        <v>496</v>
      </c>
      <c r="I267" s="389">
        <v>1.4</v>
      </c>
      <c r="J267" s="306">
        <f t="shared" si="31"/>
        <v>104</v>
      </c>
      <c r="K267" s="230">
        <v>104</v>
      </c>
      <c r="L267" s="230"/>
      <c r="M267" s="230"/>
      <c r="N267" s="230"/>
      <c r="O267" s="230"/>
      <c r="P267" s="230"/>
      <c r="Q267" s="229" t="e">
        <f>IF(K267="nio",0,IF(K267&gt;0,K267*I267/W267,0))*VLOOKUP(B267,'2-Kosten per locatie'!$A$14:$C$25,3,FALSE)</f>
        <v>#DIV/0!</v>
      </c>
      <c r="R267" s="229">
        <f>IF(L267&gt;0,L267*I267/X267,0)*VLOOKUP(B267,'2-Kosten per locatie'!$A$14:$C$25,3,FALSE)</f>
        <v>0</v>
      </c>
      <c r="S267" s="229">
        <f>IF(M267&gt;0,M267*I267/Y267,0)*VLOOKUP(B267,'2-Kosten per locatie'!$A$14:$C$25,3,FALSE)</f>
        <v>0</v>
      </c>
      <c r="T267" s="229">
        <f>IF(N267&gt;0,N267*I267/Z267,0)*VLOOKUP(B267,'2-Kosten per locatie'!$A$14:$C$25,3,FALSE)</f>
        <v>0</v>
      </c>
      <c r="U267" s="229">
        <f>IF(O267&gt;0,O267*I267/Y267,0)*VLOOKUP(B267,'2-Kosten per locatie'!$A$14:$C$25,3,FALSE)</f>
        <v>0</v>
      </c>
      <c r="V267" s="229">
        <f>IF(P267&gt;0,P267*I267/Z267,0)*VLOOKUP(B267,'2-Kosten per locatie'!$A$14:$C$25,3,FALSE)</f>
        <v>0</v>
      </c>
      <c r="W267" s="307">
        <f>IF(K267="nio",0,IF(K267&gt;0,VLOOKUP(G267,'3-Productie normen'!A:R,VLOOKUP(K267,'3-Productie normen'!$B$29:$C$41,2,FALSE),FALSE)))</f>
        <v>0</v>
      </c>
      <c r="X267" s="307">
        <f t="shared" si="32"/>
        <v>0</v>
      </c>
      <c r="Y267" s="307">
        <f t="shared" si="33"/>
        <v>0</v>
      </c>
      <c r="Z267" s="307">
        <f t="shared" si="34"/>
        <v>0</v>
      </c>
      <c r="AA267" s="308">
        <f>VLOOKUP(G267,'3-Productie normen'!A:U,15,FALSE)</f>
        <v>0</v>
      </c>
      <c r="AB267" s="309">
        <f>VLOOKUP(G267,'3-Productie normen'!A:U,16,FALSE)</f>
        <v>915.88999999999976</v>
      </c>
      <c r="AC267" s="308"/>
      <c r="AE267" s="310">
        <f t="shared" si="35"/>
        <v>145.6</v>
      </c>
    </row>
    <row r="268" spans="1:31" ht="14.1" hidden="1" customHeight="1">
      <c r="A268" s="75">
        <v>240</v>
      </c>
      <c r="B268" s="380" t="s">
        <v>56</v>
      </c>
      <c r="C268" s="276" t="s">
        <v>489</v>
      </c>
      <c r="D268" s="304" t="s">
        <v>420</v>
      </c>
      <c r="E268" s="227" t="s">
        <v>509</v>
      </c>
      <c r="F268" s="87" t="s">
        <v>191</v>
      </c>
      <c r="G268" s="87" t="s">
        <v>96</v>
      </c>
      <c r="H268" s="88" t="s">
        <v>490</v>
      </c>
      <c r="I268" s="389">
        <v>4.5999999999999996</v>
      </c>
      <c r="J268" s="306">
        <f t="shared" si="31"/>
        <v>255</v>
      </c>
      <c r="K268" s="230">
        <v>255</v>
      </c>
      <c r="L268" s="230"/>
      <c r="M268" s="230"/>
      <c r="N268" s="230"/>
      <c r="O268" s="230"/>
      <c r="P268" s="230"/>
      <c r="Q268" s="229" t="e">
        <f>IF(K268="nio",0,IF(K268&gt;0,K268*I268/W268,0))*VLOOKUP(B268,'2-Kosten per locatie'!$A$14:$C$25,3,FALSE)</f>
        <v>#DIV/0!</v>
      </c>
      <c r="R268" s="229">
        <f>IF(L268&gt;0,L268*I268/X268,0)*VLOOKUP(B268,'2-Kosten per locatie'!$A$14:$C$25,3,FALSE)</f>
        <v>0</v>
      </c>
      <c r="S268" s="229">
        <f>IF(M268&gt;0,M268*I268/Y268,0)*VLOOKUP(B268,'2-Kosten per locatie'!$A$14:$C$25,3,FALSE)</f>
        <v>0</v>
      </c>
      <c r="T268" s="229">
        <f>IF(N268&gt;0,N268*I268/Z268,0)*VLOOKUP(B268,'2-Kosten per locatie'!$A$14:$C$25,3,FALSE)</f>
        <v>0</v>
      </c>
      <c r="U268" s="229">
        <f>IF(O268&gt;0,O268*I268/Y268,0)*VLOOKUP(B268,'2-Kosten per locatie'!$A$14:$C$25,3,FALSE)</f>
        <v>0</v>
      </c>
      <c r="V268" s="229">
        <f>IF(P268&gt;0,P268*I268/Z268,0)*VLOOKUP(B268,'2-Kosten per locatie'!$A$14:$C$25,3,FALSE)</f>
        <v>0</v>
      </c>
      <c r="W268" s="307">
        <f>IF(K268="nio",0,IF(K268&gt;0,VLOOKUP(G268,'3-Productie normen'!A:R,VLOOKUP(K268,'3-Productie normen'!$B$29:$C$41,2,FALSE),FALSE)))</f>
        <v>0</v>
      </c>
      <c r="X268" s="307">
        <f t="shared" si="32"/>
        <v>0</v>
      </c>
      <c r="Y268" s="307">
        <f t="shared" si="33"/>
        <v>0</v>
      </c>
      <c r="Z268" s="307">
        <f t="shared" si="34"/>
        <v>0</v>
      </c>
      <c r="AA268" s="308">
        <f>VLOOKUP(G268,'3-Productie normen'!A:U,15,FALSE)</f>
        <v>0</v>
      </c>
      <c r="AB268" s="309">
        <f>VLOOKUP(G268,'3-Productie normen'!A:U,16,FALSE)</f>
        <v>84.322499999999991</v>
      </c>
      <c r="AC268" s="308"/>
      <c r="AE268" s="310">
        <f t="shared" si="35"/>
        <v>1173</v>
      </c>
    </row>
    <row r="269" spans="1:31" ht="14.1" hidden="1" customHeight="1">
      <c r="A269" s="75">
        <v>241</v>
      </c>
      <c r="B269" s="380" t="s">
        <v>56</v>
      </c>
      <c r="C269" s="276" t="s">
        <v>489</v>
      </c>
      <c r="D269" s="304" t="s">
        <v>420</v>
      </c>
      <c r="E269" s="227" t="s">
        <v>510</v>
      </c>
      <c r="F269" s="87" t="s">
        <v>511</v>
      </c>
      <c r="G269" s="71" t="s">
        <v>196</v>
      </c>
      <c r="H269" s="88" t="s">
        <v>192</v>
      </c>
      <c r="I269" s="389">
        <v>60.8</v>
      </c>
      <c r="J269" s="306">
        <f t="shared" si="31"/>
        <v>0</v>
      </c>
      <c r="K269" s="230" t="s">
        <v>197</v>
      </c>
      <c r="L269" s="230"/>
      <c r="M269" s="230"/>
      <c r="N269" s="230"/>
      <c r="O269" s="230"/>
      <c r="P269" s="230"/>
      <c r="Q269" s="229">
        <f>IF(K269="nio",0,IF(K269&gt;0,K269*I269/W269,0))*VLOOKUP(B269,'2-Kosten per locatie'!$A$14:$C$25,3,FALSE)</f>
        <v>0</v>
      </c>
      <c r="R269" s="229">
        <f>IF(L269&gt;0,L269*I269/X269,0)*VLOOKUP(B269,'2-Kosten per locatie'!$A$14:$C$25,3,FALSE)</f>
        <v>0</v>
      </c>
      <c r="S269" s="229">
        <f>IF(M269&gt;0,M269*I269/Y269,0)*VLOOKUP(B269,'2-Kosten per locatie'!$A$14:$C$25,3,FALSE)</f>
        <v>0</v>
      </c>
      <c r="T269" s="229">
        <f>IF(N269&gt;0,N269*I269/Z269,0)*VLOOKUP(B269,'2-Kosten per locatie'!$A$14:$C$25,3,FALSE)</f>
        <v>0</v>
      </c>
      <c r="U269" s="229">
        <f>IF(O269&gt;0,O269*I269/Y269,0)*VLOOKUP(B269,'2-Kosten per locatie'!$A$14:$C$25,3,FALSE)</f>
        <v>0</v>
      </c>
      <c r="V269" s="229">
        <f>IF(P269&gt;0,P269*I269/Z269,0)*VLOOKUP(B269,'2-Kosten per locatie'!$A$14:$C$25,3,FALSE)</f>
        <v>0</v>
      </c>
      <c r="W269" s="307">
        <f>IF(K269="nio",0,IF(K269&gt;0,VLOOKUP(G269,'3-Productie normen'!A:R,VLOOKUP(K269,'3-Productie normen'!$B$29:$C$41,2,FALSE),FALSE)))</f>
        <v>0</v>
      </c>
      <c r="X269" s="307">
        <f t="shared" si="32"/>
        <v>0</v>
      </c>
      <c r="Y269" s="307">
        <f t="shared" si="33"/>
        <v>0</v>
      </c>
      <c r="Z269" s="307">
        <f t="shared" si="34"/>
        <v>0</v>
      </c>
      <c r="AA269" s="308" t="e">
        <f>VLOOKUP(G269,'3-Productie normen'!A:U,15,FALSE)</f>
        <v>#N/A</v>
      </c>
      <c r="AB269" s="309" t="e">
        <f>VLOOKUP(G269,'3-Productie normen'!A:U,16,FALSE)</f>
        <v>#N/A</v>
      </c>
      <c r="AC269" s="308"/>
      <c r="AE269" s="310">
        <f t="shared" si="35"/>
        <v>0</v>
      </c>
    </row>
    <row r="270" spans="1:31" ht="14.1" hidden="1" customHeight="1">
      <c r="A270" s="75">
        <v>40</v>
      </c>
      <c r="B270" s="380" t="s">
        <v>60</v>
      </c>
      <c r="C270" s="276" t="s">
        <v>152</v>
      </c>
      <c r="D270" s="304" t="s">
        <v>186</v>
      </c>
      <c r="E270" s="305" t="s">
        <v>154</v>
      </c>
      <c r="F270" s="71" t="s">
        <v>512</v>
      </c>
      <c r="G270" s="71" t="s">
        <v>108</v>
      </c>
      <c r="H270" s="71" t="s">
        <v>156</v>
      </c>
      <c r="I270" s="388">
        <v>8.6999999999999993</v>
      </c>
      <c r="J270" s="306">
        <f>SUM(K270:P270)</f>
        <v>104</v>
      </c>
      <c r="K270" s="230">
        <v>104</v>
      </c>
      <c r="L270" s="230"/>
      <c r="M270" s="230"/>
      <c r="N270" s="230"/>
      <c r="O270" s="230"/>
      <c r="P270" s="230"/>
      <c r="Q270" s="229" t="e">
        <f>IF(K270="nio",0,IF(K270&gt;0,K270*I270/W270,0))*VLOOKUP(B270,'2-Kosten per locatie'!$A$14:$C$25,3,FALSE)</f>
        <v>#DIV/0!</v>
      </c>
      <c r="R270" s="229">
        <f>IF(L270&gt;0,L270*I270/X270,0)*VLOOKUP(B270,'2-Kosten per locatie'!$A$14:$C$25,3,FALSE)</f>
        <v>0</v>
      </c>
      <c r="S270" s="229">
        <f>IF(M270&gt;0,M270*I270/Y270,0)*VLOOKUP(B270,'2-Kosten per locatie'!$A$14:$C$25,3,FALSE)</f>
        <v>0</v>
      </c>
      <c r="T270" s="229">
        <f>IF(N270&gt;0,N270*I270/Z270,0)*VLOOKUP(B270,'2-Kosten per locatie'!$A$14:$C$25,3,FALSE)</f>
        <v>0</v>
      </c>
      <c r="U270" s="229">
        <f>IF(O270&gt;0,O270*I270/Y270,0)*VLOOKUP(B270,'2-Kosten per locatie'!$A$14:$C$25,3,FALSE)</f>
        <v>0</v>
      </c>
      <c r="V270" s="229">
        <f>IF(P270&gt;0,P270*I270/Z270,0)*VLOOKUP(B270,'2-Kosten per locatie'!$A$14:$C$25,3,FALSE)</f>
        <v>0</v>
      </c>
      <c r="W270" s="307">
        <f>IF(K270="nio",0,IF(K270&gt;0,VLOOKUP(G270,'3-Productie normen'!A:R,VLOOKUP(K270,'3-Productie normen'!$B$29:$C$41,2,FALSE),FALSE)))</f>
        <v>0</v>
      </c>
      <c r="X270" s="307">
        <f t="shared" si="32"/>
        <v>0</v>
      </c>
      <c r="Y270" s="307">
        <f t="shared" si="33"/>
        <v>0</v>
      </c>
      <c r="Z270" s="307">
        <f t="shared" si="34"/>
        <v>0</v>
      </c>
      <c r="AA270" s="308">
        <f>VLOOKUP(G270,'3-Productie normen'!A:U,15,FALSE)</f>
        <v>0</v>
      </c>
      <c r="AB270" s="309">
        <f>VLOOKUP(G270,'3-Productie normen'!A:U,16,FALSE)</f>
        <v>162.09999999999997</v>
      </c>
      <c r="AC270" s="308"/>
      <c r="AE270" s="310">
        <f t="shared" si="35"/>
        <v>904.8</v>
      </c>
    </row>
    <row r="271" spans="1:31" ht="14.1" customHeight="1">
      <c r="C271" s="91"/>
      <c r="D271" s="92"/>
      <c r="E271" s="228"/>
      <c r="F271" s="93"/>
      <c r="G271" s="93"/>
      <c r="I271" s="94"/>
      <c r="J271" s="95"/>
      <c r="K271" s="96"/>
      <c r="L271" s="96"/>
      <c r="M271" s="96"/>
      <c r="N271" s="96"/>
      <c r="O271" s="96"/>
      <c r="P271" s="96"/>
      <c r="Q271" s="97"/>
      <c r="R271" s="97"/>
      <c r="S271" s="89"/>
      <c r="T271" s="89"/>
      <c r="U271" s="89"/>
      <c r="V271" s="89"/>
      <c r="W271" s="89"/>
      <c r="X271" s="89"/>
      <c r="Y271" s="89"/>
      <c r="Z271" s="89"/>
      <c r="AA271" s="90"/>
      <c r="AB271" s="90"/>
      <c r="AC271" s="90"/>
    </row>
    <row r="272" spans="1:31" ht="14.1" customHeight="1">
      <c r="C272" s="91"/>
      <c r="D272" s="92"/>
      <c r="E272" s="228"/>
      <c r="F272" s="93"/>
      <c r="G272" s="93"/>
      <c r="I272" s="94"/>
      <c r="J272" s="95"/>
      <c r="K272" s="96"/>
      <c r="L272" s="96"/>
      <c r="M272" s="96"/>
      <c r="N272" s="96"/>
      <c r="O272" s="96"/>
      <c r="P272" s="96"/>
      <c r="Q272" s="97"/>
      <c r="R272" s="97"/>
      <c r="S272" s="89"/>
      <c r="T272" s="89"/>
      <c r="U272" s="89"/>
      <c r="V272" s="89"/>
      <c r="W272" s="89"/>
      <c r="X272" s="89"/>
      <c r="Y272" s="89"/>
      <c r="Z272" s="89"/>
      <c r="AA272" s="90"/>
      <c r="AB272" s="90"/>
      <c r="AC272" s="90"/>
    </row>
    <row r="273" spans="3:29" ht="14.1" customHeight="1">
      <c r="C273" s="91"/>
      <c r="D273" s="92"/>
      <c r="E273" s="228"/>
      <c r="F273" s="93"/>
      <c r="G273" s="93"/>
      <c r="I273" s="94"/>
      <c r="J273" s="95"/>
      <c r="K273" s="96"/>
      <c r="L273" s="96"/>
      <c r="M273" s="96"/>
      <c r="N273" s="96"/>
      <c r="O273" s="96"/>
      <c r="P273" s="96"/>
      <c r="Q273" s="97"/>
      <c r="R273" s="97"/>
      <c r="S273" s="89"/>
      <c r="T273" s="89"/>
      <c r="U273" s="89"/>
      <c r="V273" s="89"/>
      <c r="W273" s="89"/>
      <c r="X273" s="89"/>
      <c r="Y273" s="89"/>
      <c r="Z273" s="89"/>
      <c r="AA273" s="90"/>
      <c r="AB273" s="90"/>
      <c r="AC273" s="90"/>
    </row>
    <row r="274" spans="3:29" ht="14.1" customHeight="1">
      <c r="C274" s="91"/>
      <c r="D274" s="92"/>
      <c r="E274" s="228"/>
      <c r="F274" s="93"/>
      <c r="G274" s="93"/>
      <c r="I274" s="94"/>
      <c r="J274" s="95"/>
      <c r="K274" s="96"/>
      <c r="L274" s="96"/>
      <c r="M274" s="96"/>
      <c r="N274" s="96"/>
      <c r="O274" s="96"/>
      <c r="P274" s="96"/>
      <c r="Q274" s="97"/>
      <c r="R274" s="97"/>
      <c r="S274" s="89"/>
      <c r="T274" s="89"/>
      <c r="U274" s="89"/>
      <c r="V274" s="89"/>
      <c r="W274" s="89"/>
      <c r="X274" s="89"/>
      <c r="Y274" s="89"/>
      <c r="Z274" s="89"/>
      <c r="AA274" s="90"/>
      <c r="AB274" s="90"/>
      <c r="AC274" s="90"/>
    </row>
    <row r="275" spans="3:29" ht="14.1" customHeight="1">
      <c r="C275" s="91"/>
      <c r="D275" s="92"/>
      <c r="E275" s="228"/>
      <c r="F275" s="93"/>
      <c r="G275" s="93"/>
      <c r="I275" s="94"/>
      <c r="J275" s="95"/>
      <c r="K275" s="96"/>
      <c r="L275" s="96"/>
      <c r="M275" s="96"/>
      <c r="N275" s="96"/>
      <c r="O275" s="96"/>
      <c r="P275" s="96"/>
      <c r="Q275" s="97"/>
      <c r="R275" s="97"/>
      <c r="S275" s="89"/>
      <c r="T275" s="89"/>
      <c r="U275" s="89"/>
      <c r="V275" s="89"/>
      <c r="W275" s="89"/>
      <c r="X275" s="89"/>
      <c r="Y275" s="89"/>
      <c r="Z275" s="89"/>
      <c r="AA275" s="90"/>
      <c r="AB275" s="90"/>
      <c r="AC275" s="90"/>
    </row>
    <row r="276" spans="3:29" ht="14.1" customHeight="1">
      <c r="C276" s="91"/>
      <c r="D276" s="92"/>
      <c r="E276" s="228"/>
      <c r="F276" s="93"/>
      <c r="G276" s="93"/>
      <c r="I276" s="94"/>
      <c r="J276" s="95"/>
      <c r="K276" s="96"/>
      <c r="L276" s="96"/>
      <c r="M276" s="96"/>
      <c r="N276" s="96"/>
      <c r="O276" s="96"/>
      <c r="P276" s="96"/>
      <c r="Q276" s="97"/>
      <c r="R276" s="97"/>
      <c r="S276" s="89"/>
      <c r="T276" s="89"/>
      <c r="U276" s="89"/>
      <c r="V276" s="89"/>
      <c r="W276" s="89"/>
      <c r="X276" s="89"/>
      <c r="Y276" s="89"/>
      <c r="Z276" s="89"/>
      <c r="AA276" s="90"/>
      <c r="AB276" s="90"/>
      <c r="AC276" s="90"/>
    </row>
    <row r="277" spans="3:29" ht="14.1" customHeight="1">
      <c r="C277" s="91"/>
      <c r="D277" s="92"/>
      <c r="E277" s="228"/>
      <c r="F277" s="93"/>
      <c r="G277" s="93"/>
      <c r="I277" s="94"/>
      <c r="J277" s="95"/>
      <c r="K277" s="96"/>
      <c r="L277" s="96"/>
      <c r="M277" s="96"/>
      <c r="N277" s="96"/>
      <c r="O277" s="96"/>
      <c r="P277" s="96"/>
      <c r="Q277" s="97"/>
      <c r="R277" s="97"/>
      <c r="S277" s="89"/>
      <c r="T277" s="89"/>
      <c r="U277" s="89"/>
      <c r="V277" s="89"/>
      <c r="W277" s="89"/>
      <c r="X277" s="89"/>
      <c r="Y277" s="89"/>
      <c r="Z277" s="89"/>
      <c r="AA277" s="90"/>
      <c r="AB277" s="90"/>
      <c r="AC277" s="90"/>
    </row>
    <row r="278" spans="3:29" ht="14.1" customHeight="1">
      <c r="C278" s="91"/>
      <c r="D278" s="92"/>
      <c r="E278" s="228"/>
      <c r="F278" s="93"/>
      <c r="G278" s="93"/>
      <c r="I278" s="94"/>
      <c r="J278" s="95"/>
      <c r="K278" s="96"/>
      <c r="L278" s="96"/>
      <c r="M278" s="96"/>
      <c r="N278" s="96"/>
      <c r="O278" s="96"/>
      <c r="P278" s="96"/>
      <c r="Q278" s="97"/>
      <c r="R278" s="97"/>
      <c r="S278" s="89"/>
      <c r="T278" s="89"/>
      <c r="U278" s="89"/>
      <c r="V278" s="89"/>
      <c r="W278" s="89"/>
      <c r="X278" s="89"/>
      <c r="Y278" s="89"/>
      <c r="Z278" s="89"/>
      <c r="AA278" s="90"/>
      <c r="AB278" s="90"/>
      <c r="AC278" s="90"/>
    </row>
    <row r="279" spans="3:29" ht="14.1" customHeight="1">
      <c r="C279" s="91"/>
      <c r="D279" s="92"/>
      <c r="E279" s="228"/>
      <c r="F279" s="93"/>
      <c r="G279" s="93"/>
      <c r="I279" s="94"/>
      <c r="J279" s="95"/>
      <c r="K279" s="96"/>
      <c r="L279" s="96"/>
      <c r="M279" s="96"/>
      <c r="N279" s="96"/>
      <c r="O279" s="96"/>
      <c r="P279" s="96"/>
      <c r="Q279" s="97"/>
      <c r="R279" s="97"/>
      <c r="S279" s="89"/>
      <c r="T279" s="89"/>
      <c r="U279" s="89"/>
      <c r="V279" s="89"/>
      <c r="W279" s="89"/>
      <c r="X279" s="89"/>
      <c r="Y279" s="89"/>
      <c r="Z279" s="89"/>
      <c r="AA279" s="90"/>
      <c r="AB279" s="90"/>
      <c r="AC279" s="90"/>
    </row>
    <row r="280" spans="3:29" ht="14.1" customHeight="1">
      <c r="C280" s="91"/>
      <c r="D280" s="92"/>
      <c r="E280" s="228"/>
      <c r="F280" s="93"/>
      <c r="G280" s="93"/>
      <c r="I280" s="94"/>
      <c r="J280" s="95"/>
      <c r="K280" s="96"/>
      <c r="L280" s="96"/>
      <c r="M280" s="96"/>
      <c r="N280" s="96"/>
      <c r="O280" s="96"/>
      <c r="P280" s="96"/>
      <c r="Q280" s="97"/>
      <c r="R280" s="97"/>
      <c r="S280" s="89"/>
      <c r="T280" s="89"/>
      <c r="U280" s="89"/>
      <c r="V280" s="89"/>
      <c r="W280" s="89"/>
      <c r="X280" s="89"/>
      <c r="Y280" s="89"/>
      <c r="Z280" s="89"/>
      <c r="AA280" s="90"/>
      <c r="AB280" s="90"/>
      <c r="AC280" s="90"/>
    </row>
    <row r="281" spans="3:29" ht="14.1" customHeight="1">
      <c r="C281" s="91"/>
      <c r="D281" s="92"/>
      <c r="E281" s="228"/>
      <c r="F281" s="93"/>
      <c r="G281" s="93"/>
      <c r="I281" s="94"/>
      <c r="J281" s="95"/>
      <c r="K281" s="96"/>
      <c r="L281" s="96"/>
      <c r="M281" s="96"/>
      <c r="N281" s="96"/>
      <c r="O281" s="96"/>
      <c r="P281" s="96"/>
      <c r="Q281" s="97"/>
      <c r="R281" s="97"/>
      <c r="S281" s="89"/>
      <c r="T281" s="89"/>
      <c r="U281" s="89"/>
      <c r="V281" s="89"/>
      <c r="W281" s="89"/>
      <c r="X281" s="89"/>
      <c r="Y281" s="89"/>
      <c r="Z281" s="89"/>
      <c r="AA281" s="90"/>
      <c r="AB281" s="90"/>
      <c r="AC281" s="90"/>
    </row>
    <row r="282" spans="3:29" ht="14.1" customHeight="1">
      <c r="C282" s="91"/>
      <c r="D282" s="92"/>
      <c r="E282" s="228"/>
      <c r="F282" s="93"/>
      <c r="G282" s="93"/>
      <c r="I282" s="94"/>
      <c r="J282" s="95"/>
      <c r="K282" s="96"/>
      <c r="L282" s="96"/>
      <c r="M282" s="96"/>
      <c r="N282" s="96"/>
      <c r="O282" s="96"/>
      <c r="P282" s="96"/>
      <c r="Q282" s="97"/>
      <c r="R282" s="97"/>
      <c r="S282" s="89"/>
      <c r="T282" s="89"/>
      <c r="U282" s="89"/>
      <c r="V282" s="89"/>
      <c r="W282" s="89"/>
      <c r="X282" s="89"/>
      <c r="Y282" s="89"/>
      <c r="Z282" s="89"/>
      <c r="AA282" s="90"/>
      <c r="AB282" s="90"/>
      <c r="AC282" s="90"/>
    </row>
    <row r="283" spans="3:29" ht="14.1" customHeight="1">
      <c r="C283" s="91"/>
      <c r="D283" s="92"/>
      <c r="E283" s="228"/>
      <c r="F283" s="93"/>
      <c r="G283" s="93"/>
      <c r="I283" s="94"/>
      <c r="J283" s="95"/>
      <c r="K283" s="96"/>
      <c r="L283" s="96"/>
      <c r="M283" s="96"/>
      <c r="N283" s="96"/>
      <c r="O283" s="96"/>
      <c r="P283" s="96"/>
      <c r="Q283" s="97"/>
      <c r="R283" s="97"/>
      <c r="S283" s="89"/>
      <c r="T283" s="89"/>
      <c r="U283" s="89"/>
      <c r="V283" s="89"/>
      <c r="W283" s="89"/>
      <c r="X283" s="89"/>
      <c r="Y283" s="89"/>
      <c r="Z283" s="89"/>
      <c r="AA283" s="90"/>
      <c r="AB283" s="90"/>
      <c r="AC283" s="90"/>
    </row>
    <row r="284" spans="3:29" ht="14.1" customHeight="1">
      <c r="C284" s="91"/>
      <c r="D284" s="92"/>
      <c r="E284" s="228"/>
      <c r="F284" s="93"/>
      <c r="G284" s="93"/>
      <c r="I284" s="94"/>
      <c r="J284" s="95"/>
      <c r="K284" s="96"/>
      <c r="L284" s="96"/>
      <c r="M284" s="96"/>
      <c r="N284" s="96"/>
      <c r="O284" s="96"/>
      <c r="P284" s="96"/>
      <c r="Q284" s="97"/>
      <c r="R284" s="97"/>
      <c r="S284" s="89"/>
      <c r="T284" s="89"/>
      <c r="U284" s="89"/>
      <c r="V284" s="89"/>
      <c r="W284" s="89"/>
      <c r="X284" s="89"/>
      <c r="Y284" s="89"/>
      <c r="Z284" s="89"/>
      <c r="AA284" s="90"/>
      <c r="AB284" s="90"/>
      <c r="AC284" s="90"/>
    </row>
    <row r="285" spans="3:29" ht="14.1" customHeight="1">
      <c r="C285" s="91"/>
      <c r="D285" s="92"/>
      <c r="E285" s="228"/>
      <c r="F285" s="93"/>
      <c r="G285" s="93"/>
      <c r="I285" s="94"/>
      <c r="J285" s="95"/>
      <c r="K285" s="96"/>
      <c r="L285" s="96"/>
      <c r="M285" s="96"/>
      <c r="N285" s="96"/>
      <c r="O285" s="96"/>
      <c r="P285" s="96"/>
      <c r="Q285" s="97"/>
      <c r="R285" s="97"/>
      <c r="S285" s="89"/>
      <c r="T285" s="89"/>
      <c r="U285" s="89"/>
      <c r="V285" s="89"/>
      <c r="W285" s="89"/>
      <c r="X285" s="89"/>
      <c r="Y285" s="89"/>
      <c r="Z285" s="89"/>
      <c r="AA285" s="90"/>
      <c r="AB285" s="90"/>
      <c r="AC285" s="90"/>
    </row>
    <row r="286" spans="3:29" ht="14.1" customHeight="1">
      <c r="C286" s="91"/>
      <c r="D286" s="92"/>
      <c r="E286" s="228"/>
      <c r="F286" s="93"/>
      <c r="G286" s="93"/>
      <c r="I286" s="94"/>
      <c r="J286" s="95"/>
      <c r="K286" s="96"/>
      <c r="L286" s="96"/>
      <c r="M286" s="96"/>
      <c r="N286" s="96"/>
      <c r="O286" s="96"/>
      <c r="P286" s="96"/>
      <c r="Q286" s="97"/>
      <c r="R286" s="97"/>
      <c r="S286" s="89"/>
      <c r="T286" s="89"/>
      <c r="U286" s="89"/>
      <c r="V286" s="89"/>
      <c r="W286" s="89"/>
      <c r="X286" s="89"/>
      <c r="Y286" s="89"/>
      <c r="Z286" s="89"/>
      <c r="AA286" s="90"/>
      <c r="AB286" s="90"/>
      <c r="AC286" s="90"/>
    </row>
    <row r="287" spans="3:29" ht="14.1" customHeight="1">
      <c r="C287" s="91"/>
      <c r="D287" s="92"/>
      <c r="E287" s="228"/>
      <c r="F287" s="93"/>
      <c r="G287" s="93"/>
      <c r="I287" s="94"/>
      <c r="J287" s="95"/>
      <c r="K287" s="96"/>
      <c r="L287" s="96"/>
      <c r="M287" s="96"/>
      <c r="N287" s="96"/>
      <c r="O287" s="96"/>
      <c r="P287" s="96"/>
      <c r="Q287" s="97"/>
      <c r="R287" s="97"/>
      <c r="S287" s="89"/>
      <c r="T287" s="89"/>
      <c r="U287" s="89"/>
      <c r="V287" s="89"/>
      <c r="W287" s="89"/>
      <c r="X287" s="89"/>
      <c r="Y287" s="89"/>
      <c r="Z287" s="89"/>
      <c r="AA287" s="90"/>
      <c r="AB287" s="90"/>
      <c r="AC287" s="90"/>
    </row>
    <row r="288" spans="3:29" ht="14.1" customHeight="1">
      <c r="C288" s="91"/>
      <c r="D288" s="92"/>
      <c r="E288" s="228"/>
      <c r="F288" s="93"/>
      <c r="G288" s="93"/>
      <c r="I288" s="94"/>
      <c r="J288" s="95"/>
      <c r="K288" s="96"/>
      <c r="L288" s="96"/>
      <c r="M288" s="96"/>
      <c r="N288" s="96"/>
      <c r="O288" s="96"/>
      <c r="P288" s="96"/>
      <c r="Q288" s="97"/>
      <c r="R288" s="97"/>
      <c r="S288" s="89"/>
      <c r="T288" s="89"/>
      <c r="U288" s="89"/>
      <c r="V288" s="89"/>
      <c r="W288" s="89"/>
      <c r="X288" s="89"/>
      <c r="Y288" s="89"/>
      <c r="Z288" s="89"/>
      <c r="AA288" s="90"/>
      <c r="AB288" s="90"/>
      <c r="AC288" s="90"/>
    </row>
    <row r="289" spans="3:29" ht="14.1" customHeight="1">
      <c r="C289" s="91"/>
      <c r="D289" s="92"/>
      <c r="E289" s="228"/>
      <c r="F289" s="93"/>
      <c r="G289" s="93"/>
      <c r="I289" s="94"/>
      <c r="J289" s="95"/>
      <c r="K289" s="96"/>
      <c r="L289" s="96"/>
      <c r="M289" s="96"/>
      <c r="N289" s="96"/>
      <c r="O289" s="96"/>
      <c r="P289" s="96"/>
      <c r="Q289" s="97"/>
      <c r="R289" s="97"/>
      <c r="S289" s="89"/>
      <c r="T289" s="89"/>
      <c r="U289" s="89"/>
      <c r="V289" s="89"/>
      <c r="W289" s="89"/>
      <c r="X289" s="89"/>
      <c r="Y289" s="89"/>
      <c r="Z289" s="89"/>
      <c r="AA289" s="90"/>
      <c r="AB289" s="90"/>
      <c r="AC289" s="90"/>
    </row>
    <row r="290" spans="3:29" ht="14.1" customHeight="1">
      <c r="C290" s="91"/>
      <c r="D290" s="92"/>
      <c r="E290" s="228"/>
      <c r="F290" s="93"/>
      <c r="G290" s="93"/>
      <c r="I290" s="94"/>
      <c r="J290" s="95"/>
      <c r="K290" s="96"/>
      <c r="L290" s="96"/>
      <c r="M290" s="96"/>
      <c r="N290" s="96"/>
      <c r="O290" s="96"/>
      <c r="P290" s="96"/>
      <c r="Q290" s="97"/>
      <c r="R290" s="97"/>
      <c r="S290" s="89"/>
      <c r="T290" s="89"/>
      <c r="U290" s="89"/>
      <c r="V290" s="89"/>
      <c r="W290" s="89"/>
      <c r="X290" s="89"/>
      <c r="Y290" s="89"/>
      <c r="Z290" s="89"/>
      <c r="AA290" s="90"/>
      <c r="AB290" s="90"/>
      <c r="AC290" s="90"/>
    </row>
    <row r="291" spans="3:29" ht="14.1" customHeight="1">
      <c r="C291" s="91"/>
      <c r="D291" s="92"/>
      <c r="E291" s="228"/>
      <c r="F291" s="93"/>
      <c r="G291" s="93"/>
      <c r="I291" s="94"/>
      <c r="J291" s="95"/>
      <c r="K291" s="96"/>
      <c r="L291" s="96"/>
      <c r="M291" s="96"/>
      <c r="N291" s="96"/>
      <c r="O291" s="96"/>
      <c r="P291" s="96"/>
      <c r="Q291" s="97"/>
      <c r="R291" s="97"/>
      <c r="S291" s="89"/>
      <c r="T291" s="89"/>
      <c r="U291" s="89"/>
      <c r="V291" s="89"/>
      <c r="W291" s="89"/>
      <c r="X291" s="89"/>
      <c r="Y291" s="89"/>
      <c r="Z291" s="89"/>
      <c r="AA291" s="90"/>
      <c r="AB291" s="90"/>
      <c r="AC291" s="90"/>
    </row>
    <row r="292" spans="3:29" ht="14.1" customHeight="1">
      <c r="C292" s="91"/>
      <c r="D292" s="92"/>
      <c r="E292" s="228"/>
      <c r="F292" s="93"/>
      <c r="G292" s="93"/>
      <c r="I292" s="94"/>
      <c r="J292" s="95"/>
      <c r="K292" s="96"/>
      <c r="L292" s="96"/>
      <c r="M292" s="96"/>
      <c r="N292" s="96"/>
      <c r="O292" s="96"/>
      <c r="P292" s="96"/>
      <c r="Q292" s="97"/>
      <c r="R292" s="97"/>
      <c r="S292" s="89"/>
      <c r="T292" s="89"/>
      <c r="U292" s="89"/>
      <c r="V292" s="89"/>
      <c r="W292" s="89"/>
      <c r="X292" s="89"/>
      <c r="Y292" s="89"/>
      <c r="Z292" s="89"/>
      <c r="AA292" s="90"/>
      <c r="AB292" s="90"/>
      <c r="AC292" s="90"/>
    </row>
    <row r="293" spans="3:29" ht="14.1" customHeight="1">
      <c r="C293" s="91"/>
      <c r="D293" s="92"/>
      <c r="E293" s="228"/>
      <c r="F293" s="93"/>
      <c r="G293" s="93"/>
      <c r="I293" s="94"/>
      <c r="J293" s="95"/>
      <c r="K293" s="96"/>
      <c r="L293" s="96"/>
      <c r="M293" s="96"/>
      <c r="N293" s="96"/>
      <c r="O293" s="96"/>
      <c r="P293" s="96"/>
      <c r="Q293" s="97"/>
      <c r="R293" s="97"/>
      <c r="S293" s="89"/>
      <c r="T293" s="89"/>
      <c r="U293" s="89"/>
      <c r="V293" s="89"/>
      <c r="W293" s="89"/>
      <c r="X293" s="89"/>
      <c r="Y293" s="89"/>
      <c r="Z293" s="89"/>
      <c r="AA293" s="90"/>
      <c r="AB293" s="90"/>
      <c r="AC293" s="90"/>
    </row>
    <row r="294" spans="3:29" ht="14.1" customHeight="1">
      <c r="C294" s="91"/>
      <c r="D294" s="92"/>
      <c r="E294" s="228"/>
      <c r="F294" s="93"/>
      <c r="G294" s="93"/>
      <c r="I294" s="94"/>
      <c r="J294" s="95"/>
      <c r="K294" s="96"/>
      <c r="L294" s="96"/>
      <c r="M294" s="96"/>
      <c r="N294" s="96"/>
      <c r="O294" s="96"/>
      <c r="P294" s="96"/>
      <c r="Q294" s="97"/>
      <c r="R294" s="97"/>
      <c r="S294" s="89"/>
      <c r="T294" s="89"/>
      <c r="U294" s="89"/>
      <c r="V294" s="89"/>
      <c r="W294" s="89"/>
      <c r="X294" s="89"/>
      <c r="Y294" s="89"/>
      <c r="Z294" s="89"/>
      <c r="AA294" s="90"/>
      <c r="AB294" s="90"/>
      <c r="AC294" s="90"/>
    </row>
    <row r="295" spans="3:29" ht="14.1" customHeight="1">
      <c r="C295" s="91"/>
      <c r="D295" s="92"/>
      <c r="E295" s="228"/>
      <c r="F295" s="93"/>
      <c r="G295" s="93"/>
      <c r="I295" s="94"/>
      <c r="J295" s="95"/>
      <c r="K295" s="96"/>
      <c r="L295" s="96"/>
      <c r="M295" s="96"/>
      <c r="N295" s="96"/>
      <c r="O295" s="96"/>
      <c r="P295" s="96"/>
      <c r="Q295" s="97"/>
      <c r="R295" s="97"/>
      <c r="S295" s="89"/>
      <c r="T295" s="89"/>
      <c r="U295" s="89"/>
      <c r="V295" s="89"/>
      <c r="W295" s="89"/>
      <c r="X295" s="89"/>
      <c r="Y295" s="89"/>
      <c r="Z295" s="89"/>
      <c r="AA295" s="90"/>
      <c r="AB295" s="90"/>
      <c r="AC295" s="90"/>
    </row>
    <row r="296" spans="3:29" ht="14.1" customHeight="1">
      <c r="C296" s="91"/>
      <c r="D296" s="92"/>
      <c r="E296" s="228"/>
      <c r="F296" s="93"/>
      <c r="G296" s="93"/>
      <c r="I296" s="94"/>
      <c r="J296" s="95"/>
      <c r="K296" s="96"/>
      <c r="L296" s="96"/>
      <c r="M296" s="96"/>
      <c r="N296" s="96"/>
      <c r="O296" s="96"/>
      <c r="P296" s="96"/>
      <c r="Q296" s="97"/>
      <c r="R296" s="97"/>
      <c r="S296" s="89"/>
      <c r="T296" s="89"/>
      <c r="U296" s="89"/>
      <c r="V296" s="89"/>
      <c r="W296" s="89"/>
      <c r="X296" s="89"/>
      <c r="Y296" s="89"/>
      <c r="Z296" s="89"/>
      <c r="AA296" s="90"/>
      <c r="AB296" s="90"/>
      <c r="AC296" s="90"/>
    </row>
    <row r="297" spans="3:29" ht="14.1" customHeight="1">
      <c r="C297" s="91"/>
      <c r="D297" s="92"/>
      <c r="E297" s="228"/>
      <c r="F297" s="93"/>
      <c r="G297" s="93"/>
      <c r="I297" s="94"/>
      <c r="J297" s="95"/>
      <c r="K297" s="96"/>
      <c r="L297" s="96"/>
      <c r="M297" s="96"/>
      <c r="N297" s="96"/>
      <c r="O297" s="96"/>
      <c r="P297" s="96"/>
      <c r="Q297" s="97"/>
      <c r="R297" s="97"/>
      <c r="S297" s="89"/>
      <c r="T297" s="89"/>
      <c r="U297" s="89"/>
      <c r="V297" s="89"/>
      <c r="W297" s="89"/>
      <c r="X297" s="89"/>
      <c r="Y297" s="89"/>
      <c r="Z297" s="89"/>
      <c r="AA297" s="90"/>
      <c r="AB297" s="90"/>
      <c r="AC297" s="90"/>
    </row>
    <row r="298" spans="3:29" ht="14.1" customHeight="1">
      <c r="C298" s="91"/>
      <c r="D298" s="92"/>
      <c r="E298" s="228"/>
      <c r="F298" s="93"/>
      <c r="G298" s="93"/>
      <c r="I298" s="94"/>
      <c r="J298" s="95"/>
      <c r="K298" s="96"/>
      <c r="L298" s="96"/>
      <c r="M298" s="96"/>
      <c r="N298" s="96"/>
      <c r="O298" s="96"/>
      <c r="P298" s="96"/>
      <c r="Q298" s="97"/>
      <c r="R298" s="97"/>
      <c r="S298" s="89"/>
      <c r="T298" s="89"/>
      <c r="U298" s="89"/>
      <c r="V298" s="89"/>
      <c r="W298" s="89"/>
      <c r="X298" s="89"/>
      <c r="Y298" s="89"/>
      <c r="Z298" s="89"/>
      <c r="AA298" s="90"/>
      <c r="AB298" s="90"/>
      <c r="AC298" s="90"/>
    </row>
    <row r="299" spans="3:29" ht="14.1" customHeight="1">
      <c r="C299" s="91"/>
      <c r="D299" s="92"/>
      <c r="E299" s="228"/>
      <c r="F299" s="93"/>
      <c r="G299" s="93"/>
      <c r="I299" s="94"/>
      <c r="J299" s="95"/>
      <c r="K299" s="96"/>
      <c r="L299" s="96"/>
      <c r="M299" s="96"/>
      <c r="N299" s="96"/>
      <c r="O299" s="96"/>
      <c r="P299" s="96"/>
      <c r="Q299" s="97"/>
      <c r="R299" s="97"/>
      <c r="S299" s="89"/>
      <c r="T299" s="89"/>
      <c r="U299" s="89"/>
      <c r="V299" s="89"/>
      <c r="W299" s="89"/>
      <c r="X299" s="89"/>
      <c r="Y299" s="89"/>
      <c r="Z299" s="89"/>
      <c r="AA299" s="90"/>
      <c r="AB299" s="90"/>
      <c r="AC299" s="90"/>
    </row>
    <row r="300" spans="3:29" ht="14.1" customHeight="1">
      <c r="C300" s="91"/>
      <c r="D300" s="92"/>
      <c r="E300" s="228"/>
      <c r="F300" s="93"/>
      <c r="G300" s="93"/>
      <c r="I300" s="94"/>
      <c r="J300" s="95"/>
      <c r="K300" s="96"/>
      <c r="L300" s="96"/>
      <c r="M300" s="96"/>
      <c r="N300" s="96"/>
      <c r="O300" s="96"/>
      <c r="P300" s="96"/>
      <c r="Q300" s="97"/>
      <c r="R300" s="97"/>
      <c r="S300" s="89"/>
      <c r="T300" s="89"/>
      <c r="U300" s="89"/>
      <c r="V300" s="89"/>
      <c r="W300" s="89"/>
      <c r="X300" s="89"/>
      <c r="Y300" s="89"/>
      <c r="Z300" s="89"/>
      <c r="AA300" s="90"/>
      <c r="AB300" s="90"/>
      <c r="AC300" s="90"/>
    </row>
    <row r="301" spans="3:29" ht="14.1" customHeight="1">
      <c r="C301" s="91"/>
      <c r="D301" s="92"/>
      <c r="E301" s="228"/>
      <c r="F301" s="93"/>
      <c r="G301" s="93"/>
      <c r="I301" s="94"/>
      <c r="J301" s="95"/>
      <c r="K301" s="96"/>
      <c r="L301" s="96"/>
      <c r="M301" s="96"/>
      <c r="N301" s="96"/>
      <c r="O301" s="96"/>
      <c r="P301" s="96"/>
      <c r="Q301" s="97"/>
      <c r="R301" s="97"/>
      <c r="S301" s="89"/>
      <c r="T301" s="89"/>
      <c r="U301" s="89"/>
      <c r="V301" s="89"/>
      <c r="W301" s="89"/>
      <c r="X301" s="89"/>
      <c r="Y301" s="89"/>
      <c r="Z301" s="89"/>
      <c r="AA301" s="90"/>
      <c r="AB301" s="90"/>
      <c r="AC301" s="90"/>
    </row>
    <row r="302" spans="3:29" ht="14.1" customHeight="1">
      <c r="C302" s="91"/>
      <c r="D302" s="92"/>
      <c r="E302" s="228"/>
      <c r="F302" s="93"/>
      <c r="G302" s="93"/>
      <c r="I302" s="94"/>
      <c r="J302" s="95"/>
      <c r="K302" s="96"/>
      <c r="L302" s="96"/>
      <c r="M302" s="96"/>
      <c r="N302" s="96"/>
      <c r="O302" s="96"/>
      <c r="P302" s="96"/>
      <c r="Q302" s="97"/>
      <c r="R302" s="97"/>
      <c r="S302" s="89"/>
      <c r="T302" s="89"/>
      <c r="U302" s="89"/>
      <c r="V302" s="89"/>
      <c r="W302" s="89"/>
      <c r="X302" s="89"/>
      <c r="Y302" s="89"/>
      <c r="Z302" s="89"/>
      <c r="AA302" s="90"/>
      <c r="AB302" s="90"/>
      <c r="AC302" s="90"/>
    </row>
    <row r="303" spans="3:29" ht="14.1" customHeight="1">
      <c r="C303" s="91"/>
      <c r="D303" s="92"/>
      <c r="E303" s="228"/>
      <c r="F303" s="93"/>
      <c r="G303" s="93"/>
      <c r="I303" s="94"/>
      <c r="J303" s="95"/>
      <c r="K303" s="96"/>
      <c r="L303" s="96"/>
      <c r="M303" s="96"/>
      <c r="N303" s="96"/>
      <c r="O303" s="96"/>
      <c r="P303" s="96"/>
      <c r="Q303" s="97"/>
      <c r="R303" s="97"/>
      <c r="S303" s="89"/>
      <c r="T303" s="89"/>
      <c r="U303" s="89"/>
      <c r="V303" s="89"/>
      <c r="W303" s="89"/>
      <c r="X303" s="89"/>
      <c r="Y303" s="89"/>
      <c r="Z303" s="89"/>
      <c r="AA303" s="90"/>
      <c r="AB303" s="90"/>
      <c r="AC303" s="90"/>
    </row>
    <row r="304" spans="3:29" ht="14.1" customHeight="1">
      <c r="C304" s="91"/>
      <c r="D304" s="92"/>
      <c r="E304" s="228"/>
      <c r="F304" s="93"/>
      <c r="G304" s="93"/>
      <c r="I304" s="94"/>
      <c r="J304" s="95"/>
      <c r="K304" s="96"/>
      <c r="L304" s="96"/>
      <c r="M304" s="96"/>
      <c r="N304" s="96"/>
      <c r="O304" s="96"/>
      <c r="P304" s="96"/>
      <c r="Q304" s="97"/>
      <c r="R304" s="97"/>
      <c r="S304" s="89"/>
      <c r="T304" s="89"/>
      <c r="U304" s="89"/>
      <c r="V304" s="89"/>
      <c r="W304" s="89"/>
      <c r="X304" s="89"/>
      <c r="Y304" s="89"/>
      <c r="Z304" s="89"/>
      <c r="AA304" s="90"/>
      <c r="AB304" s="90"/>
      <c r="AC304" s="90"/>
    </row>
    <row r="305" spans="3:29" ht="14.1" customHeight="1">
      <c r="C305" s="91"/>
      <c r="D305" s="92"/>
      <c r="E305" s="228"/>
      <c r="F305" s="93"/>
      <c r="G305" s="93"/>
      <c r="I305" s="94"/>
      <c r="J305" s="95"/>
      <c r="K305" s="96"/>
      <c r="L305" s="96"/>
      <c r="M305" s="96"/>
      <c r="N305" s="96"/>
      <c r="O305" s="96"/>
      <c r="P305" s="96"/>
      <c r="Q305" s="97"/>
      <c r="R305" s="97"/>
      <c r="S305" s="89"/>
      <c r="T305" s="89"/>
      <c r="U305" s="89"/>
      <c r="V305" s="89"/>
      <c r="W305" s="89"/>
      <c r="X305" s="89"/>
      <c r="Y305" s="89"/>
      <c r="Z305" s="89"/>
      <c r="AA305" s="90"/>
      <c r="AB305" s="90"/>
      <c r="AC305" s="90"/>
    </row>
    <row r="306" spans="3:29" ht="14.1" customHeight="1">
      <c r="C306" s="91"/>
      <c r="D306" s="92"/>
      <c r="E306" s="228"/>
      <c r="F306" s="93"/>
      <c r="G306" s="93"/>
      <c r="I306" s="94"/>
      <c r="J306" s="95"/>
      <c r="K306" s="96"/>
      <c r="L306" s="96"/>
      <c r="M306" s="96"/>
      <c r="N306" s="96"/>
      <c r="O306" s="96"/>
      <c r="P306" s="96"/>
      <c r="Q306" s="97"/>
      <c r="R306" s="97"/>
      <c r="S306" s="89"/>
      <c r="T306" s="89"/>
      <c r="U306" s="89"/>
      <c r="V306" s="89"/>
      <c r="W306" s="89"/>
      <c r="X306" s="89"/>
      <c r="Y306" s="89"/>
      <c r="Z306" s="89"/>
      <c r="AA306" s="90"/>
      <c r="AB306" s="90"/>
      <c r="AC306" s="90"/>
    </row>
    <row r="307" spans="3:29" ht="14.1" customHeight="1">
      <c r="C307" s="91"/>
      <c r="D307" s="92"/>
      <c r="E307" s="228"/>
      <c r="F307" s="93"/>
      <c r="G307" s="93"/>
      <c r="I307" s="94"/>
      <c r="J307" s="95"/>
      <c r="K307" s="96"/>
      <c r="L307" s="96"/>
      <c r="M307" s="96"/>
      <c r="N307" s="96"/>
      <c r="O307" s="96"/>
      <c r="P307" s="96"/>
      <c r="Q307" s="97"/>
      <c r="R307" s="97"/>
      <c r="S307" s="89"/>
      <c r="T307" s="89"/>
      <c r="U307" s="89"/>
      <c r="V307" s="89"/>
      <c r="W307" s="89"/>
      <c r="X307" s="89"/>
      <c r="Y307" s="89"/>
      <c r="Z307" s="89"/>
      <c r="AA307" s="90"/>
      <c r="AB307" s="90"/>
      <c r="AC307" s="90"/>
    </row>
    <row r="308" spans="3:29" ht="14.1" customHeight="1">
      <c r="C308" s="91"/>
      <c r="D308" s="92"/>
      <c r="E308" s="228"/>
      <c r="F308" s="93"/>
      <c r="G308" s="93"/>
      <c r="I308" s="94"/>
      <c r="J308" s="95"/>
      <c r="K308" s="96"/>
      <c r="L308" s="96"/>
      <c r="M308" s="96"/>
      <c r="N308" s="96"/>
      <c r="O308" s="96"/>
      <c r="P308" s="96"/>
      <c r="Q308" s="97"/>
      <c r="R308" s="97"/>
      <c r="S308" s="89"/>
      <c r="T308" s="89"/>
      <c r="U308" s="89"/>
      <c r="V308" s="89"/>
      <c r="W308" s="89"/>
      <c r="X308" s="89"/>
      <c r="Y308" s="89"/>
      <c r="Z308" s="89"/>
      <c r="AA308" s="90"/>
      <c r="AB308" s="90"/>
      <c r="AC308" s="90"/>
    </row>
    <row r="309" spans="3:29" ht="14.1" customHeight="1">
      <c r="C309" s="91"/>
      <c r="D309" s="92"/>
      <c r="E309" s="228"/>
      <c r="F309" s="93"/>
      <c r="G309" s="93"/>
      <c r="I309" s="94"/>
      <c r="J309" s="95"/>
      <c r="K309" s="96"/>
      <c r="L309" s="96"/>
      <c r="M309" s="96"/>
      <c r="N309" s="96"/>
      <c r="O309" s="96"/>
      <c r="P309" s="96"/>
      <c r="Q309" s="97"/>
      <c r="R309" s="97"/>
      <c r="S309" s="89"/>
      <c r="T309" s="89"/>
      <c r="U309" s="89"/>
      <c r="V309" s="89"/>
      <c r="W309" s="89"/>
      <c r="X309" s="89"/>
      <c r="Y309" s="89"/>
      <c r="Z309" s="89"/>
      <c r="AA309" s="90"/>
      <c r="AB309" s="90"/>
      <c r="AC309" s="90"/>
    </row>
    <row r="310" spans="3:29" ht="14.1" customHeight="1">
      <c r="C310" s="91"/>
      <c r="D310" s="92"/>
      <c r="E310" s="228"/>
      <c r="F310" s="93"/>
      <c r="G310" s="93"/>
      <c r="I310" s="94"/>
      <c r="J310" s="95"/>
      <c r="K310" s="96"/>
      <c r="L310" s="96"/>
      <c r="M310" s="96"/>
      <c r="N310" s="96"/>
      <c r="O310" s="96"/>
      <c r="P310" s="96"/>
      <c r="Q310" s="97"/>
      <c r="R310" s="97"/>
      <c r="S310" s="89"/>
      <c r="T310" s="89"/>
      <c r="U310" s="89"/>
      <c r="V310" s="89"/>
      <c r="W310" s="89"/>
      <c r="X310" s="89"/>
      <c r="Y310" s="89"/>
      <c r="Z310" s="89"/>
      <c r="AA310" s="90"/>
      <c r="AB310" s="90"/>
      <c r="AC310" s="90"/>
    </row>
    <row r="311" spans="3:29" ht="14.1" customHeight="1">
      <c r="C311" s="91"/>
      <c r="D311" s="92"/>
      <c r="E311" s="228"/>
      <c r="F311" s="93"/>
      <c r="G311" s="93"/>
      <c r="I311" s="94"/>
      <c r="J311" s="95"/>
      <c r="K311" s="96"/>
      <c r="L311" s="96"/>
      <c r="M311" s="96"/>
      <c r="N311" s="96"/>
      <c r="O311" s="96"/>
      <c r="P311" s="96"/>
      <c r="Q311" s="97"/>
      <c r="R311" s="97"/>
      <c r="S311" s="89"/>
      <c r="T311" s="89"/>
      <c r="U311" s="89"/>
      <c r="V311" s="89"/>
      <c r="W311" s="89"/>
      <c r="X311" s="89"/>
      <c r="Y311" s="89"/>
      <c r="Z311" s="89"/>
      <c r="AA311" s="90"/>
      <c r="AB311" s="90"/>
      <c r="AC311" s="90"/>
    </row>
    <row r="312" spans="3:29" ht="14.1" customHeight="1">
      <c r="C312" s="91"/>
      <c r="D312" s="92"/>
      <c r="E312" s="228"/>
      <c r="F312" s="93"/>
      <c r="G312" s="93"/>
      <c r="I312" s="94"/>
      <c r="J312" s="95"/>
      <c r="K312" s="96"/>
      <c r="L312" s="96"/>
      <c r="M312" s="96"/>
      <c r="N312" s="96"/>
      <c r="O312" s="96"/>
      <c r="P312" s="96"/>
      <c r="Q312" s="97"/>
      <c r="R312" s="97"/>
      <c r="S312" s="89"/>
      <c r="T312" s="89"/>
      <c r="U312" s="89"/>
      <c r="V312" s="89"/>
      <c r="W312" s="89"/>
      <c r="X312" s="89"/>
      <c r="Y312" s="89"/>
      <c r="Z312" s="89"/>
      <c r="AA312" s="90"/>
      <c r="AB312" s="90"/>
      <c r="AC312" s="90"/>
    </row>
    <row r="313" spans="3:29" ht="14.1" customHeight="1">
      <c r="C313" s="91"/>
      <c r="D313" s="92"/>
      <c r="E313" s="228"/>
      <c r="F313" s="93"/>
      <c r="G313" s="93"/>
      <c r="I313" s="94"/>
      <c r="J313" s="95"/>
      <c r="K313" s="96"/>
      <c r="L313" s="96"/>
      <c r="M313" s="96"/>
      <c r="N313" s="96"/>
      <c r="O313" s="96"/>
      <c r="P313" s="96"/>
      <c r="Q313" s="97"/>
      <c r="R313" s="97"/>
      <c r="S313" s="89"/>
      <c r="T313" s="89"/>
      <c r="U313" s="89"/>
      <c r="V313" s="89"/>
      <c r="W313" s="89"/>
      <c r="X313" s="89"/>
      <c r="Y313" s="89"/>
      <c r="Z313" s="89"/>
      <c r="AA313" s="90"/>
      <c r="AB313" s="90"/>
      <c r="AC313" s="90"/>
    </row>
    <row r="314" spans="3:29" ht="14.1" customHeight="1">
      <c r="C314" s="91"/>
      <c r="D314" s="92"/>
      <c r="E314" s="228"/>
      <c r="F314" s="93"/>
      <c r="G314" s="93"/>
      <c r="I314" s="94"/>
      <c r="J314" s="95"/>
      <c r="K314" s="96"/>
      <c r="L314" s="96"/>
      <c r="M314" s="96"/>
      <c r="N314" s="96"/>
      <c r="O314" s="96"/>
      <c r="P314" s="96"/>
      <c r="Q314" s="97"/>
      <c r="R314" s="97"/>
      <c r="S314" s="89"/>
      <c r="T314" s="89"/>
      <c r="U314" s="89"/>
      <c r="V314" s="89"/>
      <c r="W314" s="89"/>
      <c r="X314" s="89"/>
      <c r="Y314" s="89"/>
      <c r="Z314" s="89"/>
      <c r="AA314" s="90"/>
      <c r="AB314" s="90"/>
      <c r="AC314" s="90"/>
    </row>
    <row r="315" spans="3:29" ht="14.1" customHeight="1">
      <c r="C315" s="91"/>
      <c r="D315" s="92"/>
      <c r="E315" s="228"/>
      <c r="F315" s="93"/>
      <c r="G315" s="93"/>
      <c r="I315" s="94"/>
      <c r="J315" s="95"/>
      <c r="K315" s="96"/>
      <c r="L315" s="96"/>
      <c r="M315" s="96"/>
      <c r="N315" s="96"/>
      <c r="O315" s="96"/>
      <c r="P315" s="96"/>
      <c r="Q315" s="97"/>
      <c r="R315" s="97"/>
      <c r="S315" s="89"/>
      <c r="T315" s="89"/>
      <c r="U315" s="89"/>
      <c r="V315" s="89"/>
      <c r="W315" s="89"/>
      <c r="X315" s="89"/>
      <c r="Y315" s="89"/>
      <c r="Z315" s="89"/>
      <c r="AA315" s="90"/>
      <c r="AB315" s="90"/>
      <c r="AC315" s="90"/>
    </row>
    <row r="316" spans="3:29" ht="14.1" customHeight="1">
      <c r="C316" s="91"/>
      <c r="D316" s="92"/>
      <c r="E316" s="228"/>
      <c r="F316" s="93"/>
      <c r="G316" s="93"/>
      <c r="I316" s="94"/>
      <c r="J316" s="95"/>
      <c r="K316" s="96"/>
      <c r="L316" s="96"/>
      <c r="M316" s="96"/>
      <c r="N316" s="96"/>
      <c r="O316" s="96"/>
      <c r="P316" s="96"/>
      <c r="Q316" s="97"/>
      <c r="R316" s="97"/>
      <c r="S316" s="89"/>
      <c r="T316" s="89"/>
      <c r="U316" s="89"/>
      <c r="V316" s="89"/>
      <c r="W316" s="89"/>
      <c r="X316" s="89"/>
      <c r="Y316" s="89"/>
      <c r="Z316" s="89"/>
      <c r="AA316" s="90"/>
      <c r="AB316" s="90"/>
      <c r="AC316" s="90"/>
    </row>
    <row r="317" spans="3:29" ht="14.1" customHeight="1">
      <c r="C317" s="91"/>
      <c r="D317" s="92"/>
      <c r="E317" s="228"/>
      <c r="F317" s="93"/>
      <c r="G317" s="93"/>
      <c r="I317" s="94"/>
      <c r="J317" s="95"/>
      <c r="K317" s="96"/>
      <c r="L317" s="96"/>
      <c r="M317" s="96"/>
      <c r="N317" s="96"/>
      <c r="O317" s="96"/>
      <c r="P317" s="96"/>
      <c r="Q317" s="97"/>
      <c r="R317" s="97"/>
      <c r="S317" s="89"/>
      <c r="T317" s="89"/>
      <c r="U317" s="89"/>
      <c r="V317" s="89"/>
      <c r="W317" s="89"/>
      <c r="X317" s="89"/>
      <c r="Y317" s="89"/>
      <c r="Z317" s="89"/>
      <c r="AA317" s="90"/>
      <c r="AB317" s="90"/>
      <c r="AC317" s="90"/>
    </row>
    <row r="318" spans="3:29" ht="14.1" customHeight="1">
      <c r="C318" s="91"/>
      <c r="D318" s="92"/>
      <c r="E318" s="228"/>
      <c r="F318" s="93"/>
      <c r="G318" s="93"/>
      <c r="I318" s="94"/>
      <c r="J318" s="95"/>
      <c r="K318" s="96"/>
      <c r="L318" s="96"/>
      <c r="M318" s="96"/>
      <c r="N318" s="96"/>
      <c r="O318" s="96"/>
      <c r="P318" s="96"/>
      <c r="Q318" s="97"/>
      <c r="R318" s="97"/>
      <c r="S318" s="89"/>
      <c r="T318" s="89"/>
      <c r="U318" s="89"/>
      <c r="V318" s="89"/>
      <c r="W318" s="89"/>
      <c r="X318" s="89"/>
      <c r="Y318" s="89"/>
      <c r="Z318" s="89"/>
      <c r="AA318" s="90"/>
      <c r="AB318" s="90"/>
      <c r="AC318" s="90"/>
    </row>
    <row r="319" spans="3:29" ht="14.1" customHeight="1">
      <c r="C319" s="91"/>
      <c r="D319" s="92"/>
      <c r="E319" s="228"/>
      <c r="F319" s="93"/>
      <c r="G319" s="93"/>
      <c r="I319" s="94"/>
      <c r="J319" s="95"/>
      <c r="K319" s="96"/>
      <c r="L319" s="96"/>
      <c r="M319" s="96"/>
      <c r="N319" s="96"/>
      <c r="O319" s="96"/>
      <c r="P319" s="96"/>
      <c r="Q319" s="97"/>
      <c r="R319" s="97"/>
      <c r="S319" s="89"/>
      <c r="T319" s="89"/>
      <c r="U319" s="89"/>
      <c r="V319" s="89"/>
      <c r="W319" s="89"/>
      <c r="X319" s="89"/>
      <c r="Y319" s="89"/>
      <c r="Z319" s="89"/>
      <c r="AA319" s="90"/>
      <c r="AB319" s="90"/>
      <c r="AC319" s="90"/>
    </row>
    <row r="320" spans="3:29" ht="14.1" customHeight="1">
      <c r="C320" s="91"/>
      <c r="D320" s="92"/>
      <c r="E320" s="228"/>
      <c r="F320" s="93"/>
      <c r="G320" s="93"/>
      <c r="I320" s="94"/>
      <c r="J320" s="95"/>
      <c r="K320" s="96"/>
      <c r="L320" s="96"/>
      <c r="M320" s="96"/>
      <c r="N320" s="96"/>
      <c r="O320" s="96"/>
      <c r="P320" s="96"/>
      <c r="Q320" s="97"/>
      <c r="R320" s="97"/>
      <c r="S320" s="89"/>
      <c r="T320" s="89"/>
      <c r="U320" s="89"/>
      <c r="V320" s="89"/>
      <c r="W320" s="89"/>
      <c r="X320" s="89"/>
      <c r="Y320" s="89"/>
      <c r="Z320" s="89"/>
      <c r="AA320" s="90"/>
      <c r="AB320" s="90"/>
      <c r="AC320" s="90"/>
    </row>
    <row r="321" spans="3:29" ht="14.1" customHeight="1">
      <c r="C321" s="91"/>
      <c r="D321" s="92"/>
      <c r="E321" s="228"/>
      <c r="F321" s="93"/>
      <c r="G321" s="93"/>
      <c r="I321" s="94"/>
      <c r="J321" s="95"/>
      <c r="K321" s="96"/>
      <c r="L321" s="96"/>
      <c r="M321" s="96"/>
      <c r="N321" s="96"/>
      <c r="O321" s="96"/>
      <c r="P321" s="96"/>
      <c r="Q321" s="97"/>
      <c r="R321" s="97"/>
      <c r="S321" s="89"/>
      <c r="T321" s="89"/>
      <c r="U321" s="89"/>
      <c r="V321" s="89"/>
      <c r="W321" s="89"/>
      <c r="X321" s="89"/>
      <c r="Y321" s="89"/>
      <c r="Z321" s="89"/>
      <c r="AA321" s="90"/>
      <c r="AB321" s="90"/>
      <c r="AC321" s="90"/>
    </row>
    <row r="322" spans="3:29" ht="14.1" customHeight="1">
      <c r="C322" s="91"/>
      <c r="D322" s="92"/>
      <c r="E322" s="228"/>
      <c r="F322" s="93"/>
      <c r="G322" s="93"/>
      <c r="I322" s="94"/>
      <c r="J322" s="95"/>
      <c r="K322" s="96"/>
      <c r="L322" s="96"/>
      <c r="M322" s="96"/>
      <c r="N322" s="96"/>
      <c r="O322" s="96"/>
      <c r="P322" s="96"/>
      <c r="Q322" s="97"/>
      <c r="R322" s="97"/>
      <c r="S322" s="89"/>
      <c r="T322" s="89"/>
      <c r="U322" s="89"/>
      <c r="V322" s="89"/>
      <c r="W322" s="89"/>
      <c r="X322" s="89"/>
      <c r="Y322" s="89"/>
      <c r="Z322" s="89"/>
      <c r="AA322" s="90"/>
      <c r="AB322" s="90"/>
      <c r="AC322" s="90"/>
    </row>
    <row r="323" spans="3:29" ht="14.1" customHeight="1">
      <c r="C323" s="91"/>
      <c r="D323" s="92"/>
      <c r="E323" s="228"/>
      <c r="F323" s="93"/>
      <c r="G323" s="93"/>
      <c r="I323" s="94"/>
      <c r="J323" s="95"/>
      <c r="K323" s="96"/>
      <c r="L323" s="96"/>
      <c r="M323" s="96"/>
      <c r="N323" s="96"/>
      <c r="O323" s="96"/>
      <c r="P323" s="96"/>
      <c r="Q323" s="97"/>
      <c r="R323" s="97"/>
      <c r="S323" s="89"/>
      <c r="T323" s="89"/>
      <c r="U323" s="89"/>
      <c r="V323" s="89"/>
      <c r="W323" s="89"/>
      <c r="X323" s="89"/>
      <c r="Y323" s="89"/>
      <c r="Z323" s="89"/>
      <c r="AA323" s="90"/>
      <c r="AB323" s="90"/>
      <c r="AC323" s="90"/>
    </row>
    <row r="324" spans="3:29" ht="14.1" customHeight="1">
      <c r="C324" s="91"/>
      <c r="D324" s="92"/>
      <c r="E324" s="228"/>
      <c r="F324" s="93"/>
      <c r="G324" s="93"/>
      <c r="I324" s="94"/>
      <c r="J324" s="95"/>
      <c r="K324" s="96"/>
      <c r="L324" s="96"/>
      <c r="M324" s="96"/>
      <c r="N324" s="96"/>
      <c r="O324" s="96"/>
      <c r="P324" s="96"/>
      <c r="Q324" s="97"/>
      <c r="R324" s="97"/>
      <c r="S324" s="89"/>
      <c r="T324" s="89"/>
      <c r="U324" s="89"/>
      <c r="V324" s="89"/>
      <c r="W324" s="89"/>
      <c r="X324" s="89"/>
      <c r="Y324" s="89"/>
      <c r="Z324" s="89"/>
      <c r="AA324" s="90"/>
      <c r="AB324" s="90"/>
      <c r="AC324" s="90"/>
    </row>
    <row r="325" spans="3:29" ht="14.1" customHeight="1">
      <c r="C325" s="91"/>
      <c r="D325" s="92"/>
      <c r="E325" s="228"/>
      <c r="F325" s="93"/>
      <c r="G325" s="93"/>
      <c r="I325" s="94"/>
      <c r="J325" s="95"/>
      <c r="K325" s="96"/>
      <c r="L325" s="96"/>
      <c r="M325" s="96"/>
      <c r="N325" s="96"/>
      <c r="O325" s="96"/>
      <c r="P325" s="96"/>
      <c r="Q325" s="97"/>
      <c r="R325" s="97"/>
      <c r="S325" s="89"/>
      <c r="T325" s="89"/>
      <c r="U325" s="89"/>
      <c r="V325" s="89"/>
      <c r="W325" s="89"/>
      <c r="X325" s="89"/>
      <c r="Y325" s="89"/>
      <c r="Z325" s="89"/>
      <c r="AA325" s="90"/>
      <c r="AB325" s="90"/>
      <c r="AC325" s="90"/>
    </row>
    <row r="326" spans="3:29" ht="14.1" customHeight="1">
      <c r="C326" s="91"/>
      <c r="D326" s="92"/>
      <c r="E326" s="228"/>
      <c r="F326" s="93"/>
      <c r="G326" s="93"/>
      <c r="I326" s="94"/>
      <c r="J326" s="95"/>
      <c r="K326" s="96"/>
      <c r="L326" s="96"/>
      <c r="M326" s="96"/>
      <c r="N326" s="96"/>
      <c r="O326" s="96"/>
      <c r="P326" s="96"/>
      <c r="Q326" s="97"/>
      <c r="R326" s="97"/>
      <c r="S326" s="89"/>
      <c r="T326" s="89"/>
      <c r="U326" s="89"/>
      <c r="V326" s="89"/>
      <c r="W326" s="89"/>
      <c r="X326" s="89"/>
      <c r="Y326" s="89"/>
      <c r="Z326" s="89"/>
      <c r="AA326" s="90"/>
      <c r="AB326" s="90"/>
      <c r="AC326" s="90"/>
    </row>
    <row r="327" spans="3:29" ht="14.1" customHeight="1">
      <c r="C327" s="91"/>
      <c r="D327" s="92"/>
      <c r="E327" s="228"/>
      <c r="F327" s="93"/>
      <c r="G327" s="93"/>
      <c r="I327" s="94"/>
      <c r="J327" s="95"/>
      <c r="K327" s="96"/>
      <c r="L327" s="96"/>
      <c r="M327" s="96"/>
      <c r="N327" s="96"/>
      <c r="O327" s="96"/>
      <c r="P327" s="96"/>
      <c r="Q327" s="97"/>
      <c r="R327" s="97"/>
      <c r="S327" s="89"/>
      <c r="T327" s="89"/>
      <c r="U327" s="89"/>
      <c r="V327" s="89"/>
      <c r="W327" s="89"/>
      <c r="X327" s="89"/>
      <c r="Y327" s="89"/>
      <c r="Z327" s="89"/>
      <c r="AA327" s="90"/>
      <c r="AB327" s="90"/>
      <c r="AC327" s="90"/>
    </row>
    <row r="328" spans="3:29" ht="14.1" customHeight="1">
      <c r="C328" s="91"/>
      <c r="D328" s="92"/>
      <c r="E328" s="228"/>
      <c r="F328" s="93"/>
      <c r="G328" s="93"/>
      <c r="I328" s="94"/>
      <c r="J328" s="95"/>
      <c r="K328" s="96"/>
      <c r="L328" s="96"/>
      <c r="M328" s="96"/>
      <c r="N328" s="96"/>
      <c r="O328" s="96"/>
      <c r="P328" s="96"/>
      <c r="Q328" s="97"/>
      <c r="R328" s="97"/>
      <c r="S328" s="89"/>
      <c r="T328" s="89"/>
      <c r="U328" s="89"/>
      <c r="V328" s="89"/>
      <c r="W328" s="89"/>
      <c r="X328" s="89"/>
      <c r="Y328" s="89"/>
      <c r="Z328" s="89"/>
      <c r="AA328" s="90"/>
      <c r="AB328" s="90"/>
      <c r="AC328" s="90"/>
    </row>
    <row r="329" spans="3:29" ht="14.1" customHeight="1">
      <c r="C329" s="91"/>
      <c r="D329" s="92"/>
      <c r="E329" s="228"/>
      <c r="F329" s="93"/>
      <c r="G329" s="93"/>
      <c r="I329" s="94"/>
      <c r="J329" s="95"/>
      <c r="K329" s="96"/>
      <c r="L329" s="96"/>
      <c r="M329" s="96"/>
      <c r="N329" s="96"/>
      <c r="O329" s="96"/>
      <c r="P329" s="96"/>
      <c r="Q329" s="97"/>
      <c r="R329" s="97"/>
      <c r="S329" s="89"/>
      <c r="T329" s="89"/>
      <c r="U329" s="89"/>
      <c r="V329" s="89"/>
      <c r="W329" s="89"/>
      <c r="X329" s="89"/>
      <c r="Y329" s="89"/>
      <c r="Z329" s="89"/>
      <c r="AA329" s="90"/>
      <c r="AB329" s="90"/>
      <c r="AC329" s="90"/>
    </row>
    <row r="330" spans="3:29" ht="14.1" customHeight="1">
      <c r="C330" s="91"/>
      <c r="D330" s="92"/>
      <c r="E330" s="228"/>
      <c r="F330" s="93"/>
      <c r="G330" s="93"/>
      <c r="I330" s="94"/>
      <c r="J330" s="95"/>
      <c r="K330" s="96"/>
      <c r="L330" s="96"/>
      <c r="M330" s="96"/>
      <c r="N330" s="96"/>
      <c r="O330" s="96"/>
      <c r="P330" s="96"/>
      <c r="Q330" s="97"/>
      <c r="R330" s="97"/>
      <c r="S330" s="89"/>
      <c r="T330" s="89"/>
      <c r="U330" s="89"/>
      <c r="V330" s="89"/>
      <c r="W330" s="89"/>
      <c r="X330" s="89"/>
      <c r="Y330" s="89"/>
      <c r="Z330" s="89"/>
      <c r="AA330" s="90"/>
      <c r="AB330" s="90"/>
      <c r="AC330" s="90"/>
    </row>
    <row r="331" spans="3:29" ht="14.1" customHeight="1">
      <c r="C331" s="91"/>
      <c r="D331" s="92"/>
      <c r="E331" s="228"/>
      <c r="F331" s="93"/>
      <c r="G331" s="93"/>
      <c r="I331" s="94"/>
      <c r="J331" s="95"/>
      <c r="K331" s="96"/>
      <c r="L331" s="96"/>
      <c r="M331" s="96"/>
      <c r="N331" s="96"/>
      <c r="O331" s="96"/>
      <c r="P331" s="96"/>
      <c r="Q331" s="97"/>
      <c r="R331" s="97"/>
      <c r="S331" s="89"/>
      <c r="T331" s="89"/>
      <c r="U331" s="89"/>
      <c r="V331" s="89"/>
      <c r="W331" s="89"/>
      <c r="X331" s="89"/>
      <c r="Y331" s="89"/>
      <c r="Z331" s="89"/>
      <c r="AA331" s="90"/>
      <c r="AB331" s="90"/>
      <c r="AC331" s="90"/>
    </row>
    <row r="332" spans="3:29" ht="14.1" customHeight="1">
      <c r="C332" s="91"/>
      <c r="D332" s="92"/>
      <c r="E332" s="228"/>
      <c r="F332" s="93"/>
      <c r="G332" s="93"/>
      <c r="I332" s="94"/>
      <c r="J332" s="95"/>
      <c r="K332" s="96"/>
      <c r="L332" s="96"/>
      <c r="M332" s="96"/>
      <c r="N332" s="96"/>
      <c r="O332" s="96"/>
      <c r="P332" s="96"/>
      <c r="Q332" s="97"/>
      <c r="R332" s="97"/>
      <c r="S332" s="89"/>
      <c r="T332" s="89"/>
      <c r="U332" s="89"/>
      <c r="V332" s="89"/>
      <c r="W332" s="89"/>
      <c r="X332" s="89"/>
      <c r="Y332" s="89"/>
      <c r="Z332" s="89"/>
      <c r="AA332" s="90"/>
      <c r="AB332" s="90"/>
      <c r="AC332" s="90"/>
    </row>
    <row r="333" spans="3:29" ht="14.1" customHeight="1">
      <c r="C333" s="91"/>
      <c r="D333" s="92"/>
      <c r="E333" s="228"/>
      <c r="F333" s="93"/>
      <c r="G333" s="93"/>
      <c r="I333" s="94"/>
      <c r="J333" s="95"/>
      <c r="K333" s="96"/>
      <c r="L333" s="96"/>
      <c r="M333" s="96"/>
      <c r="N333" s="96"/>
      <c r="O333" s="96"/>
      <c r="P333" s="96"/>
      <c r="Q333" s="97"/>
      <c r="R333" s="97"/>
      <c r="S333" s="89"/>
      <c r="T333" s="89"/>
      <c r="U333" s="89"/>
      <c r="V333" s="89"/>
      <c r="W333" s="89"/>
      <c r="X333" s="89"/>
      <c r="Y333" s="89"/>
      <c r="Z333" s="89"/>
      <c r="AA333" s="90"/>
      <c r="AB333" s="90"/>
      <c r="AC333" s="90"/>
    </row>
    <row r="334" spans="3:29" ht="14.1" customHeight="1">
      <c r="C334" s="91"/>
      <c r="D334" s="92"/>
      <c r="E334" s="228"/>
      <c r="F334" s="93"/>
      <c r="G334" s="93"/>
      <c r="I334" s="94"/>
      <c r="J334" s="95"/>
      <c r="K334" s="96"/>
      <c r="L334" s="96"/>
      <c r="M334" s="96"/>
      <c r="N334" s="96"/>
      <c r="O334" s="96"/>
      <c r="P334" s="96"/>
      <c r="Q334" s="97"/>
      <c r="R334" s="97"/>
      <c r="S334" s="89"/>
      <c r="T334" s="89"/>
      <c r="U334" s="89"/>
      <c r="V334" s="89"/>
      <c r="W334" s="89"/>
      <c r="X334" s="89"/>
      <c r="Y334" s="89"/>
      <c r="Z334" s="89"/>
      <c r="AA334" s="90"/>
      <c r="AB334" s="90"/>
      <c r="AC334" s="90"/>
    </row>
    <row r="335" spans="3:29" ht="14.1" customHeight="1">
      <c r="C335" s="91"/>
      <c r="D335" s="92"/>
      <c r="E335" s="228"/>
      <c r="F335" s="93"/>
      <c r="G335" s="93"/>
      <c r="I335" s="94"/>
      <c r="J335" s="95"/>
      <c r="K335" s="96"/>
      <c r="L335" s="96"/>
      <c r="M335" s="96"/>
      <c r="N335" s="96"/>
      <c r="O335" s="96"/>
      <c r="P335" s="96"/>
      <c r="Q335" s="97"/>
      <c r="R335" s="97"/>
      <c r="S335" s="89"/>
      <c r="T335" s="89"/>
      <c r="U335" s="89"/>
      <c r="V335" s="89"/>
      <c r="W335" s="89"/>
      <c r="X335" s="89"/>
      <c r="Y335" s="89"/>
      <c r="Z335" s="89"/>
      <c r="AA335" s="90"/>
      <c r="AB335" s="90"/>
      <c r="AC335" s="90"/>
    </row>
    <row r="336" spans="3:29" ht="14.1" customHeight="1">
      <c r="C336" s="91"/>
      <c r="D336" s="92"/>
      <c r="E336" s="228"/>
      <c r="F336" s="93"/>
      <c r="G336" s="93"/>
      <c r="I336" s="94"/>
      <c r="J336" s="95"/>
      <c r="K336" s="96"/>
      <c r="L336" s="96"/>
      <c r="M336" s="96"/>
      <c r="N336" s="96"/>
      <c r="O336" s="96"/>
      <c r="P336" s="96"/>
      <c r="Q336" s="97"/>
      <c r="R336" s="97"/>
      <c r="S336" s="89"/>
      <c r="T336" s="89"/>
      <c r="U336" s="89"/>
      <c r="V336" s="89"/>
      <c r="W336" s="89"/>
      <c r="X336" s="89"/>
      <c r="Y336" s="89"/>
      <c r="Z336" s="89"/>
      <c r="AA336" s="90"/>
      <c r="AB336" s="90"/>
      <c r="AC336" s="90"/>
    </row>
    <row r="337" spans="3:29" ht="14.1" customHeight="1">
      <c r="C337" s="91"/>
      <c r="D337" s="92"/>
      <c r="E337" s="228"/>
      <c r="F337" s="93"/>
      <c r="G337" s="93"/>
      <c r="I337" s="94"/>
      <c r="J337" s="95"/>
      <c r="K337" s="96"/>
      <c r="L337" s="96"/>
      <c r="M337" s="96"/>
      <c r="N337" s="96"/>
      <c r="O337" s="96"/>
      <c r="P337" s="96"/>
      <c r="Q337" s="97"/>
      <c r="R337" s="97"/>
      <c r="S337" s="89"/>
      <c r="T337" s="89"/>
      <c r="U337" s="89"/>
      <c r="V337" s="89"/>
      <c r="W337" s="89"/>
      <c r="X337" s="89"/>
      <c r="Y337" s="89"/>
      <c r="Z337" s="89"/>
      <c r="AA337" s="90"/>
      <c r="AB337" s="90"/>
      <c r="AC337" s="90"/>
    </row>
    <row r="338" spans="3:29" ht="14.1" customHeight="1">
      <c r="C338" s="91"/>
      <c r="D338" s="92"/>
      <c r="E338" s="228"/>
      <c r="F338" s="93"/>
      <c r="G338" s="93"/>
      <c r="I338" s="94"/>
      <c r="J338" s="95"/>
      <c r="K338" s="96"/>
      <c r="L338" s="96"/>
      <c r="M338" s="96"/>
      <c r="N338" s="96"/>
      <c r="O338" s="96"/>
      <c r="P338" s="96"/>
      <c r="Q338" s="97"/>
      <c r="R338" s="97"/>
      <c r="S338" s="89"/>
      <c r="T338" s="89"/>
      <c r="U338" s="89"/>
      <c r="V338" s="89"/>
      <c r="W338" s="89"/>
      <c r="X338" s="89"/>
      <c r="Y338" s="89"/>
      <c r="Z338" s="89"/>
      <c r="AA338" s="90"/>
      <c r="AB338" s="90"/>
      <c r="AC338" s="90"/>
    </row>
    <row r="339" spans="3:29" ht="14.1" customHeight="1">
      <c r="C339" s="91"/>
      <c r="D339" s="92"/>
      <c r="E339" s="228"/>
      <c r="F339" s="93"/>
      <c r="G339" s="93"/>
      <c r="I339" s="94"/>
      <c r="J339" s="95"/>
      <c r="K339" s="96"/>
      <c r="L339" s="96"/>
      <c r="M339" s="96"/>
      <c r="N339" s="96"/>
      <c r="O339" s="96"/>
      <c r="P339" s="96"/>
      <c r="Q339" s="97"/>
      <c r="R339" s="97"/>
      <c r="S339" s="89"/>
      <c r="T339" s="89"/>
      <c r="U339" s="89"/>
      <c r="V339" s="89"/>
      <c r="W339" s="89"/>
      <c r="X339" s="89"/>
      <c r="Y339" s="89"/>
      <c r="Z339" s="89"/>
      <c r="AA339" s="90"/>
      <c r="AB339" s="90"/>
      <c r="AC339" s="90"/>
    </row>
    <row r="340" spans="3:29" ht="14.1" customHeight="1">
      <c r="C340" s="91"/>
      <c r="D340" s="92"/>
      <c r="E340" s="228"/>
      <c r="F340" s="93"/>
      <c r="G340" s="93"/>
      <c r="I340" s="94"/>
      <c r="J340" s="95"/>
      <c r="K340" s="96"/>
      <c r="L340" s="96"/>
      <c r="M340" s="96"/>
      <c r="N340" s="96"/>
      <c r="O340" s="96"/>
      <c r="P340" s="96"/>
      <c r="Q340" s="97"/>
      <c r="R340" s="97"/>
      <c r="S340" s="89"/>
      <c r="T340" s="89"/>
      <c r="U340" s="89"/>
      <c r="V340" s="89"/>
      <c r="W340" s="89"/>
      <c r="X340" s="89"/>
      <c r="Y340" s="89"/>
      <c r="Z340" s="89"/>
      <c r="AA340" s="90"/>
      <c r="AB340" s="90"/>
      <c r="AC340" s="90"/>
    </row>
    <row r="341" spans="3:29" ht="14.1" customHeight="1">
      <c r="C341" s="91"/>
      <c r="D341" s="92"/>
      <c r="E341" s="228"/>
      <c r="F341" s="93"/>
      <c r="G341" s="93"/>
      <c r="I341" s="94"/>
      <c r="J341" s="95"/>
      <c r="K341" s="96"/>
      <c r="L341" s="96"/>
      <c r="M341" s="96"/>
      <c r="N341" s="96"/>
      <c r="O341" s="96"/>
      <c r="P341" s="96"/>
      <c r="Q341" s="97"/>
      <c r="R341" s="97"/>
      <c r="S341" s="89"/>
      <c r="T341" s="89"/>
      <c r="U341" s="89"/>
      <c r="V341" s="89"/>
      <c r="W341" s="89"/>
      <c r="X341" s="89"/>
      <c r="Y341" s="89"/>
      <c r="Z341" s="89"/>
      <c r="AA341" s="90"/>
      <c r="AB341" s="90"/>
      <c r="AC341" s="90"/>
    </row>
    <row r="342" spans="3:29" ht="14.1" customHeight="1">
      <c r="C342" s="91"/>
      <c r="D342" s="92"/>
      <c r="E342" s="228"/>
      <c r="F342" s="93"/>
      <c r="G342" s="93"/>
      <c r="I342" s="94"/>
      <c r="J342" s="95"/>
      <c r="K342" s="96"/>
      <c r="L342" s="96"/>
      <c r="M342" s="96"/>
      <c r="N342" s="96"/>
      <c r="O342" s="96"/>
      <c r="P342" s="96"/>
      <c r="Q342" s="97"/>
      <c r="R342" s="97"/>
      <c r="S342" s="89"/>
      <c r="T342" s="89"/>
      <c r="U342" s="89"/>
      <c r="V342" s="89"/>
      <c r="W342" s="89"/>
      <c r="X342" s="89"/>
      <c r="Y342" s="89"/>
      <c r="Z342" s="89"/>
      <c r="AA342" s="90"/>
      <c r="AB342" s="90"/>
      <c r="AC342" s="90"/>
    </row>
    <row r="343" spans="3:29" ht="14.1" customHeight="1">
      <c r="C343" s="91"/>
      <c r="D343" s="92"/>
      <c r="E343" s="228"/>
      <c r="F343" s="93"/>
      <c r="G343" s="93"/>
      <c r="I343" s="94"/>
      <c r="J343" s="95"/>
      <c r="K343" s="96"/>
      <c r="L343" s="96"/>
      <c r="M343" s="96"/>
      <c r="N343" s="96"/>
      <c r="O343" s="96"/>
      <c r="P343" s="96"/>
      <c r="Q343" s="97"/>
      <c r="R343" s="97"/>
      <c r="S343" s="89"/>
      <c r="T343" s="89"/>
      <c r="U343" s="89"/>
      <c r="V343" s="89"/>
      <c r="W343" s="89"/>
      <c r="X343" s="89"/>
      <c r="Y343" s="89"/>
      <c r="Z343" s="89"/>
      <c r="AA343" s="90"/>
      <c r="AB343" s="90"/>
      <c r="AC343" s="90"/>
    </row>
    <row r="344" spans="3:29" ht="14.1" customHeight="1">
      <c r="C344" s="91"/>
      <c r="D344" s="92"/>
      <c r="E344" s="228"/>
      <c r="F344" s="93"/>
      <c r="G344" s="93"/>
      <c r="I344" s="94"/>
      <c r="J344" s="95"/>
      <c r="K344" s="96"/>
      <c r="L344" s="96"/>
      <c r="M344" s="96"/>
      <c r="N344" s="96"/>
      <c r="O344" s="96"/>
      <c r="P344" s="96"/>
      <c r="Q344" s="97"/>
      <c r="R344" s="97"/>
      <c r="S344" s="89"/>
      <c r="T344" s="89"/>
      <c r="U344" s="89"/>
      <c r="V344" s="89"/>
      <c r="W344" s="89"/>
      <c r="X344" s="89"/>
      <c r="Y344" s="89"/>
      <c r="Z344" s="89"/>
      <c r="AA344" s="90"/>
      <c r="AB344" s="90"/>
      <c r="AC344" s="90"/>
    </row>
    <row r="345" spans="3:29" ht="14.1" customHeight="1">
      <c r="C345" s="91"/>
      <c r="D345" s="92"/>
      <c r="E345" s="228"/>
      <c r="F345" s="93"/>
      <c r="G345" s="93"/>
      <c r="I345" s="94"/>
      <c r="J345" s="95"/>
      <c r="K345" s="96"/>
      <c r="L345" s="96"/>
      <c r="M345" s="96"/>
      <c r="N345" s="96"/>
      <c r="O345" s="96"/>
      <c r="P345" s="96"/>
      <c r="Q345" s="97"/>
      <c r="R345" s="97"/>
      <c r="S345" s="89"/>
      <c r="T345" s="89"/>
      <c r="U345" s="89"/>
      <c r="V345" s="89"/>
      <c r="W345" s="89"/>
      <c r="X345" s="89"/>
      <c r="Y345" s="89"/>
      <c r="Z345" s="89"/>
      <c r="AA345" s="90"/>
      <c r="AB345" s="90"/>
      <c r="AC345" s="90"/>
    </row>
    <row r="346" spans="3:29" ht="14.1" customHeight="1">
      <c r="C346" s="91"/>
      <c r="D346" s="92"/>
      <c r="E346" s="228"/>
      <c r="F346" s="93"/>
      <c r="G346" s="93"/>
      <c r="I346" s="94"/>
      <c r="J346" s="95"/>
      <c r="K346" s="96"/>
      <c r="L346" s="96"/>
      <c r="M346" s="96"/>
      <c r="N346" s="96"/>
      <c r="O346" s="96"/>
      <c r="P346" s="96"/>
      <c r="Q346" s="97"/>
      <c r="R346" s="97"/>
      <c r="S346" s="89"/>
      <c r="T346" s="89"/>
      <c r="U346" s="89"/>
      <c r="V346" s="89"/>
      <c r="W346" s="89"/>
      <c r="X346" s="89"/>
      <c r="Y346" s="89"/>
      <c r="Z346" s="89"/>
      <c r="AA346" s="90"/>
      <c r="AB346" s="90"/>
      <c r="AC346" s="90"/>
    </row>
    <row r="347" spans="3:29" ht="14.1" customHeight="1">
      <c r="C347" s="91"/>
      <c r="D347" s="92"/>
      <c r="E347" s="228"/>
      <c r="F347" s="93"/>
      <c r="G347" s="93"/>
      <c r="I347" s="94"/>
      <c r="J347" s="95"/>
      <c r="K347" s="96"/>
      <c r="L347" s="96"/>
      <c r="M347" s="96"/>
      <c r="N347" s="96"/>
      <c r="O347" s="96"/>
      <c r="P347" s="96"/>
      <c r="Q347" s="97"/>
      <c r="R347" s="97"/>
      <c r="S347" s="89"/>
      <c r="T347" s="89"/>
      <c r="U347" s="89"/>
      <c r="V347" s="89"/>
      <c r="W347" s="89"/>
      <c r="X347" s="89"/>
      <c r="Y347" s="89"/>
      <c r="Z347" s="89"/>
      <c r="AA347" s="90"/>
      <c r="AB347" s="90"/>
      <c r="AC347" s="90"/>
    </row>
    <row r="348" spans="3:29" ht="14.1" customHeight="1">
      <c r="C348" s="91"/>
      <c r="D348" s="92"/>
      <c r="E348" s="228"/>
      <c r="F348" s="93"/>
      <c r="G348" s="93"/>
      <c r="I348" s="94"/>
      <c r="J348" s="95"/>
      <c r="K348" s="96"/>
      <c r="L348" s="96"/>
      <c r="M348" s="96"/>
      <c r="N348" s="96"/>
      <c r="O348" s="96"/>
      <c r="P348" s="96"/>
      <c r="Q348" s="97"/>
      <c r="R348" s="97"/>
      <c r="S348" s="89"/>
      <c r="T348" s="89"/>
      <c r="U348" s="89"/>
      <c r="V348" s="89"/>
      <c r="W348" s="89"/>
      <c r="X348" s="89"/>
      <c r="Y348" s="89"/>
      <c r="Z348" s="89"/>
      <c r="AA348" s="90"/>
      <c r="AB348" s="90"/>
      <c r="AC348" s="90"/>
    </row>
    <row r="349" spans="3:29" ht="14.1" customHeight="1">
      <c r="C349" s="91"/>
      <c r="D349" s="92"/>
      <c r="E349" s="228"/>
      <c r="F349" s="93"/>
      <c r="G349" s="93"/>
      <c r="I349" s="94"/>
      <c r="J349" s="95"/>
      <c r="K349" s="96"/>
      <c r="L349" s="96"/>
      <c r="M349" s="96"/>
      <c r="N349" s="96"/>
      <c r="O349" s="96"/>
      <c r="P349" s="96"/>
      <c r="Q349" s="97"/>
      <c r="R349" s="97"/>
      <c r="S349" s="89"/>
      <c r="T349" s="89"/>
      <c r="U349" s="89"/>
      <c r="V349" s="89"/>
      <c r="W349" s="89"/>
      <c r="X349" s="89"/>
      <c r="Y349" s="89"/>
      <c r="Z349" s="89"/>
      <c r="AA349" s="90"/>
      <c r="AB349" s="90"/>
      <c r="AC349" s="90"/>
    </row>
    <row r="350" spans="3:29" ht="14.1" customHeight="1">
      <c r="C350" s="91"/>
      <c r="D350" s="92"/>
      <c r="E350" s="228"/>
      <c r="F350" s="93"/>
      <c r="G350" s="93"/>
      <c r="I350" s="94"/>
      <c r="J350" s="95"/>
      <c r="K350" s="96"/>
      <c r="L350" s="96"/>
      <c r="M350" s="96"/>
      <c r="N350" s="96"/>
      <c r="O350" s="96"/>
      <c r="P350" s="96"/>
      <c r="Q350" s="97"/>
      <c r="R350" s="97"/>
      <c r="S350" s="89"/>
      <c r="T350" s="89"/>
      <c r="U350" s="89"/>
      <c r="V350" s="89"/>
      <c r="W350" s="89"/>
      <c r="X350" s="89"/>
      <c r="Y350" s="89"/>
      <c r="Z350" s="89"/>
      <c r="AA350" s="90"/>
      <c r="AB350" s="90"/>
      <c r="AC350" s="90"/>
    </row>
    <row r="351" spans="3:29" ht="14.1" customHeight="1">
      <c r="C351" s="91"/>
      <c r="D351" s="92"/>
      <c r="E351" s="228"/>
      <c r="F351" s="93"/>
      <c r="G351" s="93"/>
      <c r="I351" s="94"/>
      <c r="J351" s="95"/>
      <c r="K351" s="96"/>
      <c r="L351" s="96"/>
      <c r="M351" s="96"/>
      <c r="N351" s="96"/>
      <c r="O351" s="96"/>
      <c r="P351" s="96"/>
      <c r="Q351" s="97"/>
      <c r="R351" s="97"/>
      <c r="S351" s="89"/>
      <c r="T351" s="89"/>
      <c r="U351" s="89"/>
      <c r="V351" s="89"/>
      <c r="W351" s="89"/>
      <c r="X351" s="89"/>
      <c r="Y351" s="89"/>
      <c r="Z351" s="89"/>
      <c r="AA351" s="90"/>
      <c r="AB351" s="90"/>
      <c r="AC351" s="90"/>
    </row>
    <row r="352" spans="3:29" ht="14.1" customHeight="1">
      <c r="C352" s="91"/>
      <c r="D352" s="92"/>
      <c r="E352" s="228"/>
      <c r="F352" s="93"/>
      <c r="G352" s="93"/>
      <c r="I352" s="94"/>
      <c r="J352" s="95"/>
      <c r="K352" s="96"/>
      <c r="L352" s="96"/>
      <c r="M352" s="96"/>
      <c r="N352" s="96"/>
      <c r="O352" s="96"/>
      <c r="P352" s="96"/>
      <c r="Q352" s="97"/>
      <c r="R352" s="97"/>
      <c r="S352" s="89"/>
      <c r="T352" s="89"/>
      <c r="U352" s="89"/>
      <c r="V352" s="89"/>
      <c r="W352" s="89"/>
      <c r="X352" s="89"/>
      <c r="Y352" s="89"/>
      <c r="Z352" s="89"/>
      <c r="AA352" s="90"/>
      <c r="AB352" s="90"/>
      <c r="AC352" s="90"/>
    </row>
    <row r="353" spans="3:29" ht="14.1" customHeight="1">
      <c r="C353" s="91"/>
      <c r="D353" s="92"/>
      <c r="E353" s="228"/>
      <c r="F353" s="93"/>
      <c r="G353" s="93"/>
      <c r="I353" s="94"/>
      <c r="J353" s="95"/>
      <c r="K353" s="96"/>
      <c r="L353" s="96"/>
      <c r="M353" s="96"/>
      <c r="N353" s="96"/>
      <c r="O353" s="96"/>
      <c r="P353" s="96"/>
      <c r="Q353" s="97"/>
      <c r="R353" s="97"/>
      <c r="S353" s="89"/>
      <c r="T353" s="89"/>
      <c r="U353" s="89"/>
      <c r="V353" s="89"/>
      <c r="W353" s="89"/>
      <c r="X353" s="89"/>
      <c r="Y353" s="89"/>
      <c r="Z353" s="89"/>
      <c r="AA353" s="90"/>
      <c r="AB353" s="90"/>
      <c r="AC353" s="90"/>
    </row>
    <row r="354" spans="3:29" ht="14.1" customHeight="1">
      <c r="C354" s="91"/>
      <c r="D354" s="92"/>
      <c r="E354" s="228"/>
      <c r="F354" s="93"/>
      <c r="G354" s="93"/>
      <c r="I354" s="94"/>
      <c r="J354" s="95"/>
      <c r="K354" s="96"/>
      <c r="L354" s="96"/>
      <c r="M354" s="96"/>
      <c r="N354" s="96"/>
      <c r="O354" s="96"/>
      <c r="P354" s="96"/>
      <c r="Q354" s="97"/>
      <c r="R354" s="97"/>
      <c r="S354" s="89"/>
      <c r="T354" s="89"/>
      <c r="U354" s="89"/>
      <c r="V354" s="89"/>
      <c r="W354" s="89"/>
      <c r="X354" s="89"/>
      <c r="Y354" s="89"/>
      <c r="Z354" s="89"/>
      <c r="AA354" s="90"/>
      <c r="AB354" s="90"/>
      <c r="AC354" s="90"/>
    </row>
    <row r="355" spans="3:29" ht="14.1" customHeight="1">
      <c r="C355" s="91"/>
      <c r="D355" s="92"/>
      <c r="E355" s="228"/>
      <c r="F355" s="93"/>
      <c r="G355" s="93"/>
      <c r="I355" s="94"/>
      <c r="J355" s="95"/>
      <c r="K355" s="96"/>
      <c r="L355" s="96"/>
      <c r="M355" s="96"/>
      <c r="N355" s="96"/>
      <c r="O355" s="96"/>
      <c r="P355" s="96"/>
      <c r="Q355" s="97"/>
      <c r="R355" s="97"/>
      <c r="S355" s="89"/>
      <c r="T355" s="89"/>
      <c r="U355" s="89"/>
      <c r="V355" s="89"/>
      <c r="W355" s="89"/>
      <c r="X355" s="89"/>
      <c r="Y355" s="89"/>
      <c r="Z355" s="89"/>
      <c r="AA355" s="90"/>
      <c r="AB355" s="90"/>
      <c r="AC355" s="90"/>
    </row>
    <row r="356" spans="3:29" ht="14.1" customHeight="1">
      <c r="C356" s="91"/>
      <c r="D356" s="92"/>
      <c r="E356" s="228"/>
      <c r="F356" s="93"/>
      <c r="G356" s="93"/>
      <c r="I356" s="94"/>
      <c r="J356" s="95"/>
      <c r="K356" s="96"/>
      <c r="L356" s="96"/>
      <c r="M356" s="96"/>
      <c r="N356" s="96"/>
      <c r="O356" s="96"/>
      <c r="P356" s="96"/>
      <c r="Q356" s="97"/>
      <c r="R356" s="97"/>
      <c r="S356" s="89"/>
      <c r="T356" s="89"/>
      <c r="U356" s="89"/>
      <c r="V356" s="89"/>
      <c r="W356" s="89"/>
      <c r="X356" s="89"/>
      <c r="Y356" s="89"/>
      <c r="Z356" s="89"/>
      <c r="AA356" s="90"/>
      <c r="AB356" s="90"/>
      <c r="AC356" s="90"/>
    </row>
    <row r="357" spans="3:29" ht="14.1" customHeight="1">
      <c r="C357" s="91"/>
      <c r="D357" s="92"/>
      <c r="E357" s="228"/>
      <c r="F357" s="93"/>
      <c r="G357" s="93"/>
      <c r="I357" s="94"/>
      <c r="J357" s="95"/>
      <c r="K357" s="96"/>
      <c r="L357" s="96"/>
      <c r="M357" s="96"/>
      <c r="N357" s="96"/>
      <c r="O357" s="96"/>
      <c r="P357" s="96"/>
      <c r="Q357" s="97"/>
      <c r="R357" s="97"/>
      <c r="S357" s="89"/>
      <c r="T357" s="89"/>
      <c r="U357" s="89"/>
      <c r="V357" s="89"/>
      <c r="W357" s="89"/>
      <c r="X357" s="89"/>
      <c r="Y357" s="89"/>
      <c r="Z357" s="89"/>
      <c r="AA357" s="90"/>
      <c r="AB357" s="90"/>
      <c r="AC357" s="90"/>
    </row>
    <row r="358" spans="3:29" ht="14.1" customHeight="1">
      <c r="C358" s="91"/>
      <c r="D358" s="92"/>
      <c r="E358" s="228"/>
      <c r="F358" s="93"/>
      <c r="G358" s="93"/>
      <c r="I358" s="94"/>
      <c r="J358" s="95"/>
      <c r="K358" s="96"/>
      <c r="L358" s="96"/>
      <c r="M358" s="96"/>
      <c r="N358" s="96"/>
      <c r="O358" s="96"/>
      <c r="P358" s="96"/>
      <c r="Q358" s="97"/>
      <c r="R358" s="97"/>
      <c r="S358" s="89"/>
      <c r="T358" s="89"/>
      <c r="U358" s="89"/>
      <c r="V358" s="89"/>
      <c r="W358" s="89"/>
      <c r="X358" s="89"/>
      <c r="Y358" s="89"/>
      <c r="Z358" s="89"/>
      <c r="AA358" s="90"/>
      <c r="AB358" s="90"/>
      <c r="AC358" s="90"/>
    </row>
    <row r="359" spans="3:29" ht="14.1" customHeight="1">
      <c r="C359" s="91"/>
      <c r="D359" s="92"/>
      <c r="E359" s="228"/>
      <c r="F359" s="93"/>
      <c r="G359" s="93"/>
      <c r="I359" s="94"/>
      <c r="J359" s="95"/>
      <c r="K359" s="96"/>
      <c r="L359" s="96"/>
      <c r="M359" s="96"/>
      <c r="N359" s="96"/>
      <c r="O359" s="96"/>
      <c r="P359" s="96"/>
      <c r="Q359" s="97"/>
      <c r="R359" s="97"/>
      <c r="S359" s="89"/>
      <c r="T359" s="89"/>
      <c r="U359" s="89"/>
      <c r="V359" s="89"/>
      <c r="W359" s="89"/>
      <c r="X359" s="89"/>
      <c r="Y359" s="89"/>
      <c r="Z359" s="89"/>
      <c r="AA359" s="90"/>
      <c r="AB359" s="90"/>
      <c r="AC359" s="90"/>
    </row>
    <row r="360" spans="3:29" ht="14.1" customHeight="1">
      <c r="C360" s="91"/>
      <c r="D360" s="92"/>
      <c r="E360" s="228"/>
      <c r="F360" s="93"/>
      <c r="G360" s="93"/>
      <c r="I360" s="94"/>
      <c r="J360" s="95"/>
      <c r="K360" s="96"/>
      <c r="L360" s="96"/>
      <c r="M360" s="96"/>
      <c r="N360" s="96"/>
      <c r="O360" s="96"/>
      <c r="P360" s="96"/>
      <c r="Q360" s="97"/>
      <c r="R360" s="97"/>
      <c r="S360" s="89"/>
      <c r="T360" s="89"/>
      <c r="U360" s="89"/>
      <c r="V360" s="89"/>
      <c r="W360" s="89"/>
      <c r="X360" s="89"/>
      <c r="Y360" s="89"/>
      <c r="Z360" s="89"/>
      <c r="AA360" s="90"/>
      <c r="AB360" s="90"/>
      <c r="AC360" s="90"/>
    </row>
    <row r="361" spans="3:29" ht="14.1" customHeight="1">
      <c r="C361" s="91"/>
      <c r="D361" s="92"/>
      <c r="E361" s="228"/>
      <c r="F361" s="93"/>
      <c r="G361" s="93"/>
      <c r="I361" s="94"/>
      <c r="J361" s="95"/>
      <c r="K361" s="96"/>
      <c r="L361" s="96"/>
      <c r="M361" s="96"/>
      <c r="N361" s="96"/>
      <c r="O361" s="96"/>
      <c r="P361" s="96"/>
      <c r="Q361" s="97"/>
      <c r="R361" s="97"/>
      <c r="S361" s="89"/>
      <c r="T361" s="89"/>
      <c r="U361" s="89"/>
      <c r="V361" s="89"/>
      <c r="W361" s="89"/>
      <c r="X361" s="89"/>
      <c r="Y361" s="89"/>
      <c r="Z361" s="89"/>
      <c r="AA361" s="90"/>
      <c r="AB361" s="90"/>
      <c r="AC361" s="90"/>
    </row>
    <row r="362" spans="3:29" ht="14.1" customHeight="1">
      <c r="C362" s="91"/>
      <c r="D362" s="92"/>
      <c r="E362" s="228"/>
      <c r="F362" s="93"/>
      <c r="G362" s="93"/>
      <c r="I362" s="94"/>
      <c r="J362" s="95"/>
      <c r="K362" s="96"/>
      <c r="L362" s="96"/>
      <c r="M362" s="96"/>
      <c r="N362" s="96"/>
      <c r="O362" s="96"/>
      <c r="P362" s="96"/>
      <c r="Q362" s="97"/>
      <c r="R362" s="97"/>
      <c r="S362" s="89"/>
      <c r="T362" s="89"/>
      <c r="U362" s="89"/>
      <c r="V362" s="89"/>
      <c r="W362" s="89"/>
      <c r="X362" s="89"/>
      <c r="Y362" s="89"/>
      <c r="Z362" s="89"/>
      <c r="AA362" s="90"/>
      <c r="AB362" s="90"/>
      <c r="AC362" s="90"/>
    </row>
    <row r="363" spans="3:29" ht="14.1" customHeight="1">
      <c r="C363" s="91"/>
      <c r="D363" s="92"/>
      <c r="E363" s="228"/>
      <c r="F363" s="93"/>
      <c r="G363" s="93"/>
      <c r="I363" s="94"/>
      <c r="J363" s="95"/>
      <c r="K363" s="96"/>
      <c r="L363" s="96"/>
      <c r="M363" s="96"/>
      <c r="N363" s="96"/>
      <c r="O363" s="96"/>
      <c r="P363" s="96"/>
      <c r="Q363" s="97"/>
      <c r="R363" s="97"/>
      <c r="S363" s="89"/>
      <c r="T363" s="89"/>
      <c r="U363" s="89"/>
      <c r="V363" s="89"/>
      <c r="W363" s="89"/>
      <c r="X363" s="89"/>
      <c r="Y363" s="89"/>
      <c r="Z363" s="89"/>
      <c r="AA363" s="90"/>
      <c r="AB363" s="90"/>
      <c r="AC363" s="90"/>
    </row>
    <row r="364" spans="3:29" ht="14.1" customHeight="1">
      <c r="C364" s="91"/>
      <c r="D364" s="92"/>
      <c r="E364" s="228"/>
      <c r="F364" s="93"/>
      <c r="G364" s="93"/>
      <c r="I364" s="94"/>
      <c r="J364" s="95"/>
      <c r="K364" s="96"/>
      <c r="L364" s="96"/>
      <c r="M364" s="96"/>
      <c r="N364" s="96"/>
      <c r="O364" s="96"/>
      <c r="P364" s="96"/>
      <c r="Q364" s="97"/>
      <c r="R364" s="97"/>
      <c r="S364" s="89"/>
      <c r="T364" s="89"/>
      <c r="U364" s="89"/>
      <c r="V364" s="89"/>
      <c r="W364" s="89"/>
      <c r="X364" s="89"/>
      <c r="Y364" s="89"/>
      <c r="Z364" s="89"/>
      <c r="AA364" s="90"/>
      <c r="AB364" s="90"/>
      <c r="AC364" s="90"/>
    </row>
    <row r="365" spans="3:29" ht="14.1" customHeight="1">
      <c r="C365" s="91"/>
      <c r="D365" s="92"/>
      <c r="E365" s="228"/>
      <c r="F365" s="93"/>
      <c r="G365" s="93"/>
      <c r="I365" s="94"/>
      <c r="J365" s="95"/>
      <c r="K365" s="96"/>
      <c r="L365" s="96"/>
      <c r="M365" s="96"/>
      <c r="N365" s="96"/>
      <c r="O365" s="96"/>
      <c r="P365" s="96"/>
      <c r="Q365" s="97"/>
      <c r="R365" s="97"/>
      <c r="S365" s="89"/>
      <c r="T365" s="89"/>
      <c r="U365" s="89"/>
      <c r="V365" s="89"/>
      <c r="W365" s="89"/>
      <c r="X365" s="89"/>
      <c r="Y365" s="89"/>
      <c r="Z365" s="89"/>
      <c r="AA365" s="90"/>
      <c r="AB365" s="90"/>
      <c r="AC365" s="90"/>
    </row>
    <row r="366" spans="3:29" ht="14.1" customHeight="1">
      <c r="C366" s="91"/>
      <c r="D366" s="92"/>
      <c r="E366" s="228"/>
      <c r="F366" s="93"/>
      <c r="G366" s="93"/>
      <c r="I366" s="94"/>
      <c r="J366" s="95"/>
      <c r="K366" s="96"/>
      <c r="L366" s="96"/>
      <c r="M366" s="96"/>
      <c r="N366" s="96"/>
      <c r="O366" s="96"/>
      <c r="P366" s="96"/>
      <c r="Q366" s="97"/>
      <c r="R366" s="97"/>
      <c r="S366" s="89"/>
      <c r="T366" s="89"/>
      <c r="U366" s="89"/>
      <c r="V366" s="89"/>
      <c r="W366" s="89"/>
      <c r="X366" s="89"/>
      <c r="Y366" s="89"/>
      <c r="Z366" s="89"/>
      <c r="AA366" s="90"/>
      <c r="AB366" s="90"/>
      <c r="AC366" s="90"/>
    </row>
    <row r="367" spans="3:29" ht="14.1" customHeight="1">
      <c r="C367" s="91"/>
      <c r="D367" s="92"/>
      <c r="E367" s="228"/>
      <c r="F367" s="93"/>
      <c r="G367" s="93"/>
      <c r="I367" s="94"/>
      <c r="J367" s="95"/>
      <c r="K367" s="96"/>
      <c r="L367" s="96"/>
      <c r="M367" s="96"/>
      <c r="N367" s="96"/>
      <c r="O367" s="96"/>
      <c r="P367" s="96"/>
      <c r="Q367" s="97"/>
      <c r="R367" s="97"/>
      <c r="S367" s="89"/>
      <c r="T367" s="89"/>
      <c r="U367" s="89"/>
      <c r="V367" s="89"/>
      <c r="W367" s="89"/>
      <c r="X367" s="89"/>
      <c r="Y367" s="89"/>
      <c r="Z367" s="89"/>
      <c r="AA367" s="90"/>
      <c r="AB367" s="90"/>
      <c r="AC367" s="90"/>
    </row>
    <row r="368" spans="3:29" ht="14.1" customHeight="1">
      <c r="C368" s="91"/>
      <c r="D368" s="92"/>
      <c r="E368" s="228"/>
      <c r="F368" s="93"/>
      <c r="G368" s="93"/>
      <c r="I368" s="94"/>
      <c r="J368" s="95"/>
      <c r="K368" s="96"/>
      <c r="L368" s="96"/>
      <c r="M368" s="96"/>
      <c r="N368" s="96"/>
      <c r="O368" s="96"/>
      <c r="P368" s="96"/>
      <c r="Q368" s="97"/>
      <c r="R368" s="97"/>
      <c r="S368" s="89"/>
      <c r="T368" s="89"/>
      <c r="U368" s="89"/>
      <c r="V368" s="89"/>
      <c r="W368" s="89"/>
      <c r="X368" s="89"/>
      <c r="Y368" s="89"/>
      <c r="Z368" s="89"/>
      <c r="AA368" s="90"/>
      <c r="AB368" s="90"/>
      <c r="AC368" s="90"/>
    </row>
    <row r="369" spans="3:29" ht="14.1" customHeight="1">
      <c r="C369" s="91"/>
      <c r="D369" s="92"/>
      <c r="E369" s="228"/>
      <c r="F369" s="93"/>
      <c r="G369" s="93"/>
      <c r="I369" s="94"/>
      <c r="J369" s="95"/>
      <c r="K369" s="96"/>
      <c r="L369" s="96"/>
      <c r="M369" s="96"/>
      <c r="N369" s="96"/>
      <c r="O369" s="96"/>
      <c r="P369" s="96"/>
      <c r="Q369" s="97"/>
      <c r="R369" s="97"/>
      <c r="S369" s="89"/>
      <c r="T369" s="89"/>
      <c r="U369" s="89"/>
      <c r="V369" s="89"/>
      <c r="W369" s="89"/>
      <c r="X369" s="89"/>
      <c r="Y369" s="89"/>
      <c r="Z369" s="89"/>
      <c r="AA369" s="90"/>
      <c r="AB369" s="90"/>
      <c r="AC369" s="90"/>
    </row>
    <row r="370" spans="3:29" ht="14.1" customHeight="1">
      <c r="C370" s="91"/>
      <c r="D370" s="92"/>
      <c r="E370" s="228"/>
      <c r="F370" s="93"/>
      <c r="G370" s="93"/>
      <c r="I370" s="94"/>
      <c r="J370" s="95"/>
      <c r="K370" s="96"/>
      <c r="L370" s="96"/>
      <c r="M370" s="96"/>
      <c r="N370" s="96"/>
      <c r="O370" s="96"/>
      <c r="P370" s="96"/>
      <c r="Q370" s="97"/>
      <c r="R370" s="97"/>
      <c r="S370" s="89"/>
      <c r="T370" s="89"/>
      <c r="U370" s="89"/>
      <c r="V370" s="89"/>
      <c r="W370" s="89"/>
      <c r="X370" s="89"/>
      <c r="Y370" s="89"/>
      <c r="Z370" s="89"/>
      <c r="AA370" s="90"/>
      <c r="AB370" s="90"/>
      <c r="AC370" s="90"/>
    </row>
    <row r="371" spans="3:29" ht="14.1" customHeight="1">
      <c r="C371" s="91"/>
      <c r="D371" s="92"/>
      <c r="E371" s="228"/>
      <c r="F371" s="93"/>
      <c r="G371" s="93"/>
      <c r="I371" s="94"/>
      <c r="J371" s="95"/>
      <c r="K371" s="96"/>
      <c r="L371" s="96"/>
      <c r="M371" s="96"/>
      <c r="N371" s="96"/>
      <c r="O371" s="96"/>
      <c r="P371" s="96"/>
      <c r="Q371" s="97"/>
      <c r="R371" s="97"/>
      <c r="S371" s="89"/>
      <c r="T371" s="89"/>
      <c r="U371" s="89"/>
      <c r="V371" s="89"/>
      <c r="W371" s="89"/>
      <c r="X371" s="89"/>
      <c r="Y371" s="89"/>
      <c r="Z371" s="89"/>
      <c r="AA371" s="90"/>
      <c r="AB371" s="90"/>
      <c r="AC371" s="90"/>
    </row>
    <row r="372" spans="3:29" ht="14.1" customHeight="1">
      <c r="C372" s="91"/>
      <c r="D372" s="92"/>
      <c r="E372" s="228"/>
      <c r="F372" s="93"/>
      <c r="G372" s="93"/>
      <c r="I372" s="94"/>
      <c r="J372" s="95"/>
      <c r="K372" s="96"/>
      <c r="L372" s="96"/>
      <c r="M372" s="96"/>
      <c r="N372" s="96"/>
      <c r="O372" s="96"/>
      <c r="P372" s="96"/>
      <c r="Q372" s="97"/>
      <c r="R372" s="97"/>
      <c r="S372" s="89"/>
      <c r="T372" s="89"/>
      <c r="U372" s="89"/>
      <c r="V372" s="89"/>
      <c r="W372" s="89"/>
      <c r="X372" s="89"/>
      <c r="Y372" s="89"/>
      <c r="Z372" s="89"/>
      <c r="AA372" s="90"/>
      <c r="AB372" s="90"/>
      <c r="AC372" s="90"/>
    </row>
    <row r="373" spans="3:29" ht="14.1" customHeight="1">
      <c r="C373" s="91"/>
      <c r="D373" s="92"/>
      <c r="E373" s="228"/>
      <c r="F373" s="93"/>
      <c r="G373" s="93"/>
      <c r="I373" s="94"/>
      <c r="J373" s="95"/>
      <c r="K373" s="96"/>
      <c r="L373" s="96"/>
      <c r="M373" s="96"/>
      <c r="N373" s="96"/>
      <c r="O373" s="96"/>
      <c r="P373" s="96"/>
      <c r="Q373" s="97"/>
      <c r="R373" s="97"/>
      <c r="S373" s="89"/>
      <c r="T373" s="89"/>
      <c r="U373" s="89"/>
      <c r="V373" s="89"/>
      <c r="W373" s="89"/>
      <c r="X373" s="89"/>
      <c r="Y373" s="89"/>
      <c r="Z373" s="89"/>
      <c r="AA373" s="90"/>
      <c r="AB373" s="90"/>
      <c r="AC373" s="90"/>
    </row>
    <row r="374" spans="3:29" ht="14.1" customHeight="1">
      <c r="C374" s="91"/>
      <c r="D374" s="92"/>
      <c r="E374" s="228"/>
      <c r="F374" s="93"/>
      <c r="G374" s="93"/>
      <c r="I374" s="94"/>
      <c r="J374" s="95"/>
      <c r="K374" s="96"/>
      <c r="L374" s="96"/>
      <c r="M374" s="96"/>
      <c r="N374" s="96"/>
      <c r="O374" s="96"/>
      <c r="P374" s="96"/>
      <c r="Q374" s="97"/>
      <c r="R374" s="97"/>
      <c r="S374" s="89"/>
      <c r="T374" s="89"/>
      <c r="U374" s="89"/>
      <c r="V374" s="89"/>
      <c r="W374" s="89"/>
      <c r="X374" s="89"/>
      <c r="Y374" s="89"/>
      <c r="Z374" s="89"/>
      <c r="AA374" s="90"/>
      <c r="AB374" s="90"/>
      <c r="AC374" s="90"/>
    </row>
    <row r="375" spans="3:29" ht="14.1" customHeight="1">
      <c r="C375" s="91"/>
      <c r="D375" s="92"/>
      <c r="E375" s="228"/>
      <c r="F375" s="93"/>
      <c r="G375" s="93"/>
      <c r="I375" s="94"/>
      <c r="J375" s="95"/>
      <c r="K375" s="96"/>
      <c r="L375" s="96"/>
      <c r="M375" s="96"/>
      <c r="N375" s="96"/>
      <c r="O375" s="96"/>
      <c r="P375" s="96"/>
      <c r="Q375" s="97"/>
      <c r="R375" s="97"/>
      <c r="S375" s="89"/>
      <c r="T375" s="89"/>
      <c r="U375" s="89"/>
      <c r="V375" s="89"/>
      <c r="W375" s="89"/>
      <c r="X375" s="89"/>
      <c r="Y375" s="89"/>
      <c r="Z375" s="89"/>
      <c r="AA375" s="90"/>
      <c r="AB375" s="90"/>
      <c r="AC375" s="90"/>
    </row>
    <row r="376" spans="3:29" ht="14.1" customHeight="1">
      <c r="C376" s="91"/>
      <c r="D376" s="92"/>
      <c r="E376" s="228"/>
      <c r="F376" s="93"/>
      <c r="G376" s="93"/>
      <c r="I376" s="94"/>
      <c r="J376" s="95"/>
      <c r="K376" s="96"/>
      <c r="L376" s="96"/>
      <c r="M376" s="96"/>
      <c r="N376" s="96"/>
      <c r="O376" s="96"/>
      <c r="P376" s="96"/>
      <c r="Q376" s="97"/>
      <c r="R376" s="97"/>
      <c r="S376" s="89"/>
      <c r="T376" s="89"/>
      <c r="U376" s="89"/>
      <c r="V376" s="89"/>
      <c r="W376" s="89"/>
      <c r="X376" s="89"/>
      <c r="Y376" s="89"/>
      <c r="Z376" s="89"/>
      <c r="AA376" s="90"/>
      <c r="AB376" s="90"/>
      <c r="AC376" s="90"/>
    </row>
    <row r="377" spans="3:29" ht="14.1" customHeight="1">
      <c r="C377" s="91"/>
      <c r="D377" s="92"/>
      <c r="E377" s="228"/>
      <c r="F377" s="93"/>
      <c r="G377" s="93"/>
      <c r="I377" s="94"/>
      <c r="J377" s="95"/>
      <c r="K377" s="96"/>
      <c r="L377" s="96"/>
      <c r="M377" s="96"/>
      <c r="N377" s="96"/>
      <c r="O377" s="96"/>
      <c r="P377" s="96"/>
      <c r="Q377" s="97"/>
      <c r="R377" s="97"/>
      <c r="S377" s="89"/>
      <c r="T377" s="89"/>
      <c r="U377" s="89"/>
      <c r="V377" s="89"/>
      <c r="W377" s="89"/>
      <c r="X377" s="89"/>
      <c r="Y377" s="89"/>
      <c r="Z377" s="89"/>
      <c r="AA377" s="90"/>
      <c r="AB377" s="90"/>
      <c r="AC377" s="90"/>
    </row>
    <row r="378" spans="3:29" ht="14.1" customHeight="1">
      <c r="C378" s="91"/>
      <c r="D378" s="92"/>
      <c r="E378" s="228"/>
      <c r="F378" s="93"/>
      <c r="G378" s="93"/>
      <c r="I378" s="94"/>
      <c r="J378" s="95"/>
      <c r="K378" s="96"/>
      <c r="L378" s="96"/>
      <c r="M378" s="96"/>
      <c r="N378" s="96"/>
      <c r="O378" s="96"/>
      <c r="P378" s="96"/>
      <c r="Q378" s="97"/>
      <c r="R378" s="97"/>
      <c r="S378" s="89"/>
      <c r="T378" s="89"/>
      <c r="U378" s="89"/>
      <c r="V378" s="89"/>
      <c r="W378" s="89"/>
      <c r="X378" s="89"/>
      <c r="Y378" s="89"/>
      <c r="Z378" s="89"/>
      <c r="AA378" s="90"/>
      <c r="AB378" s="90"/>
      <c r="AC378" s="90"/>
    </row>
    <row r="379" spans="3:29" ht="14.1" customHeight="1">
      <c r="C379" s="91"/>
      <c r="D379" s="92"/>
      <c r="E379" s="228"/>
      <c r="F379" s="93"/>
      <c r="G379" s="93"/>
      <c r="I379" s="94"/>
      <c r="J379" s="95"/>
      <c r="K379" s="96"/>
      <c r="L379" s="96"/>
      <c r="M379" s="96"/>
      <c r="N379" s="96"/>
      <c r="O379" s="96"/>
      <c r="P379" s="96"/>
      <c r="Q379" s="97"/>
      <c r="R379" s="97"/>
      <c r="S379" s="89"/>
      <c r="T379" s="89"/>
      <c r="U379" s="89"/>
      <c r="V379" s="89"/>
      <c r="W379" s="89"/>
      <c r="X379" s="89"/>
      <c r="Y379" s="89"/>
      <c r="Z379" s="89"/>
      <c r="AA379" s="90"/>
      <c r="AB379" s="90"/>
      <c r="AC379" s="90"/>
    </row>
    <row r="380" spans="3:29" ht="14.1" customHeight="1">
      <c r="C380" s="91"/>
      <c r="D380" s="92"/>
      <c r="E380" s="228"/>
      <c r="F380" s="93"/>
      <c r="G380" s="93"/>
      <c r="I380" s="94"/>
      <c r="J380" s="95"/>
      <c r="K380" s="96"/>
      <c r="L380" s="96"/>
      <c r="M380" s="96"/>
      <c r="N380" s="96"/>
      <c r="O380" s="96"/>
      <c r="P380" s="96"/>
      <c r="Q380" s="97"/>
      <c r="R380" s="97"/>
      <c r="S380" s="89"/>
      <c r="T380" s="89"/>
      <c r="U380" s="89"/>
      <c r="V380" s="89"/>
      <c r="W380" s="89"/>
      <c r="X380" s="89"/>
      <c r="Y380" s="89"/>
      <c r="Z380" s="89"/>
      <c r="AA380" s="90"/>
      <c r="AB380" s="90"/>
      <c r="AC380" s="90"/>
    </row>
    <row r="381" spans="3:29" ht="14.1" customHeight="1">
      <c r="C381" s="91"/>
      <c r="D381" s="92"/>
      <c r="E381" s="228"/>
      <c r="F381" s="93"/>
      <c r="G381" s="93"/>
      <c r="I381" s="94"/>
      <c r="J381" s="95"/>
      <c r="K381" s="96"/>
      <c r="L381" s="96"/>
      <c r="M381" s="96"/>
      <c r="N381" s="96"/>
      <c r="O381" s="96"/>
      <c r="P381" s="96"/>
      <c r="Q381" s="97"/>
      <c r="R381" s="97"/>
      <c r="S381" s="89"/>
      <c r="T381" s="89"/>
      <c r="U381" s="89"/>
      <c r="V381" s="89"/>
      <c r="W381" s="89"/>
      <c r="X381" s="89"/>
      <c r="Y381" s="89"/>
      <c r="Z381" s="89"/>
      <c r="AA381" s="90"/>
      <c r="AB381" s="90"/>
      <c r="AC381" s="90"/>
    </row>
    <row r="382" spans="3:29" ht="14.1" customHeight="1">
      <c r="C382" s="91"/>
      <c r="D382" s="92"/>
      <c r="E382" s="228"/>
      <c r="F382" s="93"/>
      <c r="G382" s="93"/>
      <c r="I382" s="94"/>
      <c r="J382" s="95"/>
      <c r="K382" s="96"/>
      <c r="L382" s="96"/>
      <c r="M382" s="96"/>
      <c r="N382" s="96"/>
      <c r="O382" s="96"/>
      <c r="P382" s="96"/>
      <c r="Q382" s="97"/>
      <c r="R382" s="97"/>
      <c r="S382" s="89"/>
      <c r="T382" s="89"/>
      <c r="U382" s="89"/>
      <c r="V382" s="89"/>
      <c r="W382" s="89"/>
      <c r="X382" s="89"/>
      <c r="Y382" s="89"/>
      <c r="Z382" s="89"/>
      <c r="AA382" s="90"/>
      <c r="AB382" s="90"/>
      <c r="AC382" s="90"/>
    </row>
    <row r="383" spans="3:29" ht="14.1" customHeight="1">
      <c r="C383" s="91"/>
      <c r="D383" s="92"/>
      <c r="E383" s="228"/>
      <c r="F383" s="93"/>
      <c r="G383" s="93"/>
      <c r="I383" s="94"/>
      <c r="J383" s="95"/>
      <c r="K383" s="96"/>
      <c r="L383" s="96"/>
      <c r="M383" s="96"/>
      <c r="N383" s="96"/>
      <c r="O383" s="96"/>
      <c r="P383" s="96"/>
      <c r="Q383" s="97"/>
      <c r="R383" s="97"/>
      <c r="S383" s="89"/>
      <c r="T383" s="89"/>
      <c r="U383" s="89"/>
      <c r="V383" s="89"/>
      <c r="W383" s="89"/>
      <c r="X383" s="89"/>
      <c r="Y383" s="89"/>
      <c r="Z383" s="89"/>
      <c r="AA383" s="90"/>
      <c r="AB383" s="90"/>
      <c r="AC383" s="90"/>
    </row>
    <row r="384" spans="3:29" ht="14.1" customHeight="1">
      <c r="C384" s="91"/>
      <c r="D384" s="92"/>
      <c r="E384" s="228"/>
      <c r="F384" s="93"/>
      <c r="G384" s="93"/>
      <c r="I384" s="94"/>
      <c r="J384" s="95"/>
      <c r="K384" s="96"/>
      <c r="L384" s="96"/>
      <c r="M384" s="96"/>
      <c r="N384" s="96"/>
      <c r="O384" s="96"/>
      <c r="P384" s="96"/>
      <c r="Q384" s="97"/>
      <c r="R384" s="97"/>
      <c r="S384" s="89"/>
      <c r="T384" s="89"/>
      <c r="U384" s="89"/>
      <c r="V384" s="89"/>
      <c r="W384" s="89"/>
      <c r="X384" s="89"/>
      <c r="Y384" s="89"/>
      <c r="Z384" s="89"/>
      <c r="AA384" s="90"/>
      <c r="AB384" s="90"/>
      <c r="AC384" s="90"/>
    </row>
    <row r="385" spans="3:29" ht="14.1" customHeight="1">
      <c r="C385" s="91"/>
      <c r="D385" s="92"/>
      <c r="E385" s="228"/>
      <c r="F385" s="93"/>
      <c r="G385" s="93"/>
      <c r="I385" s="94"/>
      <c r="J385" s="95"/>
      <c r="K385" s="96"/>
      <c r="L385" s="96"/>
      <c r="M385" s="96"/>
      <c r="N385" s="96"/>
      <c r="O385" s="96"/>
      <c r="P385" s="96"/>
      <c r="Q385" s="97"/>
      <c r="R385" s="97"/>
      <c r="S385" s="89"/>
      <c r="T385" s="89"/>
      <c r="U385" s="89"/>
      <c r="V385" s="89"/>
      <c r="W385" s="89"/>
      <c r="X385" s="89"/>
      <c r="Y385" s="89"/>
      <c r="Z385" s="89"/>
      <c r="AA385" s="90"/>
      <c r="AB385" s="90"/>
      <c r="AC385" s="90"/>
    </row>
    <row r="386" spans="3:29" ht="14.1" customHeight="1">
      <c r="C386" s="91"/>
      <c r="D386" s="92"/>
      <c r="E386" s="228"/>
      <c r="F386" s="93"/>
      <c r="G386" s="93"/>
      <c r="I386" s="94"/>
      <c r="J386" s="95"/>
      <c r="K386" s="96"/>
      <c r="L386" s="96"/>
      <c r="M386" s="96"/>
      <c r="N386" s="96"/>
      <c r="O386" s="96"/>
      <c r="P386" s="96"/>
      <c r="Q386" s="97"/>
      <c r="R386" s="97"/>
      <c r="S386" s="89"/>
      <c r="T386" s="89"/>
      <c r="U386" s="89"/>
      <c r="V386" s="89"/>
      <c r="W386" s="89"/>
      <c r="X386" s="89"/>
      <c r="Y386" s="89"/>
      <c r="Z386" s="89"/>
      <c r="AA386" s="90"/>
      <c r="AB386" s="90"/>
      <c r="AC386" s="90"/>
    </row>
    <row r="387" spans="3:29" ht="14.1" customHeight="1">
      <c r="C387" s="91"/>
      <c r="D387" s="92"/>
      <c r="E387" s="228"/>
      <c r="F387" s="93"/>
      <c r="G387" s="93"/>
      <c r="I387" s="94"/>
      <c r="J387" s="95"/>
      <c r="K387" s="96"/>
      <c r="L387" s="96"/>
      <c r="M387" s="96"/>
      <c r="N387" s="96"/>
      <c r="O387" s="96"/>
      <c r="P387" s="96"/>
      <c r="Q387" s="97"/>
      <c r="R387" s="97"/>
      <c r="S387" s="89"/>
      <c r="T387" s="89"/>
      <c r="U387" s="89"/>
      <c r="V387" s="89"/>
      <c r="W387" s="89"/>
      <c r="X387" s="89"/>
      <c r="Y387" s="89"/>
      <c r="Z387" s="89"/>
      <c r="AA387" s="90"/>
      <c r="AB387" s="90"/>
      <c r="AC387" s="90"/>
    </row>
    <row r="388" spans="3:29" ht="14.1" customHeight="1">
      <c r="C388" s="91"/>
      <c r="D388" s="92"/>
      <c r="E388" s="228"/>
      <c r="F388" s="93"/>
      <c r="G388" s="93"/>
      <c r="I388" s="94"/>
      <c r="J388" s="95"/>
      <c r="K388" s="96"/>
      <c r="L388" s="96"/>
      <c r="M388" s="96"/>
      <c r="N388" s="96"/>
      <c r="O388" s="96"/>
      <c r="P388" s="96"/>
      <c r="Q388" s="97"/>
      <c r="R388" s="97"/>
      <c r="S388" s="89"/>
      <c r="T388" s="89"/>
      <c r="U388" s="89"/>
      <c r="V388" s="89"/>
      <c r="W388" s="89"/>
      <c r="X388" s="89"/>
      <c r="Y388" s="89"/>
      <c r="Z388" s="89"/>
      <c r="AA388" s="90"/>
      <c r="AB388" s="90"/>
      <c r="AC388" s="90"/>
    </row>
    <row r="389" spans="3:29" ht="14.1" customHeight="1">
      <c r="C389" s="91"/>
      <c r="D389" s="92"/>
      <c r="E389" s="228"/>
      <c r="F389" s="93"/>
      <c r="G389" s="93"/>
      <c r="I389" s="94"/>
      <c r="J389" s="95"/>
      <c r="K389" s="96"/>
      <c r="L389" s="96"/>
      <c r="M389" s="96"/>
      <c r="N389" s="96"/>
      <c r="O389" s="96"/>
      <c r="P389" s="96"/>
      <c r="Q389" s="97"/>
      <c r="R389" s="97"/>
      <c r="S389" s="89"/>
      <c r="T389" s="89"/>
      <c r="U389" s="89"/>
      <c r="V389" s="89"/>
      <c r="W389" s="89"/>
      <c r="X389" s="89"/>
      <c r="Y389" s="89"/>
      <c r="Z389" s="89"/>
      <c r="AA389" s="90"/>
      <c r="AB389" s="90"/>
      <c r="AC389" s="90"/>
    </row>
    <row r="390" spans="3:29" ht="14.1" customHeight="1">
      <c r="C390" s="91"/>
      <c r="D390" s="92"/>
      <c r="E390" s="228"/>
      <c r="F390" s="93"/>
      <c r="G390" s="93"/>
      <c r="I390" s="94"/>
      <c r="J390" s="95"/>
      <c r="K390" s="96"/>
      <c r="L390" s="96"/>
      <c r="M390" s="96"/>
      <c r="N390" s="96"/>
      <c r="O390" s="96"/>
      <c r="P390" s="96"/>
      <c r="Q390" s="97"/>
      <c r="R390" s="97"/>
      <c r="S390" s="89"/>
      <c r="T390" s="89"/>
      <c r="U390" s="89"/>
      <c r="V390" s="89"/>
      <c r="W390" s="89"/>
      <c r="X390" s="89"/>
      <c r="Y390" s="89"/>
      <c r="Z390" s="89"/>
      <c r="AA390" s="90"/>
      <c r="AB390" s="90"/>
      <c r="AC390" s="90"/>
    </row>
    <row r="391" spans="3:29" ht="14.1" customHeight="1">
      <c r="C391" s="91"/>
      <c r="D391" s="92"/>
      <c r="E391" s="228"/>
      <c r="F391" s="93"/>
      <c r="G391" s="93"/>
      <c r="I391" s="94"/>
      <c r="J391" s="95"/>
      <c r="K391" s="96"/>
      <c r="L391" s="96"/>
      <c r="M391" s="96"/>
      <c r="N391" s="96"/>
      <c r="O391" s="96"/>
      <c r="P391" s="96"/>
      <c r="Q391" s="97"/>
      <c r="R391" s="97"/>
      <c r="S391" s="89"/>
      <c r="T391" s="89"/>
      <c r="U391" s="89"/>
      <c r="V391" s="89"/>
      <c r="W391" s="89"/>
      <c r="X391" s="89"/>
      <c r="Y391" s="89"/>
      <c r="Z391" s="89"/>
      <c r="AA391" s="90"/>
      <c r="AB391" s="90"/>
      <c r="AC391" s="90"/>
    </row>
    <row r="392" spans="3:29" ht="14.1" customHeight="1">
      <c r="C392" s="91"/>
      <c r="D392" s="92"/>
      <c r="E392" s="228"/>
      <c r="F392" s="93"/>
      <c r="G392" s="93"/>
      <c r="I392" s="94"/>
      <c r="J392" s="95"/>
      <c r="K392" s="96"/>
      <c r="L392" s="96"/>
      <c r="M392" s="96"/>
      <c r="N392" s="96"/>
      <c r="O392" s="96"/>
      <c r="P392" s="96"/>
      <c r="Q392" s="97"/>
      <c r="R392" s="97"/>
      <c r="S392" s="89"/>
      <c r="T392" s="89"/>
      <c r="U392" s="89"/>
      <c r="V392" s="89"/>
      <c r="W392" s="89"/>
      <c r="X392" s="89"/>
      <c r="Y392" s="89"/>
      <c r="Z392" s="89"/>
      <c r="AA392" s="90"/>
      <c r="AB392" s="90"/>
      <c r="AC392" s="90"/>
    </row>
    <row r="393" spans="3:29" ht="14.1" customHeight="1">
      <c r="C393" s="91"/>
      <c r="D393" s="92"/>
      <c r="E393" s="228"/>
      <c r="F393" s="93"/>
      <c r="G393" s="93"/>
      <c r="I393" s="94"/>
      <c r="J393" s="95"/>
      <c r="K393" s="96"/>
      <c r="L393" s="96"/>
      <c r="M393" s="96"/>
      <c r="N393" s="96"/>
      <c r="O393" s="96"/>
      <c r="P393" s="96"/>
      <c r="Q393" s="97"/>
      <c r="R393" s="97"/>
      <c r="S393" s="89"/>
      <c r="T393" s="89"/>
      <c r="U393" s="89"/>
      <c r="V393" s="89"/>
      <c r="W393" s="89"/>
      <c r="X393" s="89"/>
      <c r="Y393" s="89"/>
      <c r="Z393" s="89"/>
      <c r="AA393" s="90"/>
      <c r="AB393" s="90"/>
      <c r="AC393" s="90"/>
    </row>
    <row r="394" spans="3:29" ht="14.1" customHeight="1">
      <c r="C394" s="91"/>
      <c r="D394" s="92"/>
      <c r="E394" s="228"/>
      <c r="F394" s="93"/>
      <c r="G394" s="93"/>
      <c r="I394" s="94"/>
      <c r="J394" s="95"/>
      <c r="K394" s="96"/>
      <c r="L394" s="96"/>
      <c r="M394" s="96"/>
      <c r="N394" s="96"/>
      <c r="O394" s="96"/>
      <c r="P394" s="96"/>
      <c r="Q394" s="97"/>
      <c r="R394" s="97"/>
      <c r="S394" s="89"/>
      <c r="T394" s="89"/>
      <c r="U394" s="89"/>
      <c r="V394" s="89"/>
      <c r="W394" s="89"/>
      <c r="X394" s="89"/>
      <c r="Y394" s="89"/>
      <c r="Z394" s="89"/>
      <c r="AA394" s="90"/>
      <c r="AB394" s="90"/>
      <c r="AC394" s="90"/>
    </row>
    <row r="395" spans="3:29" ht="14.1" customHeight="1">
      <c r="C395" s="91"/>
      <c r="D395" s="92"/>
      <c r="E395" s="228"/>
      <c r="F395" s="93"/>
      <c r="G395" s="93"/>
      <c r="I395" s="94"/>
      <c r="J395" s="95"/>
      <c r="K395" s="96"/>
      <c r="L395" s="96"/>
      <c r="M395" s="96"/>
      <c r="N395" s="96"/>
      <c r="O395" s="96"/>
      <c r="P395" s="96"/>
      <c r="Q395" s="97"/>
      <c r="R395" s="97"/>
      <c r="S395" s="89"/>
      <c r="T395" s="89"/>
      <c r="U395" s="89"/>
      <c r="V395" s="89"/>
      <c r="W395" s="89"/>
      <c r="X395" s="89"/>
      <c r="Y395" s="89"/>
      <c r="Z395" s="89"/>
      <c r="AA395" s="90"/>
      <c r="AB395" s="90"/>
      <c r="AC395" s="90"/>
    </row>
    <row r="396" spans="3:29" ht="14.1" customHeight="1">
      <c r="C396" s="91"/>
      <c r="D396" s="92"/>
      <c r="E396" s="228"/>
      <c r="F396" s="93"/>
      <c r="G396" s="93"/>
      <c r="I396" s="94"/>
      <c r="J396" s="95"/>
      <c r="K396" s="96"/>
      <c r="L396" s="96"/>
      <c r="M396" s="96"/>
      <c r="N396" s="96"/>
      <c r="O396" s="96"/>
      <c r="P396" s="96"/>
      <c r="Q396" s="97"/>
      <c r="R396" s="97"/>
      <c r="S396" s="89"/>
      <c r="T396" s="89"/>
      <c r="U396" s="89"/>
      <c r="V396" s="89"/>
      <c r="W396" s="89"/>
      <c r="X396" s="89"/>
      <c r="Y396" s="89"/>
      <c r="Z396" s="89"/>
      <c r="AA396" s="90"/>
      <c r="AB396" s="90"/>
      <c r="AC396" s="90"/>
    </row>
    <row r="397" spans="3:29" ht="14.1" customHeight="1">
      <c r="C397" s="91"/>
      <c r="D397" s="92"/>
      <c r="E397" s="228"/>
      <c r="F397" s="93"/>
      <c r="G397" s="93"/>
      <c r="I397" s="94"/>
      <c r="J397" s="95"/>
      <c r="K397" s="96"/>
      <c r="L397" s="96"/>
      <c r="M397" s="96"/>
      <c r="N397" s="96"/>
      <c r="O397" s="96"/>
      <c r="P397" s="96"/>
      <c r="Q397" s="97"/>
      <c r="R397" s="97"/>
      <c r="S397" s="89"/>
      <c r="T397" s="89"/>
      <c r="U397" s="89"/>
      <c r="V397" s="89"/>
      <c r="W397" s="89"/>
      <c r="X397" s="89"/>
      <c r="Y397" s="89"/>
      <c r="Z397" s="89"/>
      <c r="AA397" s="90"/>
      <c r="AB397" s="90"/>
      <c r="AC397" s="90"/>
    </row>
    <row r="398" spans="3:29" ht="14.1" customHeight="1">
      <c r="C398" s="91"/>
      <c r="D398" s="92"/>
      <c r="E398" s="228"/>
      <c r="F398" s="93"/>
      <c r="G398" s="93"/>
      <c r="I398" s="94"/>
      <c r="J398" s="95"/>
      <c r="K398" s="96"/>
      <c r="L398" s="96"/>
      <c r="M398" s="96"/>
      <c r="N398" s="96"/>
      <c r="O398" s="96"/>
      <c r="P398" s="96"/>
      <c r="Q398" s="97"/>
      <c r="R398" s="97"/>
      <c r="S398" s="89"/>
      <c r="T398" s="89"/>
      <c r="U398" s="89"/>
      <c r="V398" s="89"/>
      <c r="W398" s="89"/>
      <c r="X398" s="89"/>
      <c r="Y398" s="89"/>
      <c r="Z398" s="89"/>
      <c r="AA398" s="90"/>
      <c r="AB398" s="90"/>
      <c r="AC398" s="90"/>
    </row>
    <row r="399" spans="3:29" ht="14.1" customHeight="1">
      <c r="C399" s="91"/>
      <c r="D399" s="92"/>
      <c r="E399" s="228"/>
      <c r="F399" s="93"/>
      <c r="G399" s="93"/>
      <c r="I399" s="94"/>
      <c r="J399" s="95"/>
      <c r="K399" s="96"/>
      <c r="L399" s="96"/>
      <c r="M399" s="96"/>
      <c r="N399" s="96"/>
      <c r="O399" s="96"/>
      <c r="P399" s="96"/>
      <c r="Q399" s="97"/>
      <c r="R399" s="97"/>
      <c r="S399" s="89"/>
      <c r="T399" s="89"/>
      <c r="U399" s="89"/>
      <c r="V399" s="89"/>
      <c r="W399" s="89"/>
      <c r="X399" s="89"/>
      <c r="Y399" s="89"/>
      <c r="Z399" s="89"/>
      <c r="AA399" s="90"/>
      <c r="AB399" s="90"/>
      <c r="AC399" s="90"/>
    </row>
    <row r="400" spans="3:29" ht="14.1" customHeight="1">
      <c r="C400" s="91"/>
      <c r="D400" s="92"/>
      <c r="E400" s="228"/>
      <c r="F400" s="93"/>
      <c r="G400" s="93"/>
      <c r="I400" s="94"/>
      <c r="J400" s="95"/>
      <c r="K400" s="96"/>
      <c r="L400" s="96"/>
      <c r="M400" s="96"/>
      <c r="N400" s="96"/>
      <c r="O400" s="96"/>
      <c r="P400" s="96"/>
      <c r="Q400" s="97"/>
      <c r="R400" s="97"/>
      <c r="S400" s="89"/>
      <c r="T400" s="89"/>
      <c r="U400" s="89"/>
      <c r="V400" s="89"/>
      <c r="W400" s="89"/>
      <c r="X400" s="89"/>
      <c r="Y400" s="89"/>
      <c r="Z400" s="89"/>
      <c r="AA400" s="90"/>
      <c r="AB400" s="90"/>
      <c r="AC400" s="90"/>
    </row>
    <row r="401" spans="3:29" ht="14.1" customHeight="1">
      <c r="C401" s="91"/>
      <c r="D401" s="92"/>
      <c r="E401" s="228"/>
      <c r="F401" s="93"/>
      <c r="G401" s="93"/>
      <c r="I401" s="94"/>
      <c r="J401" s="95"/>
      <c r="K401" s="96"/>
      <c r="L401" s="96"/>
      <c r="M401" s="96"/>
      <c r="N401" s="96"/>
      <c r="O401" s="96"/>
      <c r="P401" s="96"/>
      <c r="Q401" s="97"/>
      <c r="R401" s="97"/>
      <c r="S401" s="89"/>
      <c r="T401" s="89"/>
      <c r="U401" s="89"/>
      <c r="V401" s="89"/>
      <c r="W401" s="89"/>
      <c r="X401" s="89"/>
      <c r="Y401" s="89"/>
      <c r="Z401" s="89"/>
      <c r="AA401" s="90"/>
      <c r="AB401" s="90"/>
      <c r="AC401" s="90"/>
    </row>
    <row r="402" spans="3:29" ht="14.1" customHeight="1">
      <c r="C402" s="91"/>
      <c r="D402" s="92"/>
      <c r="E402" s="228"/>
      <c r="F402" s="93"/>
      <c r="G402" s="93"/>
      <c r="I402" s="94"/>
      <c r="J402" s="95"/>
      <c r="K402" s="96"/>
      <c r="L402" s="96"/>
      <c r="M402" s="96"/>
      <c r="N402" s="96"/>
      <c r="O402" s="96"/>
      <c r="P402" s="96"/>
      <c r="Q402" s="97"/>
      <c r="R402" s="97"/>
      <c r="S402" s="89"/>
      <c r="T402" s="89"/>
      <c r="U402" s="89"/>
      <c r="V402" s="89"/>
      <c r="W402" s="89"/>
      <c r="X402" s="89"/>
      <c r="Y402" s="89"/>
      <c r="Z402" s="89"/>
      <c r="AA402" s="90"/>
      <c r="AB402" s="90"/>
      <c r="AC402" s="90"/>
    </row>
    <row r="403" spans="3:29" ht="14.1" customHeight="1">
      <c r="C403" s="91"/>
      <c r="D403" s="92"/>
      <c r="E403" s="228"/>
      <c r="F403" s="93"/>
      <c r="G403" s="93"/>
      <c r="I403" s="94"/>
      <c r="J403" s="95"/>
      <c r="K403" s="96"/>
      <c r="L403" s="96"/>
      <c r="M403" s="96"/>
      <c r="N403" s="96"/>
      <c r="O403" s="96"/>
      <c r="P403" s="96"/>
      <c r="Q403" s="97"/>
      <c r="R403" s="97"/>
      <c r="S403" s="89"/>
      <c r="T403" s="89"/>
      <c r="U403" s="89"/>
      <c r="V403" s="89"/>
      <c r="W403" s="89"/>
      <c r="X403" s="89"/>
      <c r="Y403" s="89"/>
      <c r="Z403" s="89"/>
      <c r="AA403" s="90"/>
      <c r="AB403" s="90"/>
      <c r="AC403" s="90"/>
    </row>
    <row r="404" spans="3:29" ht="14.1" customHeight="1">
      <c r="C404" s="91"/>
      <c r="D404" s="92"/>
      <c r="E404" s="228"/>
      <c r="F404" s="93"/>
      <c r="G404" s="93"/>
      <c r="I404" s="94"/>
      <c r="J404" s="95"/>
      <c r="K404" s="96"/>
      <c r="L404" s="96"/>
      <c r="M404" s="96"/>
      <c r="N404" s="96"/>
      <c r="O404" s="96"/>
      <c r="P404" s="96"/>
      <c r="Q404" s="97"/>
      <c r="R404" s="97"/>
      <c r="S404" s="89"/>
      <c r="T404" s="89"/>
      <c r="U404" s="89"/>
      <c r="V404" s="89"/>
      <c r="W404" s="89"/>
      <c r="X404" s="89"/>
      <c r="Y404" s="89"/>
      <c r="Z404" s="89"/>
      <c r="AA404" s="90"/>
      <c r="AB404" s="90"/>
      <c r="AC404" s="90"/>
    </row>
    <row r="405" spans="3:29" ht="14.1" customHeight="1">
      <c r="C405" s="91"/>
      <c r="D405" s="92"/>
      <c r="E405" s="228"/>
      <c r="F405" s="93"/>
      <c r="G405" s="93"/>
      <c r="I405" s="94"/>
      <c r="J405" s="95"/>
      <c r="K405" s="96"/>
      <c r="L405" s="96"/>
      <c r="M405" s="96"/>
      <c r="N405" s="96"/>
      <c r="O405" s="96"/>
      <c r="P405" s="96"/>
      <c r="Q405" s="97"/>
      <c r="R405" s="97"/>
      <c r="S405" s="89"/>
      <c r="T405" s="89"/>
      <c r="U405" s="89"/>
      <c r="V405" s="89"/>
      <c r="W405" s="89"/>
      <c r="X405" s="89"/>
      <c r="Y405" s="89"/>
      <c r="Z405" s="89"/>
      <c r="AA405" s="90"/>
      <c r="AB405" s="90"/>
      <c r="AC405" s="90"/>
    </row>
    <row r="406" spans="3:29" ht="14.1" customHeight="1">
      <c r="C406" s="91"/>
      <c r="D406" s="92"/>
      <c r="E406" s="228"/>
      <c r="F406" s="93"/>
      <c r="G406" s="93"/>
      <c r="I406" s="94"/>
      <c r="J406" s="95"/>
      <c r="K406" s="96"/>
      <c r="L406" s="96"/>
      <c r="M406" s="96"/>
      <c r="N406" s="96"/>
      <c r="O406" s="96"/>
      <c r="P406" s="96"/>
      <c r="Q406" s="97"/>
      <c r="R406" s="97"/>
      <c r="S406" s="89"/>
      <c r="T406" s="89"/>
      <c r="U406" s="89"/>
      <c r="V406" s="89"/>
      <c r="W406" s="89"/>
      <c r="X406" s="89"/>
      <c r="Y406" s="89"/>
      <c r="Z406" s="89"/>
      <c r="AA406" s="90"/>
      <c r="AB406" s="90"/>
      <c r="AC406" s="90"/>
    </row>
    <row r="407" spans="3:29" ht="14.1" customHeight="1">
      <c r="C407" s="91"/>
      <c r="D407" s="92"/>
      <c r="E407" s="228"/>
      <c r="F407" s="93"/>
      <c r="G407" s="93"/>
      <c r="I407" s="94"/>
      <c r="J407" s="95"/>
      <c r="K407" s="96"/>
      <c r="L407" s="96"/>
      <c r="M407" s="96"/>
      <c r="N407" s="96"/>
      <c r="O407" s="96"/>
      <c r="P407" s="96"/>
      <c r="Q407" s="97"/>
      <c r="R407" s="97"/>
      <c r="S407" s="89"/>
      <c r="T407" s="89"/>
      <c r="U407" s="89"/>
      <c r="V407" s="89"/>
      <c r="W407" s="89"/>
      <c r="X407" s="89"/>
      <c r="Y407" s="89"/>
      <c r="Z407" s="89"/>
      <c r="AA407" s="90"/>
      <c r="AB407" s="90"/>
      <c r="AC407" s="90"/>
    </row>
    <row r="408" spans="3:29" ht="14.1" customHeight="1">
      <c r="C408" s="91"/>
      <c r="D408" s="92"/>
      <c r="E408" s="228"/>
      <c r="F408" s="93"/>
      <c r="G408" s="93"/>
      <c r="I408" s="94"/>
      <c r="J408" s="95"/>
      <c r="K408" s="96"/>
      <c r="L408" s="96"/>
      <c r="M408" s="96"/>
      <c r="N408" s="96"/>
      <c r="O408" s="96"/>
      <c r="P408" s="96"/>
      <c r="Q408" s="97"/>
      <c r="R408" s="97"/>
      <c r="S408" s="89"/>
      <c r="T408" s="89"/>
      <c r="U408" s="89"/>
      <c r="V408" s="89"/>
      <c r="W408" s="89"/>
      <c r="X408" s="89"/>
      <c r="Y408" s="89"/>
      <c r="Z408" s="89"/>
      <c r="AA408" s="90"/>
      <c r="AB408" s="90"/>
      <c r="AC408" s="90"/>
    </row>
    <row r="409" spans="3:29" ht="14.1" customHeight="1">
      <c r="C409" s="91"/>
      <c r="D409" s="92"/>
      <c r="E409" s="228"/>
      <c r="F409" s="93"/>
      <c r="G409" s="93"/>
      <c r="I409" s="94"/>
      <c r="J409" s="95"/>
      <c r="K409" s="96"/>
      <c r="L409" s="96"/>
      <c r="M409" s="96"/>
      <c r="N409" s="96"/>
      <c r="O409" s="96"/>
      <c r="P409" s="96"/>
      <c r="Q409" s="97"/>
      <c r="R409" s="97"/>
      <c r="S409" s="89"/>
      <c r="T409" s="89"/>
      <c r="U409" s="89"/>
      <c r="V409" s="89"/>
      <c r="W409" s="89"/>
      <c r="X409" s="89"/>
      <c r="Y409" s="89"/>
      <c r="Z409" s="89"/>
      <c r="AA409" s="90"/>
      <c r="AB409" s="90"/>
      <c r="AC409" s="90"/>
    </row>
    <row r="410" spans="3:29" ht="14.1" customHeight="1">
      <c r="C410" s="91"/>
      <c r="D410" s="92"/>
      <c r="E410" s="228"/>
      <c r="F410" s="93"/>
      <c r="G410" s="93"/>
      <c r="I410" s="94"/>
      <c r="J410" s="95"/>
      <c r="K410" s="96"/>
      <c r="L410" s="96"/>
      <c r="M410" s="96"/>
      <c r="N410" s="96"/>
      <c r="O410" s="96"/>
      <c r="P410" s="96"/>
      <c r="Q410" s="97"/>
      <c r="R410" s="97"/>
      <c r="S410" s="89"/>
      <c r="T410" s="89"/>
      <c r="U410" s="89"/>
      <c r="V410" s="89"/>
      <c r="W410" s="89"/>
      <c r="X410" s="89"/>
      <c r="Y410" s="89"/>
      <c r="Z410" s="89"/>
      <c r="AA410" s="90"/>
      <c r="AB410" s="90"/>
      <c r="AC410" s="90"/>
    </row>
    <row r="411" spans="3:29" ht="14.1" customHeight="1">
      <c r="C411" s="91"/>
      <c r="D411" s="92"/>
      <c r="E411" s="228"/>
      <c r="F411" s="93"/>
      <c r="G411" s="93"/>
      <c r="I411" s="94"/>
      <c r="J411" s="95"/>
      <c r="K411" s="96"/>
      <c r="L411" s="96"/>
      <c r="M411" s="96"/>
      <c r="N411" s="96"/>
      <c r="O411" s="96"/>
      <c r="P411" s="96"/>
      <c r="Q411" s="97"/>
      <c r="R411" s="97"/>
      <c r="S411" s="89"/>
      <c r="T411" s="89"/>
      <c r="U411" s="89"/>
      <c r="V411" s="89"/>
      <c r="W411" s="89"/>
      <c r="X411" s="89"/>
      <c r="Y411" s="89"/>
      <c r="Z411" s="89"/>
      <c r="AA411" s="90"/>
      <c r="AB411" s="90"/>
      <c r="AC411" s="90"/>
    </row>
    <row r="412" spans="3:29" ht="14.1" customHeight="1">
      <c r="C412" s="91"/>
      <c r="D412" s="92"/>
      <c r="E412" s="228"/>
      <c r="F412" s="93"/>
      <c r="G412" s="93"/>
      <c r="I412" s="94"/>
      <c r="J412" s="95"/>
      <c r="K412" s="96"/>
      <c r="L412" s="96"/>
      <c r="M412" s="96"/>
      <c r="N412" s="96"/>
      <c r="O412" s="96"/>
      <c r="P412" s="96"/>
      <c r="Q412" s="97"/>
      <c r="R412" s="97"/>
      <c r="S412" s="89"/>
      <c r="T412" s="89"/>
      <c r="U412" s="89"/>
      <c r="V412" s="89"/>
      <c r="W412" s="89"/>
      <c r="X412" s="89"/>
      <c r="Y412" s="89"/>
      <c r="Z412" s="89"/>
      <c r="AA412" s="90"/>
      <c r="AB412" s="90"/>
      <c r="AC412" s="90"/>
    </row>
    <row r="413" spans="3:29" ht="14.1" customHeight="1">
      <c r="C413" s="91"/>
      <c r="D413" s="92"/>
      <c r="E413" s="228"/>
      <c r="F413" s="93"/>
      <c r="G413" s="93"/>
      <c r="I413" s="94"/>
      <c r="J413" s="95"/>
      <c r="K413" s="96"/>
      <c r="L413" s="96"/>
      <c r="M413" s="96"/>
      <c r="N413" s="96"/>
      <c r="O413" s="96"/>
      <c r="P413" s="96"/>
      <c r="Q413" s="97"/>
      <c r="R413" s="97"/>
      <c r="S413" s="89"/>
      <c r="T413" s="89"/>
      <c r="U413" s="89"/>
      <c r="V413" s="89"/>
      <c r="W413" s="89"/>
      <c r="X413" s="89"/>
      <c r="Y413" s="89"/>
      <c r="Z413" s="89"/>
      <c r="AA413" s="90"/>
      <c r="AB413" s="90"/>
      <c r="AC413" s="90"/>
    </row>
    <row r="414" spans="3:29" ht="14.1" customHeight="1">
      <c r="C414" s="91"/>
      <c r="D414" s="92"/>
      <c r="E414" s="228"/>
      <c r="F414" s="93"/>
      <c r="G414" s="93"/>
      <c r="I414" s="94"/>
      <c r="J414" s="95"/>
      <c r="K414" s="96"/>
      <c r="L414" s="96"/>
      <c r="M414" s="96"/>
      <c r="N414" s="96"/>
      <c r="O414" s="96"/>
      <c r="P414" s="96"/>
      <c r="Q414" s="97"/>
      <c r="R414" s="97"/>
      <c r="S414" s="89"/>
      <c r="T414" s="89"/>
      <c r="U414" s="89"/>
      <c r="V414" s="89"/>
      <c r="W414" s="89"/>
      <c r="X414" s="89"/>
      <c r="Y414" s="89"/>
      <c r="Z414" s="89"/>
      <c r="AA414" s="90"/>
      <c r="AB414" s="90"/>
      <c r="AC414" s="90"/>
    </row>
    <row r="415" spans="3:29" ht="14.1" customHeight="1">
      <c r="C415" s="91"/>
      <c r="D415" s="92"/>
      <c r="E415" s="228"/>
      <c r="F415" s="93"/>
      <c r="G415" s="93"/>
      <c r="I415" s="94"/>
      <c r="J415" s="95"/>
      <c r="K415" s="96"/>
      <c r="L415" s="96"/>
      <c r="M415" s="96"/>
      <c r="N415" s="96"/>
      <c r="O415" s="96"/>
      <c r="P415" s="96"/>
      <c r="Q415" s="97"/>
      <c r="R415" s="97"/>
      <c r="S415" s="89"/>
      <c r="T415" s="89"/>
      <c r="U415" s="89"/>
      <c r="V415" s="89"/>
      <c r="W415" s="89"/>
      <c r="X415" s="89"/>
      <c r="Y415" s="89"/>
      <c r="Z415" s="89"/>
      <c r="AA415" s="90"/>
      <c r="AB415" s="90"/>
      <c r="AC415" s="90"/>
    </row>
    <row r="416" spans="3:29" ht="14.1" customHeight="1">
      <c r="C416" s="91"/>
      <c r="D416" s="92"/>
      <c r="E416" s="228"/>
      <c r="F416" s="93"/>
      <c r="G416" s="93"/>
      <c r="I416" s="94"/>
      <c r="J416" s="95"/>
      <c r="K416" s="96"/>
      <c r="L416" s="96"/>
      <c r="M416" s="96"/>
      <c r="N416" s="96"/>
      <c r="O416" s="96"/>
      <c r="P416" s="96"/>
      <c r="Q416" s="97"/>
      <c r="R416" s="97"/>
      <c r="S416" s="89"/>
      <c r="T416" s="89"/>
      <c r="U416" s="89"/>
      <c r="V416" s="89"/>
      <c r="W416" s="89"/>
      <c r="X416" s="89"/>
      <c r="Y416" s="89"/>
      <c r="Z416" s="89"/>
      <c r="AA416" s="90"/>
      <c r="AB416" s="90"/>
      <c r="AC416" s="90"/>
    </row>
    <row r="417" spans="3:29" ht="14.1" customHeight="1">
      <c r="C417" s="91"/>
      <c r="D417" s="92"/>
      <c r="E417" s="228"/>
      <c r="F417" s="93"/>
      <c r="G417" s="93"/>
      <c r="I417" s="94"/>
      <c r="J417" s="95"/>
      <c r="K417" s="96"/>
      <c r="L417" s="96"/>
      <c r="M417" s="96"/>
      <c r="N417" s="96"/>
      <c r="O417" s="96"/>
      <c r="P417" s="96"/>
      <c r="Q417" s="97"/>
      <c r="R417" s="97"/>
      <c r="S417" s="89"/>
      <c r="T417" s="89"/>
      <c r="U417" s="89"/>
      <c r="V417" s="89"/>
      <c r="W417" s="89"/>
      <c r="X417" s="89"/>
      <c r="Y417" s="89"/>
      <c r="Z417" s="89"/>
      <c r="AA417" s="90"/>
      <c r="AB417" s="90"/>
      <c r="AC417" s="90"/>
    </row>
    <row r="418" spans="3:29" ht="14.1" customHeight="1">
      <c r="C418" s="91"/>
      <c r="D418" s="92"/>
      <c r="E418" s="228"/>
      <c r="F418" s="93"/>
      <c r="G418" s="93"/>
      <c r="I418" s="94"/>
      <c r="J418" s="95"/>
      <c r="K418" s="96"/>
      <c r="L418" s="96"/>
      <c r="M418" s="96"/>
      <c r="N418" s="96"/>
      <c r="O418" s="96"/>
      <c r="P418" s="96"/>
      <c r="Q418" s="97"/>
      <c r="R418" s="97"/>
      <c r="S418" s="89"/>
      <c r="T418" s="89"/>
      <c r="U418" s="89"/>
      <c r="V418" s="89"/>
      <c r="W418" s="89"/>
      <c r="X418" s="89"/>
      <c r="Y418" s="89"/>
      <c r="Z418" s="89"/>
      <c r="AA418" s="90"/>
      <c r="AB418" s="90"/>
      <c r="AC418" s="90"/>
    </row>
    <row r="419" spans="3:29" ht="14.1" customHeight="1">
      <c r="C419" s="91"/>
      <c r="D419" s="92"/>
      <c r="E419" s="228"/>
      <c r="F419" s="93"/>
      <c r="G419" s="93"/>
      <c r="I419" s="94"/>
      <c r="J419" s="95"/>
      <c r="K419" s="96"/>
      <c r="L419" s="96"/>
      <c r="M419" s="96"/>
      <c r="N419" s="96"/>
      <c r="O419" s="96"/>
      <c r="P419" s="96"/>
      <c r="Q419" s="97"/>
      <c r="R419" s="97"/>
      <c r="S419" s="89"/>
      <c r="T419" s="89"/>
      <c r="U419" s="89"/>
      <c r="V419" s="89"/>
      <c r="W419" s="89"/>
      <c r="X419" s="89"/>
      <c r="Y419" s="89"/>
      <c r="Z419" s="89"/>
      <c r="AA419" s="90"/>
      <c r="AB419" s="90"/>
      <c r="AC419" s="90"/>
    </row>
    <row r="420" spans="3:29" ht="14.1" customHeight="1">
      <c r="C420" s="91"/>
      <c r="D420" s="92"/>
      <c r="E420" s="228"/>
      <c r="F420" s="93"/>
      <c r="G420" s="93"/>
      <c r="I420" s="94"/>
      <c r="J420" s="95"/>
      <c r="K420" s="96"/>
      <c r="L420" s="96"/>
      <c r="M420" s="96"/>
      <c r="N420" s="96"/>
      <c r="O420" s="96"/>
      <c r="P420" s="96"/>
      <c r="Q420" s="97"/>
      <c r="R420" s="97"/>
      <c r="S420" s="89"/>
      <c r="T420" s="89"/>
      <c r="U420" s="89"/>
      <c r="V420" s="89"/>
      <c r="W420" s="89"/>
      <c r="X420" s="89"/>
      <c r="Y420" s="89"/>
      <c r="Z420" s="89"/>
      <c r="AA420" s="90"/>
      <c r="AB420" s="90"/>
      <c r="AC420" s="90"/>
    </row>
    <row r="421" spans="3:29" ht="14.1" customHeight="1">
      <c r="C421" s="91"/>
      <c r="D421" s="92"/>
      <c r="E421" s="228"/>
      <c r="F421" s="93"/>
      <c r="G421" s="93"/>
      <c r="I421" s="94"/>
      <c r="J421" s="95"/>
      <c r="K421" s="96"/>
      <c r="L421" s="96"/>
      <c r="M421" s="96"/>
      <c r="N421" s="96"/>
      <c r="O421" s="96"/>
      <c r="P421" s="96"/>
      <c r="Q421" s="97"/>
      <c r="R421" s="97"/>
      <c r="S421" s="89"/>
      <c r="T421" s="89"/>
      <c r="U421" s="89"/>
      <c r="V421" s="89"/>
      <c r="W421" s="89"/>
      <c r="X421" s="89"/>
      <c r="Y421" s="89"/>
      <c r="Z421" s="89"/>
      <c r="AA421" s="90"/>
      <c r="AB421" s="90"/>
      <c r="AC421" s="90"/>
    </row>
    <row r="422" spans="3:29" ht="14.1" customHeight="1">
      <c r="C422" s="91"/>
      <c r="D422" s="92"/>
      <c r="E422" s="228"/>
      <c r="F422" s="93"/>
      <c r="G422" s="93"/>
      <c r="I422" s="94"/>
      <c r="J422" s="95"/>
      <c r="K422" s="96"/>
      <c r="L422" s="96"/>
      <c r="M422" s="96"/>
      <c r="N422" s="96"/>
      <c r="O422" s="96"/>
      <c r="P422" s="96"/>
      <c r="Q422" s="97"/>
      <c r="R422" s="97"/>
      <c r="S422" s="89"/>
      <c r="T422" s="89"/>
      <c r="U422" s="89"/>
      <c r="V422" s="89"/>
      <c r="W422" s="89"/>
      <c r="X422" s="89"/>
      <c r="Y422" s="89"/>
      <c r="Z422" s="89"/>
      <c r="AA422" s="90"/>
      <c r="AB422" s="90"/>
      <c r="AC422" s="90"/>
    </row>
    <row r="423" spans="3:29" ht="14.1" customHeight="1">
      <c r="C423" s="91"/>
      <c r="D423" s="92"/>
      <c r="E423" s="228"/>
      <c r="F423" s="93"/>
      <c r="G423" s="93"/>
      <c r="I423" s="94"/>
      <c r="J423" s="95"/>
      <c r="K423" s="96"/>
      <c r="L423" s="96"/>
      <c r="M423" s="96"/>
      <c r="N423" s="96"/>
      <c r="O423" s="96"/>
      <c r="P423" s="96"/>
      <c r="Q423" s="97"/>
      <c r="R423" s="97"/>
      <c r="S423" s="89"/>
      <c r="T423" s="89"/>
      <c r="U423" s="89"/>
      <c r="V423" s="89"/>
      <c r="W423" s="89"/>
      <c r="X423" s="89"/>
      <c r="Y423" s="89"/>
      <c r="Z423" s="89"/>
      <c r="AA423" s="90"/>
      <c r="AB423" s="90"/>
      <c r="AC423" s="90"/>
    </row>
    <row r="424" spans="3:29" ht="14.1" customHeight="1">
      <c r="C424" s="91"/>
      <c r="D424" s="92"/>
      <c r="E424" s="228"/>
      <c r="F424" s="93"/>
      <c r="G424" s="93"/>
      <c r="I424" s="94"/>
      <c r="J424" s="95"/>
      <c r="K424" s="96"/>
      <c r="L424" s="96"/>
      <c r="M424" s="96"/>
      <c r="N424" s="96"/>
      <c r="O424" s="96"/>
      <c r="P424" s="96"/>
      <c r="Q424" s="97"/>
      <c r="R424" s="97"/>
      <c r="S424" s="89"/>
      <c r="T424" s="89"/>
      <c r="U424" s="89"/>
      <c r="V424" s="89"/>
      <c r="W424" s="89"/>
      <c r="X424" s="89"/>
      <c r="Y424" s="89"/>
      <c r="Z424" s="89"/>
      <c r="AA424" s="90"/>
      <c r="AB424" s="90"/>
      <c r="AC424" s="90"/>
    </row>
    <row r="425" spans="3:29" ht="14.1" customHeight="1">
      <c r="C425" s="91"/>
      <c r="D425" s="92"/>
      <c r="E425" s="228"/>
      <c r="F425" s="93"/>
      <c r="G425" s="93"/>
      <c r="I425" s="94"/>
      <c r="J425" s="95"/>
      <c r="K425" s="96"/>
      <c r="L425" s="96"/>
      <c r="M425" s="96"/>
      <c r="N425" s="96"/>
      <c r="O425" s="96"/>
      <c r="P425" s="96"/>
      <c r="Q425" s="97"/>
      <c r="R425" s="97"/>
      <c r="S425" s="89"/>
      <c r="T425" s="89"/>
      <c r="U425" s="89"/>
      <c r="V425" s="89"/>
      <c r="W425" s="89"/>
      <c r="X425" s="89"/>
      <c r="Y425" s="89"/>
      <c r="Z425" s="89"/>
      <c r="AA425" s="90"/>
      <c r="AB425" s="90"/>
      <c r="AC425" s="90"/>
    </row>
    <row r="426" spans="3:29" ht="14.1" customHeight="1">
      <c r="C426" s="91"/>
      <c r="D426" s="92"/>
      <c r="E426" s="228"/>
      <c r="F426" s="93"/>
      <c r="G426" s="93"/>
      <c r="I426" s="94"/>
      <c r="J426" s="95"/>
      <c r="K426" s="96"/>
      <c r="L426" s="96"/>
      <c r="M426" s="96"/>
      <c r="N426" s="96"/>
      <c r="O426" s="96"/>
      <c r="P426" s="96"/>
      <c r="Q426" s="97"/>
      <c r="R426" s="97"/>
      <c r="S426" s="89"/>
      <c r="T426" s="89"/>
      <c r="U426" s="89"/>
      <c r="V426" s="89"/>
      <c r="W426" s="89"/>
      <c r="X426" s="89"/>
      <c r="Y426" s="89"/>
      <c r="Z426" s="89"/>
      <c r="AA426" s="90"/>
      <c r="AB426" s="90"/>
      <c r="AC426" s="90"/>
    </row>
    <row r="427" spans="3:29" ht="14.1" customHeight="1">
      <c r="C427" s="91"/>
      <c r="D427" s="92"/>
      <c r="E427" s="228"/>
      <c r="F427" s="93"/>
      <c r="G427" s="93"/>
      <c r="I427" s="94"/>
      <c r="J427" s="95"/>
      <c r="K427" s="96"/>
      <c r="L427" s="96"/>
      <c r="M427" s="96"/>
      <c r="N427" s="96"/>
      <c r="O427" s="96"/>
      <c r="P427" s="96"/>
      <c r="Q427" s="97"/>
      <c r="R427" s="97"/>
      <c r="S427" s="89"/>
      <c r="T427" s="89"/>
      <c r="U427" s="89"/>
      <c r="V427" s="89"/>
      <c r="W427" s="89"/>
      <c r="X427" s="89"/>
      <c r="Y427" s="89"/>
      <c r="Z427" s="89"/>
      <c r="AA427" s="90"/>
      <c r="AB427" s="90"/>
      <c r="AC427" s="90"/>
    </row>
    <row r="428" spans="3:29" ht="14.1" customHeight="1">
      <c r="C428" s="91"/>
      <c r="D428" s="92"/>
      <c r="E428" s="228"/>
      <c r="F428" s="93"/>
      <c r="G428" s="93"/>
      <c r="I428" s="94"/>
      <c r="J428" s="95"/>
      <c r="K428" s="96"/>
      <c r="L428" s="96"/>
      <c r="M428" s="96"/>
      <c r="N428" s="96"/>
      <c r="O428" s="96"/>
      <c r="P428" s="96"/>
      <c r="Q428" s="97"/>
      <c r="R428" s="97"/>
      <c r="S428" s="89"/>
      <c r="T428" s="89"/>
      <c r="U428" s="89"/>
      <c r="V428" s="89"/>
      <c r="W428" s="89"/>
      <c r="X428" s="89"/>
      <c r="Y428" s="89"/>
      <c r="Z428" s="89"/>
      <c r="AA428" s="90"/>
      <c r="AB428" s="90"/>
      <c r="AC428" s="90"/>
    </row>
    <row r="429" spans="3:29" ht="14.1" customHeight="1">
      <c r="C429" s="91"/>
      <c r="D429" s="92"/>
      <c r="E429" s="228"/>
      <c r="F429" s="93"/>
      <c r="G429" s="93"/>
      <c r="I429" s="94"/>
      <c r="J429" s="95"/>
      <c r="K429" s="96"/>
      <c r="L429" s="96"/>
      <c r="M429" s="96"/>
      <c r="N429" s="96"/>
      <c r="O429" s="96"/>
      <c r="P429" s="96"/>
      <c r="Q429" s="97"/>
      <c r="R429" s="97"/>
      <c r="S429" s="89"/>
      <c r="T429" s="89"/>
      <c r="U429" s="89"/>
      <c r="V429" s="89"/>
      <c r="W429" s="89"/>
      <c r="X429" s="89"/>
      <c r="Y429" s="89"/>
      <c r="Z429" s="89"/>
      <c r="AA429" s="90"/>
      <c r="AB429" s="90"/>
      <c r="AC429" s="90"/>
    </row>
    <row r="430" spans="3:29" ht="14.1" customHeight="1">
      <c r="C430" s="91"/>
      <c r="D430" s="92"/>
      <c r="E430" s="228"/>
      <c r="F430" s="93"/>
      <c r="G430" s="93"/>
      <c r="I430" s="94"/>
      <c r="J430" s="95"/>
      <c r="K430" s="96"/>
      <c r="L430" s="96"/>
      <c r="M430" s="96"/>
      <c r="N430" s="96"/>
      <c r="O430" s="96"/>
      <c r="P430" s="96"/>
      <c r="Q430" s="97"/>
      <c r="R430" s="97"/>
      <c r="S430" s="89"/>
      <c r="T430" s="89"/>
      <c r="U430" s="89"/>
      <c r="V430" s="89"/>
      <c r="W430" s="89"/>
      <c r="X430" s="89"/>
      <c r="Y430" s="89"/>
      <c r="Z430" s="89"/>
      <c r="AA430" s="90"/>
      <c r="AB430" s="90"/>
      <c r="AC430" s="90"/>
    </row>
    <row r="431" spans="3:29" ht="14.1" customHeight="1">
      <c r="C431" s="91"/>
      <c r="D431" s="92"/>
      <c r="E431" s="228"/>
      <c r="F431" s="93"/>
      <c r="G431" s="93"/>
      <c r="I431" s="94"/>
      <c r="J431" s="95"/>
      <c r="K431" s="96"/>
      <c r="L431" s="96"/>
      <c r="M431" s="96"/>
      <c r="N431" s="96"/>
      <c r="O431" s="96"/>
      <c r="P431" s="96"/>
      <c r="Q431" s="97"/>
      <c r="R431" s="97"/>
      <c r="S431" s="89"/>
      <c r="T431" s="89"/>
      <c r="U431" s="89"/>
      <c r="V431" s="89"/>
      <c r="W431" s="89"/>
      <c r="X431" s="89"/>
      <c r="Y431" s="89"/>
      <c r="Z431" s="89"/>
      <c r="AA431" s="90"/>
      <c r="AB431" s="90"/>
      <c r="AC431" s="90"/>
    </row>
    <row r="432" spans="3:29" ht="14.1" customHeight="1">
      <c r="C432" s="91"/>
      <c r="D432" s="92"/>
      <c r="E432" s="228"/>
      <c r="F432" s="93"/>
      <c r="G432" s="93"/>
      <c r="I432" s="94"/>
      <c r="J432" s="95"/>
      <c r="K432" s="96"/>
      <c r="L432" s="96"/>
      <c r="M432" s="96"/>
      <c r="N432" s="96"/>
      <c r="O432" s="96"/>
      <c r="P432" s="96"/>
      <c r="Q432" s="97"/>
      <c r="R432" s="97"/>
      <c r="S432" s="89"/>
      <c r="T432" s="89"/>
      <c r="U432" s="89"/>
      <c r="V432" s="89"/>
      <c r="W432" s="89"/>
      <c r="X432" s="89"/>
      <c r="Y432" s="89"/>
      <c r="Z432" s="89"/>
      <c r="AA432" s="90"/>
      <c r="AB432" s="90"/>
      <c r="AC432" s="90"/>
    </row>
    <row r="433" spans="3:29" ht="14.1" customHeight="1">
      <c r="C433" s="91"/>
      <c r="D433" s="92"/>
      <c r="E433" s="228"/>
      <c r="F433" s="93"/>
      <c r="G433" s="93"/>
      <c r="I433" s="94"/>
      <c r="J433" s="95"/>
      <c r="K433" s="96"/>
      <c r="L433" s="96"/>
      <c r="M433" s="96"/>
      <c r="N433" s="96"/>
      <c r="O433" s="96"/>
      <c r="P433" s="96"/>
      <c r="Q433" s="97"/>
      <c r="R433" s="97"/>
      <c r="S433" s="89"/>
      <c r="T433" s="89"/>
      <c r="U433" s="89"/>
      <c r="V433" s="89"/>
      <c r="W433" s="89"/>
      <c r="X433" s="89"/>
      <c r="Y433" s="89"/>
      <c r="Z433" s="89"/>
      <c r="AA433" s="90"/>
      <c r="AB433" s="90"/>
      <c r="AC433" s="90"/>
    </row>
    <row r="434" spans="3:29" ht="14.1" customHeight="1">
      <c r="C434" s="91"/>
      <c r="D434" s="92"/>
      <c r="E434" s="228"/>
      <c r="F434" s="93"/>
      <c r="G434" s="93"/>
      <c r="I434" s="94"/>
      <c r="J434" s="95"/>
      <c r="K434" s="96"/>
      <c r="L434" s="96"/>
      <c r="M434" s="96"/>
      <c r="N434" s="96"/>
      <c r="O434" s="96"/>
      <c r="P434" s="96"/>
      <c r="Q434" s="97"/>
      <c r="R434" s="97"/>
      <c r="S434" s="89"/>
      <c r="T434" s="89"/>
      <c r="U434" s="89"/>
      <c r="V434" s="89"/>
      <c r="W434" s="89"/>
      <c r="X434" s="89"/>
      <c r="Y434" s="89"/>
      <c r="Z434" s="89"/>
      <c r="AA434" s="90"/>
      <c r="AB434" s="90"/>
      <c r="AC434" s="90"/>
    </row>
    <row r="435" spans="3:29" ht="14.1" customHeight="1">
      <c r="C435" s="91"/>
      <c r="D435" s="92"/>
      <c r="E435" s="228"/>
      <c r="F435" s="93"/>
      <c r="G435" s="93"/>
      <c r="I435" s="94"/>
      <c r="J435" s="95"/>
      <c r="K435" s="96"/>
      <c r="L435" s="96"/>
      <c r="M435" s="96"/>
      <c r="N435" s="96"/>
      <c r="O435" s="96"/>
      <c r="P435" s="96"/>
      <c r="Q435" s="97"/>
      <c r="R435" s="97"/>
      <c r="S435" s="89"/>
      <c r="T435" s="89"/>
      <c r="U435" s="89"/>
      <c r="V435" s="89"/>
      <c r="W435" s="89"/>
      <c r="X435" s="89"/>
      <c r="Y435" s="89"/>
      <c r="Z435" s="89"/>
      <c r="AA435" s="90"/>
      <c r="AB435" s="90"/>
      <c r="AC435" s="90"/>
    </row>
    <row r="436" spans="3:29" ht="14.1" customHeight="1">
      <c r="C436" s="91"/>
      <c r="D436" s="92"/>
      <c r="E436" s="228"/>
      <c r="F436" s="93"/>
      <c r="G436" s="93"/>
      <c r="I436" s="94"/>
      <c r="J436" s="95"/>
      <c r="K436" s="96"/>
      <c r="L436" s="96"/>
      <c r="M436" s="96"/>
      <c r="N436" s="96"/>
      <c r="O436" s="96"/>
      <c r="P436" s="96"/>
      <c r="Q436" s="97"/>
      <c r="R436" s="97"/>
      <c r="S436" s="89"/>
      <c r="T436" s="89"/>
      <c r="U436" s="89"/>
      <c r="V436" s="89"/>
      <c r="W436" s="89"/>
      <c r="X436" s="89"/>
      <c r="Y436" s="89"/>
      <c r="Z436" s="89"/>
      <c r="AA436" s="90"/>
      <c r="AB436" s="90"/>
      <c r="AC436" s="90"/>
    </row>
    <row r="437" spans="3:29" ht="14.1" customHeight="1">
      <c r="C437" s="91"/>
      <c r="D437" s="92"/>
      <c r="E437" s="228"/>
      <c r="F437" s="93"/>
      <c r="G437" s="93"/>
      <c r="I437" s="94"/>
      <c r="J437" s="95"/>
      <c r="K437" s="96"/>
      <c r="L437" s="96"/>
      <c r="M437" s="96"/>
      <c r="N437" s="96"/>
      <c r="O437" s="96"/>
      <c r="P437" s="96"/>
      <c r="Q437" s="97"/>
      <c r="R437" s="97"/>
      <c r="S437" s="89"/>
      <c r="T437" s="89"/>
      <c r="U437" s="89"/>
      <c r="V437" s="89"/>
      <c r="W437" s="89"/>
      <c r="X437" s="89"/>
      <c r="Y437" s="89"/>
      <c r="Z437" s="89"/>
      <c r="AA437" s="90"/>
      <c r="AB437" s="90"/>
      <c r="AC437" s="90"/>
    </row>
    <row r="438" spans="3:29" ht="14.1" customHeight="1">
      <c r="C438" s="91"/>
      <c r="D438" s="92"/>
      <c r="E438" s="228"/>
      <c r="F438" s="93"/>
      <c r="G438" s="93"/>
      <c r="I438" s="94"/>
      <c r="J438" s="95"/>
      <c r="K438" s="96"/>
      <c r="L438" s="96"/>
      <c r="M438" s="96"/>
      <c r="N438" s="96"/>
      <c r="O438" s="96"/>
      <c r="P438" s="96"/>
      <c r="Q438" s="97"/>
      <c r="R438" s="97"/>
      <c r="S438" s="89"/>
      <c r="T438" s="89"/>
      <c r="U438" s="89"/>
      <c r="V438" s="89"/>
      <c r="W438" s="89"/>
      <c r="X438" s="89"/>
      <c r="Y438" s="89"/>
      <c r="Z438" s="89"/>
      <c r="AA438" s="90"/>
      <c r="AB438" s="90"/>
      <c r="AC438" s="90"/>
    </row>
    <row r="439" spans="3:29" ht="14.1" customHeight="1">
      <c r="C439" s="91"/>
      <c r="D439" s="92"/>
      <c r="E439" s="228"/>
      <c r="F439" s="93"/>
      <c r="G439" s="93"/>
      <c r="I439" s="94"/>
      <c r="J439" s="95"/>
      <c r="K439" s="96"/>
      <c r="L439" s="96"/>
      <c r="M439" s="96"/>
      <c r="N439" s="96"/>
      <c r="O439" s="96"/>
      <c r="P439" s="96"/>
      <c r="Q439" s="97"/>
      <c r="R439" s="97"/>
      <c r="S439" s="89"/>
      <c r="T439" s="89"/>
      <c r="U439" s="89"/>
      <c r="V439" s="89"/>
      <c r="W439" s="89"/>
      <c r="X439" s="89"/>
      <c r="Y439" s="89"/>
      <c r="Z439" s="89"/>
      <c r="AA439" s="90"/>
      <c r="AB439" s="90"/>
      <c r="AC439" s="90"/>
    </row>
    <row r="440" spans="3:29" ht="14.1" customHeight="1">
      <c r="C440" s="91"/>
      <c r="D440" s="92"/>
      <c r="E440" s="228"/>
      <c r="F440" s="93"/>
      <c r="G440" s="93"/>
      <c r="I440" s="94"/>
      <c r="J440" s="95"/>
      <c r="K440" s="96"/>
      <c r="L440" s="96"/>
      <c r="M440" s="96"/>
      <c r="N440" s="96"/>
      <c r="O440" s="96"/>
      <c r="P440" s="96"/>
      <c r="Q440" s="97"/>
      <c r="R440" s="97"/>
      <c r="S440" s="89"/>
      <c r="T440" s="89"/>
      <c r="U440" s="89"/>
      <c r="V440" s="89"/>
      <c r="W440" s="89"/>
      <c r="X440" s="89"/>
      <c r="Y440" s="89"/>
      <c r="Z440" s="89"/>
      <c r="AA440" s="90"/>
      <c r="AB440" s="90"/>
      <c r="AC440" s="90"/>
    </row>
    <row r="441" spans="3:29" ht="14.1" customHeight="1">
      <c r="C441" s="91"/>
      <c r="D441" s="92"/>
      <c r="E441" s="228"/>
      <c r="F441" s="93"/>
      <c r="G441" s="93"/>
      <c r="I441" s="94"/>
      <c r="J441" s="95"/>
      <c r="K441" s="96"/>
      <c r="L441" s="96"/>
      <c r="M441" s="96"/>
      <c r="N441" s="96"/>
      <c r="O441" s="96"/>
      <c r="P441" s="96"/>
      <c r="Q441" s="97"/>
      <c r="R441" s="97"/>
      <c r="S441" s="89"/>
      <c r="T441" s="89"/>
      <c r="U441" s="89"/>
      <c r="V441" s="89"/>
      <c r="W441" s="89"/>
      <c r="X441" s="89"/>
      <c r="Y441" s="89"/>
      <c r="Z441" s="89"/>
      <c r="AA441" s="90"/>
      <c r="AB441" s="90"/>
      <c r="AC441" s="90"/>
    </row>
    <row r="442" spans="3:29" ht="14.1" customHeight="1">
      <c r="C442" s="91"/>
      <c r="D442" s="92"/>
      <c r="E442" s="228"/>
      <c r="F442" s="93"/>
      <c r="G442" s="93"/>
      <c r="I442" s="94"/>
      <c r="J442" s="95"/>
      <c r="K442" s="96"/>
      <c r="L442" s="96"/>
      <c r="M442" s="96"/>
      <c r="N442" s="96"/>
      <c r="O442" s="96"/>
      <c r="P442" s="96"/>
      <c r="Q442" s="97"/>
      <c r="R442" s="97"/>
      <c r="S442" s="89"/>
      <c r="T442" s="89"/>
      <c r="U442" s="89"/>
      <c r="V442" s="89"/>
      <c r="W442" s="89"/>
      <c r="X442" s="89"/>
      <c r="Y442" s="89"/>
      <c r="Z442" s="89"/>
      <c r="AA442" s="90"/>
      <c r="AB442" s="90"/>
      <c r="AC442" s="90"/>
    </row>
    <row r="443" spans="3:29" ht="14.1" customHeight="1">
      <c r="C443" s="91"/>
      <c r="D443" s="92"/>
      <c r="E443" s="228"/>
      <c r="F443" s="93"/>
      <c r="G443" s="93"/>
      <c r="I443" s="94"/>
      <c r="J443" s="95"/>
      <c r="K443" s="96"/>
      <c r="L443" s="96"/>
      <c r="M443" s="96"/>
      <c r="N443" s="96"/>
      <c r="O443" s="96"/>
      <c r="P443" s="96"/>
      <c r="Q443" s="97"/>
      <c r="R443" s="97"/>
      <c r="S443" s="89"/>
      <c r="T443" s="89"/>
      <c r="U443" s="89"/>
      <c r="V443" s="89"/>
      <c r="W443" s="89"/>
      <c r="X443" s="89"/>
      <c r="Y443" s="89"/>
      <c r="Z443" s="89"/>
      <c r="AA443" s="90"/>
      <c r="AB443" s="90"/>
      <c r="AC443" s="90"/>
    </row>
    <row r="444" spans="3:29" ht="14.1" customHeight="1">
      <c r="C444" s="91"/>
      <c r="D444" s="92"/>
      <c r="E444" s="228"/>
      <c r="F444" s="93"/>
      <c r="G444" s="93"/>
      <c r="I444" s="94"/>
      <c r="J444" s="95"/>
      <c r="K444" s="96"/>
      <c r="L444" s="96"/>
      <c r="M444" s="96"/>
      <c r="N444" s="96"/>
      <c r="O444" s="96"/>
      <c r="P444" s="96"/>
      <c r="Q444" s="97"/>
      <c r="R444" s="97"/>
      <c r="S444" s="89"/>
      <c r="T444" s="89"/>
      <c r="U444" s="89"/>
      <c r="V444" s="89"/>
      <c r="W444" s="89"/>
      <c r="X444" s="89"/>
      <c r="Y444" s="89"/>
      <c r="Z444" s="89"/>
      <c r="AA444" s="90"/>
      <c r="AB444" s="90"/>
      <c r="AC444" s="90"/>
    </row>
    <row r="445" spans="3:29" ht="14.1" customHeight="1">
      <c r="C445" s="91"/>
      <c r="D445" s="92"/>
      <c r="E445" s="228"/>
      <c r="F445" s="93"/>
      <c r="G445" s="93"/>
      <c r="I445" s="94"/>
      <c r="J445" s="95"/>
      <c r="K445" s="96"/>
      <c r="L445" s="96"/>
      <c r="M445" s="96"/>
      <c r="N445" s="96"/>
      <c r="O445" s="96"/>
      <c r="P445" s="96"/>
      <c r="Q445" s="97"/>
      <c r="R445" s="97"/>
      <c r="S445" s="89"/>
      <c r="T445" s="89"/>
      <c r="U445" s="89"/>
      <c r="V445" s="89"/>
      <c r="W445" s="89"/>
      <c r="X445" s="89"/>
      <c r="Y445" s="89"/>
      <c r="Z445" s="89"/>
      <c r="AA445" s="90"/>
      <c r="AB445" s="90"/>
      <c r="AC445" s="90"/>
    </row>
    <row r="446" spans="3:29" ht="14.1" customHeight="1">
      <c r="C446" s="91"/>
      <c r="D446" s="92"/>
      <c r="E446" s="228"/>
      <c r="F446" s="93"/>
      <c r="G446" s="93"/>
      <c r="I446" s="94"/>
      <c r="J446" s="95"/>
      <c r="K446" s="96"/>
      <c r="L446" s="96"/>
      <c r="M446" s="96"/>
      <c r="N446" s="96"/>
      <c r="O446" s="96"/>
      <c r="P446" s="96"/>
      <c r="Q446" s="97"/>
      <c r="R446" s="97"/>
      <c r="S446" s="89"/>
      <c r="T446" s="89"/>
      <c r="U446" s="89"/>
      <c r="V446" s="89"/>
      <c r="W446" s="89"/>
      <c r="X446" s="89"/>
      <c r="Y446" s="89"/>
      <c r="Z446" s="89"/>
      <c r="AA446" s="90"/>
      <c r="AB446" s="90"/>
      <c r="AC446" s="90"/>
    </row>
    <row r="447" spans="3:29" ht="14.1" customHeight="1">
      <c r="C447" s="91"/>
      <c r="D447" s="92"/>
      <c r="E447" s="228"/>
      <c r="F447" s="93"/>
      <c r="G447" s="93"/>
      <c r="I447" s="94"/>
      <c r="J447" s="95"/>
      <c r="K447" s="96"/>
      <c r="L447" s="96"/>
      <c r="M447" s="96"/>
      <c r="N447" s="96"/>
      <c r="O447" s="96"/>
      <c r="P447" s="96"/>
      <c r="Q447" s="97"/>
      <c r="R447" s="97"/>
      <c r="S447" s="89"/>
      <c r="T447" s="89"/>
      <c r="U447" s="89"/>
      <c r="V447" s="89"/>
      <c r="W447" s="89"/>
      <c r="X447" s="89"/>
      <c r="Y447" s="89"/>
      <c r="Z447" s="89"/>
      <c r="AA447" s="90"/>
      <c r="AB447" s="90"/>
      <c r="AC447" s="90"/>
    </row>
    <row r="448" spans="3:29" ht="14.1" customHeight="1">
      <c r="C448" s="91"/>
      <c r="D448" s="92"/>
      <c r="E448" s="228"/>
      <c r="F448" s="93"/>
      <c r="G448" s="93"/>
      <c r="I448" s="94"/>
      <c r="J448" s="95"/>
      <c r="K448" s="96"/>
      <c r="L448" s="96"/>
      <c r="M448" s="96"/>
      <c r="N448" s="96"/>
      <c r="O448" s="96"/>
      <c r="P448" s="96"/>
      <c r="Q448" s="97"/>
      <c r="R448" s="97"/>
      <c r="S448" s="89"/>
      <c r="T448" s="89"/>
      <c r="U448" s="89"/>
      <c r="V448" s="89"/>
      <c r="W448" s="89"/>
      <c r="X448" s="89"/>
      <c r="Y448" s="89"/>
      <c r="Z448" s="89"/>
      <c r="AA448" s="90"/>
      <c r="AB448" s="90"/>
      <c r="AC448" s="90"/>
    </row>
    <row r="449" spans="3:29" ht="14.1" customHeight="1">
      <c r="C449" s="91"/>
      <c r="D449" s="92"/>
      <c r="E449" s="228"/>
      <c r="F449" s="93"/>
      <c r="G449" s="93"/>
      <c r="I449" s="94"/>
      <c r="J449" s="95"/>
      <c r="K449" s="96"/>
      <c r="L449" s="96"/>
      <c r="M449" s="96"/>
      <c r="N449" s="96"/>
      <c r="O449" s="96"/>
      <c r="P449" s="96"/>
      <c r="Q449" s="97"/>
      <c r="R449" s="97"/>
      <c r="S449" s="89"/>
      <c r="T449" s="89"/>
      <c r="U449" s="89"/>
      <c r="V449" s="89"/>
      <c r="W449" s="89"/>
      <c r="X449" s="89"/>
      <c r="Y449" s="89"/>
      <c r="Z449" s="89"/>
      <c r="AA449" s="90"/>
      <c r="AB449" s="90"/>
      <c r="AC449" s="90"/>
    </row>
    <row r="450" spans="3:29" ht="14.1" customHeight="1">
      <c r="C450" s="91"/>
      <c r="D450" s="92"/>
      <c r="E450" s="228"/>
      <c r="F450" s="93"/>
      <c r="G450" s="93"/>
      <c r="I450" s="94"/>
      <c r="J450" s="95"/>
      <c r="K450" s="96"/>
      <c r="L450" s="96"/>
      <c r="M450" s="96"/>
      <c r="N450" s="96"/>
      <c r="O450" s="96"/>
      <c r="P450" s="96"/>
      <c r="Q450" s="97"/>
      <c r="R450" s="97"/>
      <c r="S450" s="89"/>
      <c r="T450" s="89"/>
      <c r="U450" s="89"/>
      <c r="V450" s="89"/>
      <c r="W450" s="89"/>
      <c r="X450" s="89"/>
      <c r="Y450" s="89"/>
      <c r="Z450" s="89"/>
      <c r="AA450" s="90"/>
      <c r="AB450" s="90"/>
      <c r="AC450" s="90"/>
    </row>
    <row r="451" spans="3:29" ht="14.1" customHeight="1">
      <c r="C451" s="91"/>
      <c r="D451" s="92"/>
      <c r="E451" s="228"/>
      <c r="F451" s="93"/>
      <c r="G451" s="93"/>
      <c r="I451" s="94"/>
      <c r="J451" s="95"/>
      <c r="K451" s="96"/>
      <c r="L451" s="96"/>
      <c r="M451" s="96"/>
      <c r="N451" s="96"/>
      <c r="O451" s="96"/>
      <c r="P451" s="96"/>
      <c r="Q451" s="97"/>
      <c r="R451" s="97"/>
      <c r="S451" s="89"/>
      <c r="T451" s="89"/>
      <c r="U451" s="89"/>
      <c r="V451" s="89"/>
      <c r="W451" s="89"/>
      <c r="X451" s="89"/>
      <c r="Y451" s="89"/>
      <c r="Z451" s="89"/>
      <c r="AA451" s="90"/>
      <c r="AB451" s="90"/>
      <c r="AC451" s="90"/>
    </row>
    <row r="452" spans="3:29" ht="14.1" customHeight="1">
      <c r="C452" s="91"/>
      <c r="D452" s="92"/>
      <c r="E452" s="228"/>
      <c r="F452" s="93"/>
      <c r="G452" s="93"/>
      <c r="I452" s="94"/>
      <c r="J452" s="95"/>
      <c r="K452" s="96"/>
      <c r="L452" s="96"/>
      <c r="M452" s="96"/>
      <c r="N452" s="96"/>
      <c r="O452" s="96"/>
      <c r="P452" s="96"/>
      <c r="Q452" s="97"/>
      <c r="R452" s="97"/>
      <c r="S452" s="89"/>
      <c r="T452" s="89"/>
      <c r="U452" s="89"/>
      <c r="V452" s="89"/>
      <c r="W452" s="89"/>
      <c r="X452" s="89"/>
      <c r="Y452" s="89"/>
      <c r="Z452" s="89"/>
      <c r="AA452" s="90"/>
      <c r="AB452" s="90"/>
      <c r="AC452" s="90"/>
    </row>
    <row r="453" spans="3:29" ht="14.1" customHeight="1">
      <c r="C453" s="91"/>
      <c r="D453" s="92"/>
      <c r="E453" s="228"/>
      <c r="F453" s="93"/>
      <c r="G453" s="93"/>
      <c r="I453" s="94"/>
      <c r="J453" s="95"/>
      <c r="K453" s="96"/>
      <c r="L453" s="96"/>
      <c r="M453" s="96"/>
      <c r="N453" s="96"/>
      <c r="O453" s="96"/>
      <c r="P453" s="96"/>
      <c r="Q453" s="97"/>
      <c r="R453" s="97"/>
      <c r="S453" s="89"/>
      <c r="T453" s="89"/>
      <c r="U453" s="89"/>
      <c r="V453" s="89"/>
      <c r="W453" s="89"/>
      <c r="X453" s="89"/>
      <c r="Y453" s="89"/>
      <c r="Z453" s="89"/>
      <c r="AA453" s="90"/>
      <c r="AB453" s="90"/>
      <c r="AC453" s="90"/>
    </row>
    <row r="454" spans="3:29" ht="14.1" customHeight="1">
      <c r="C454" s="91"/>
      <c r="D454" s="92"/>
      <c r="E454" s="228"/>
      <c r="F454" s="93"/>
      <c r="G454" s="93"/>
      <c r="I454" s="94"/>
      <c r="J454" s="95"/>
      <c r="K454" s="96"/>
      <c r="L454" s="96"/>
      <c r="M454" s="96"/>
      <c r="N454" s="96"/>
      <c r="O454" s="96"/>
      <c r="P454" s="96"/>
      <c r="Q454" s="97"/>
      <c r="R454" s="97"/>
      <c r="S454" s="89"/>
      <c r="T454" s="89"/>
      <c r="U454" s="89"/>
      <c r="V454" s="89"/>
      <c r="W454" s="89"/>
      <c r="X454" s="89"/>
      <c r="Y454" s="89"/>
      <c r="Z454" s="89"/>
      <c r="AA454" s="90"/>
      <c r="AB454" s="90"/>
      <c r="AC454" s="90"/>
    </row>
    <row r="455" spans="3:29" ht="14.1" customHeight="1">
      <c r="C455" s="91"/>
      <c r="D455" s="92"/>
      <c r="E455" s="228"/>
      <c r="F455" s="93"/>
      <c r="G455" s="93"/>
      <c r="I455" s="94"/>
      <c r="J455" s="95"/>
      <c r="K455" s="96"/>
      <c r="L455" s="96"/>
      <c r="M455" s="96"/>
      <c r="N455" s="96"/>
      <c r="O455" s="96"/>
      <c r="P455" s="96"/>
      <c r="Q455" s="97"/>
      <c r="R455" s="97"/>
      <c r="S455" s="89"/>
      <c r="T455" s="89"/>
      <c r="U455" s="89"/>
      <c r="V455" s="89"/>
      <c r="W455" s="89"/>
      <c r="X455" s="89"/>
      <c r="Y455" s="89"/>
      <c r="Z455" s="89"/>
      <c r="AA455" s="90"/>
      <c r="AB455" s="90"/>
      <c r="AC455" s="90"/>
    </row>
    <row r="456" spans="3:29" ht="14.1" customHeight="1">
      <c r="C456" s="91"/>
      <c r="D456" s="92"/>
      <c r="E456" s="228"/>
      <c r="F456" s="93"/>
      <c r="G456" s="93"/>
      <c r="I456" s="94"/>
      <c r="J456" s="95"/>
      <c r="K456" s="96"/>
      <c r="L456" s="96"/>
      <c r="M456" s="96"/>
      <c r="N456" s="96"/>
      <c r="O456" s="96"/>
      <c r="P456" s="96"/>
      <c r="Q456" s="97"/>
      <c r="R456" s="97"/>
      <c r="S456" s="89"/>
      <c r="T456" s="89"/>
      <c r="U456" s="89"/>
      <c r="V456" s="89"/>
      <c r="W456" s="89"/>
      <c r="X456" s="89"/>
      <c r="Y456" s="89"/>
      <c r="Z456" s="89"/>
      <c r="AA456" s="90"/>
      <c r="AB456" s="90"/>
      <c r="AC456" s="90"/>
    </row>
    <row r="457" spans="3:29" ht="14.1" customHeight="1">
      <c r="C457" s="91"/>
      <c r="D457" s="92"/>
      <c r="E457" s="228"/>
      <c r="F457" s="93"/>
      <c r="G457" s="93"/>
      <c r="I457" s="94"/>
      <c r="J457" s="95"/>
      <c r="K457" s="96"/>
      <c r="L457" s="96"/>
      <c r="M457" s="96"/>
      <c r="N457" s="96"/>
      <c r="O457" s="96"/>
      <c r="P457" s="96"/>
      <c r="Q457" s="97"/>
      <c r="R457" s="97"/>
      <c r="S457" s="89"/>
      <c r="T457" s="89"/>
      <c r="U457" s="89"/>
      <c r="V457" s="89"/>
      <c r="W457" s="89"/>
      <c r="X457" s="89"/>
      <c r="Y457" s="89"/>
      <c r="Z457" s="89"/>
      <c r="AA457" s="90"/>
      <c r="AB457" s="90"/>
      <c r="AC457" s="90"/>
    </row>
    <row r="458" spans="3:29" ht="14.1" customHeight="1">
      <c r="C458" s="91"/>
      <c r="D458" s="92"/>
      <c r="E458" s="228"/>
      <c r="F458" s="93"/>
      <c r="G458" s="93"/>
      <c r="I458" s="94"/>
      <c r="J458" s="95"/>
      <c r="K458" s="96"/>
      <c r="L458" s="96"/>
      <c r="M458" s="96"/>
      <c r="N458" s="96"/>
      <c r="O458" s="96"/>
      <c r="P458" s="96"/>
      <c r="Q458" s="97"/>
      <c r="R458" s="97"/>
      <c r="S458" s="89"/>
      <c r="T458" s="89"/>
      <c r="U458" s="89"/>
      <c r="V458" s="89"/>
      <c r="W458" s="89"/>
      <c r="X458" s="89"/>
      <c r="Y458" s="89"/>
      <c r="Z458" s="89"/>
      <c r="AA458" s="90"/>
      <c r="AB458" s="90"/>
      <c r="AC458" s="90"/>
    </row>
    <row r="459" spans="3:29" ht="14.1" customHeight="1">
      <c r="C459" s="91"/>
      <c r="D459" s="92"/>
      <c r="E459" s="228"/>
      <c r="F459" s="93"/>
      <c r="G459" s="93"/>
      <c r="I459" s="94"/>
      <c r="J459" s="95"/>
      <c r="K459" s="96"/>
      <c r="L459" s="96"/>
      <c r="M459" s="96"/>
      <c r="N459" s="96"/>
      <c r="O459" s="96"/>
      <c r="P459" s="96"/>
      <c r="Q459" s="97"/>
      <c r="R459" s="97"/>
      <c r="S459" s="89"/>
      <c r="T459" s="89"/>
      <c r="U459" s="89"/>
      <c r="V459" s="89"/>
      <c r="W459" s="89"/>
      <c r="X459" s="89"/>
      <c r="Y459" s="89"/>
      <c r="Z459" s="89"/>
      <c r="AA459" s="90"/>
      <c r="AB459" s="90"/>
      <c r="AC459" s="90"/>
    </row>
    <row r="460" spans="3:29" ht="14.1" customHeight="1">
      <c r="C460" s="91"/>
      <c r="D460" s="92"/>
      <c r="E460" s="228"/>
      <c r="F460" s="93"/>
      <c r="G460" s="93"/>
      <c r="I460" s="94"/>
      <c r="J460" s="95"/>
      <c r="K460" s="96"/>
      <c r="L460" s="96"/>
      <c r="M460" s="96"/>
      <c r="N460" s="96"/>
      <c r="O460" s="96"/>
      <c r="P460" s="96"/>
      <c r="Q460" s="97"/>
      <c r="R460" s="97"/>
      <c r="S460" s="89"/>
      <c r="T460" s="89"/>
      <c r="U460" s="89"/>
      <c r="V460" s="89"/>
      <c r="W460" s="89"/>
      <c r="X460" s="89"/>
      <c r="Y460" s="89"/>
      <c r="Z460" s="89"/>
      <c r="AA460" s="90"/>
      <c r="AB460" s="90"/>
      <c r="AC460" s="90"/>
    </row>
    <row r="461" spans="3:29" ht="14.1" customHeight="1">
      <c r="C461" s="91"/>
      <c r="D461" s="92"/>
      <c r="E461" s="228"/>
      <c r="F461" s="93"/>
      <c r="G461" s="93"/>
      <c r="I461" s="94"/>
      <c r="J461" s="95"/>
      <c r="K461" s="96"/>
      <c r="L461" s="96"/>
      <c r="M461" s="96"/>
      <c r="N461" s="96"/>
      <c r="O461" s="96"/>
      <c r="P461" s="96"/>
      <c r="Q461" s="97"/>
      <c r="R461" s="97"/>
      <c r="S461" s="89"/>
      <c r="T461" s="89"/>
      <c r="U461" s="89"/>
      <c r="V461" s="89"/>
      <c r="W461" s="89"/>
      <c r="X461" s="89"/>
      <c r="Y461" s="89"/>
      <c r="Z461" s="89"/>
      <c r="AA461" s="90"/>
      <c r="AB461" s="90"/>
      <c r="AC461" s="90"/>
    </row>
    <row r="462" spans="3:29" ht="14.1" customHeight="1">
      <c r="C462" s="91"/>
      <c r="D462" s="92"/>
      <c r="E462" s="228"/>
      <c r="F462" s="93"/>
      <c r="G462" s="93"/>
      <c r="I462" s="94"/>
      <c r="J462" s="95"/>
      <c r="K462" s="96"/>
      <c r="L462" s="96"/>
      <c r="M462" s="96"/>
      <c r="N462" s="96"/>
      <c r="O462" s="96"/>
      <c r="P462" s="96"/>
      <c r="Q462" s="97"/>
      <c r="R462" s="97"/>
      <c r="S462" s="89"/>
      <c r="T462" s="89"/>
      <c r="U462" s="89"/>
      <c r="V462" s="89"/>
      <c r="W462" s="89"/>
      <c r="X462" s="89"/>
      <c r="Y462" s="89"/>
      <c r="Z462" s="89"/>
      <c r="AA462" s="90"/>
      <c r="AB462" s="90"/>
      <c r="AC462" s="90"/>
    </row>
    <row r="463" spans="3:29" ht="14.1" customHeight="1">
      <c r="C463" s="91"/>
      <c r="D463" s="92"/>
      <c r="E463" s="228"/>
      <c r="F463" s="93"/>
      <c r="G463" s="93"/>
      <c r="I463" s="94"/>
      <c r="J463" s="95"/>
      <c r="K463" s="96"/>
      <c r="L463" s="96"/>
      <c r="M463" s="96"/>
      <c r="N463" s="96"/>
      <c r="O463" s="96"/>
      <c r="P463" s="96"/>
      <c r="Q463" s="97"/>
      <c r="R463" s="97"/>
      <c r="S463" s="89"/>
      <c r="T463" s="89"/>
      <c r="U463" s="89"/>
      <c r="V463" s="89"/>
      <c r="W463" s="89"/>
      <c r="X463" s="89"/>
      <c r="Y463" s="89"/>
      <c r="Z463" s="89"/>
      <c r="AA463" s="90"/>
      <c r="AB463" s="90"/>
      <c r="AC463" s="90"/>
    </row>
    <row r="464" spans="3:29" ht="14.1" customHeight="1">
      <c r="C464" s="91"/>
      <c r="D464" s="92"/>
      <c r="E464" s="228"/>
      <c r="F464" s="93"/>
      <c r="G464" s="93"/>
      <c r="I464" s="94"/>
      <c r="J464" s="95"/>
      <c r="K464" s="96"/>
      <c r="L464" s="96"/>
      <c r="M464" s="96"/>
      <c r="N464" s="96"/>
      <c r="O464" s="96"/>
      <c r="P464" s="96"/>
      <c r="Q464" s="97"/>
      <c r="R464" s="97"/>
      <c r="S464" s="89"/>
      <c r="T464" s="89"/>
      <c r="U464" s="89"/>
      <c r="V464" s="89"/>
      <c r="W464" s="89"/>
      <c r="X464" s="89"/>
      <c r="Y464" s="89"/>
      <c r="Z464" s="89"/>
      <c r="AA464" s="90"/>
      <c r="AB464" s="90"/>
      <c r="AC464" s="90"/>
    </row>
    <row r="465" spans="3:29" ht="14.1" customHeight="1">
      <c r="C465" s="91"/>
      <c r="D465" s="92"/>
      <c r="E465" s="228"/>
      <c r="F465" s="93"/>
      <c r="G465" s="93"/>
      <c r="I465" s="94"/>
      <c r="J465" s="95"/>
      <c r="K465" s="96"/>
      <c r="L465" s="96"/>
      <c r="M465" s="96"/>
      <c r="N465" s="96"/>
      <c r="O465" s="96"/>
      <c r="P465" s="96"/>
      <c r="Q465" s="97"/>
      <c r="R465" s="97"/>
      <c r="S465" s="89"/>
      <c r="T465" s="89"/>
      <c r="U465" s="89"/>
      <c r="V465" s="89"/>
      <c r="W465" s="89"/>
      <c r="X465" s="89"/>
      <c r="Y465" s="89"/>
      <c r="Z465" s="89"/>
      <c r="AA465" s="90"/>
      <c r="AB465" s="90"/>
      <c r="AC465" s="90"/>
    </row>
    <row r="466" spans="3:29" ht="14.1" customHeight="1">
      <c r="C466" s="91"/>
      <c r="D466" s="92"/>
      <c r="E466" s="228"/>
      <c r="F466" s="93"/>
      <c r="G466" s="93"/>
      <c r="I466" s="94"/>
      <c r="J466" s="95"/>
      <c r="K466" s="96"/>
      <c r="L466" s="96"/>
      <c r="M466" s="96"/>
      <c r="N466" s="96"/>
      <c r="O466" s="96"/>
      <c r="P466" s="96"/>
      <c r="Q466" s="97"/>
      <c r="R466" s="97"/>
      <c r="S466" s="89"/>
      <c r="T466" s="89"/>
      <c r="U466" s="89"/>
      <c r="V466" s="89"/>
      <c r="W466" s="89"/>
      <c r="X466" s="89"/>
      <c r="Y466" s="89"/>
      <c r="Z466" s="89"/>
      <c r="AA466" s="90"/>
      <c r="AB466" s="90"/>
      <c r="AC466" s="90"/>
    </row>
    <row r="467" spans="3:29" ht="14.1" customHeight="1">
      <c r="C467" s="91"/>
      <c r="D467" s="92"/>
      <c r="E467" s="228"/>
      <c r="F467" s="93"/>
      <c r="G467" s="93"/>
      <c r="I467" s="94"/>
      <c r="J467" s="95"/>
      <c r="K467" s="96"/>
      <c r="L467" s="96"/>
      <c r="M467" s="96"/>
      <c r="N467" s="96"/>
      <c r="O467" s="96"/>
      <c r="P467" s="96"/>
      <c r="Q467" s="97"/>
      <c r="R467" s="97"/>
      <c r="S467" s="89"/>
      <c r="T467" s="89"/>
      <c r="U467" s="89"/>
      <c r="V467" s="89"/>
      <c r="W467" s="89"/>
      <c r="X467" s="89"/>
      <c r="Y467" s="89"/>
      <c r="Z467" s="89"/>
      <c r="AA467" s="90"/>
      <c r="AB467" s="90"/>
      <c r="AC467" s="90"/>
    </row>
    <row r="468" spans="3:29" ht="14.1" customHeight="1">
      <c r="C468" s="91"/>
      <c r="D468" s="92"/>
      <c r="E468" s="228"/>
      <c r="F468" s="93"/>
      <c r="G468" s="93"/>
      <c r="I468" s="94"/>
      <c r="J468" s="95"/>
      <c r="K468" s="96"/>
      <c r="L468" s="96"/>
      <c r="M468" s="96"/>
      <c r="N468" s="96"/>
      <c r="O468" s="96"/>
      <c r="P468" s="96"/>
      <c r="Q468" s="97"/>
      <c r="R468" s="97"/>
      <c r="S468" s="89"/>
      <c r="T468" s="89"/>
      <c r="U468" s="89"/>
      <c r="V468" s="89"/>
      <c r="W468" s="89"/>
      <c r="X468" s="89"/>
      <c r="Y468" s="89"/>
      <c r="Z468" s="89"/>
      <c r="AA468" s="90"/>
      <c r="AB468" s="90"/>
      <c r="AC468" s="90"/>
    </row>
    <row r="469" spans="3:29" ht="14.1" customHeight="1">
      <c r="C469" s="91"/>
      <c r="D469" s="92"/>
      <c r="E469" s="228"/>
      <c r="F469" s="93"/>
      <c r="G469" s="93"/>
      <c r="I469" s="94"/>
      <c r="J469" s="95"/>
      <c r="K469" s="96"/>
      <c r="L469" s="96"/>
      <c r="M469" s="96"/>
      <c r="N469" s="96"/>
      <c r="O469" s="96"/>
      <c r="P469" s="96"/>
      <c r="Q469" s="97"/>
      <c r="R469" s="97"/>
      <c r="S469" s="89"/>
      <c r="T469" s="89"/>
      <c r="U469" s="89"/>
      <c r="V469" s="89"/>
      <c r="W469" s="89"/>
      <c r="X469" s="89"/>
      <c r="Y469" s="89"/>
      <c r="Z469" s="89"/>
      <c r="AA469" s="90"/>
      <c r="AB469" s="90"/>
      <c r="AC469" s="90"/>
    </row>
    <row r="470" spans="3:29" ht="14.1" customHeight="1">
      <c r="C470" s="91"/>
      <c r="D470" s="92"/>
      <c r="E470" s="228"/>
      <c r="F470" s="93"/>
      <c r="G470" s="93"/>
      <c r="I470" s="94"/>
      <c r="J470" s="95"/>
      <c r="K470" s="96"/>
      <c r="L470" s="96"/>
      <c r="M470" s="96"/>
      <c r="N470" s="96"/>
      <c r="O470" s="96"/>
      <c r="P470" s="96"/>
      <c r="Q470" s="97"/>
      <c r="R470" s="97"/>
      <c r="S470" s="89"/>
      <c r="T470" s="89"/>
      <c r="U470" s="89"/>
      <c r="V470" s="89"/>
      <c r="W470" s="89"/>
      <c r="X470" s="89"/>
      <c r="Y470" s="89"/>
      <c r="Z470" s="89"/>
      <c r="AA470" s="90"/>
      <c r="AB470" s="90"/>
      <c r="AC470" s="90"/>
    </row>
    <row r="471" spans="3:29" ht="14.1" customHeight="1">
      <c r="C471" s="91"/>
      <c r="D471" s="92"/>
      <c r="E471" s="228"/>
      <c r="F471" s="93"/>
      <c r="G471" s="93"/>
      <c r="I471" s="94"/>
      <c r="J471" s="95"/>
      <c r="K471" s="96"/>
      <c r="L471" s="96"/>
      <c r="M471" s="96"/>
      <c r="N471" s="96"/>
      <c r="O471" s="96"/>
      <c r="P471" s="96"/>
      <c r="Q471" s="97"/>
      <c r="R471" s="97"/>
      <c r="S471" s="89"/>
      <c r="T471" s="89"/>
      <c r="U471" s="89"/>
      <c r="V471" s="89"/>
      <c r="W471" s="89"/>
      <c r="X471" s="89"/>
      <c r="Y471" s="89"/>
      <c r="Z471" s="89"/>
      <c r="AA471" s="90"/>
      <c r="AB471" s="90"/>
      <c r="AC471" s="90"/>
    </row>
    <row r="472" spans="3:29" ht="14.1" customHeight="1">
      <c r="C472" s="91"/>
      <c r="D472" s="92"/>
      <c r="E472" s="228"/>
      <c r="F472" s="93"/>
      <c r="G472" s="93"/>
      <c r="I472" s="94"/>
      <c r="J472" s="95"/>
      <c r="K472" s="96"/>
      <c r="L472" s="96"/>
      <c r="M472" s="96"/>
      <c r="N472" s="96"/>
      <c r="O472" s="96"/>
      <c r="P472" s="96"/>
      <c r="Q472" s="97"/>
      <c r="R472" s="97"/>
      <c r="S472" s="89"/>
      <c r="T472" s="89"/>
      <c r="U472" s="89"/>
      <c r="V472" s="89"/>
      <c r="W472" s="89"/>
      <c r="X472" s="89"/>
      <c r="Y472" s="89"/>
      <c r="Z472" s="89"/>
      <c r="AA472" s="90"/>
      <c r="AB472" s="90"/>
      <c r="AC472" s="90"/>
    </row>
    <row r="473" spans="3:29" ht="14.1" customHeight="1">
      <c r="C473" s="91"/>
      <c r="D473" s="92"/>
      <c r="E473" s="228"/>
      <c r="F473" s="93"/>
      <c r="G473" s="93"/>
      <c r="I473" s="94"/>
      <c r="J473" s="95"/>
      <c r="K473" s="96"/>
      <c r="L473" s="96"/>
      <c r="M473" s="96"/>
      <c r="N473" s="96"/>
      <c r="O473" s="96"/>
      <c r="P473" s="96"/>
      <c r="Q473" s="97"/>
      <c r="R473" s="97"/>
      <c r="S473" s="89"/>
      <c r="T473" s="89"/>
      <c r="U473" s="89"/>
      <c r="V473" s="89"/>
      <c r="W473" s="89"/>
      <c r="X473" s="89"/>
      <c r="Y473" s="89"/>
      <c r="Z473" s="89"/>
      <c r="AA473" s="90"/>
      <c r="AB473" s="90"/>
      <c r="AC473" s="90"/>
    </row>
    <row r="474" spans="3:29" ht="14.1" customHeight="1">
      <c r="C474" s="91"/>
      <c r="D474" s="92"/>
      <c r="E474" s="228"/>
      <c r="F474" s="93"/>
      <c r="G474" s="93"/>
      <c r="I474" s="94"/>
      <c r="J474" s="95"/>
      <c r="K474" s="96"/>
      <c r="L474" s="96"/>
      <c r="M474" s="96"/>
      <c r="N474" s="96"/>
      <c r="O474" s="96"/>
      <c r="P474" s="96"/>
      <c r="Q474" s="97"/>
      <c r="R474" s="97"/>
      <c r="S474" s="89"/>
      <c r="T474" s="89"/>
      <c r="U474" s="89"/>
      <c r="V474" s="89"/>
      <c r="W474" s="89"/>
      <c r="X474" s="89"/>
      <c r="Y474" s="89"/>
      <c r="Z474" s="89"/>
      <c r="AA474" s="90"/>
      <c r="AB474" s="90"/>
      <c r="AC474" s="90"/>
    </row>
    <row r="475" spans="3:29" ht="14.1" customHeight="1">
      <c r="C475" s="91"/>
      <c r="D475" s="92"/>
      <c r="E475" s="228"/>
      <c r="F475" s="93"/>
      <c r="G475" s="93"/>
      <c r="I475" s="94"/>
      <c r="J475" s="95"/>
      <c r="K475" s="96"/>
      <c r="L475" s="96"/>
      <c r="M475" s="96"/>
      <c r="N475" s="96"/>
      <c r="O475" s="96"/>
      <c r="P475" s="96"/>
      <c r="Q475" s="97"/>
      <c r="R475" s="97"/>
      <c r="S475" s="89"/>
      <c r="T475" s="89"/>
      <c r="U475" s="89"/>
      <c r="V475" s="89"/>
      <c r="W475" s="89"/>
      <c r="X475" s="89"/>
      <c r="Y475" s="89"/>
      <c r="Z475" s="89"/>
      <c r="AA475" s="90"/>
      <c r="AB475" s="90"/>
      <c r="AC475" s="90"/>
    </row>
    <row r="476" spans="3:29" ht="14.1" customHeight="1">
      <c r="C476" s="91"/>
      <c r="D476" s="92"/>
      <c r="E476" s="228"/>
      <c r="F476" s="93"/>
      <c r="G476" s="93"/>
      <c r="I476" s="94"/>
      <c r="J476" s="95"/>
      <c r="K476" s="96"/>
      <c r="L476" s="96"/>
      <c r="M476" s="96"/>
      <c r="N476" s="96"/>
      <c r="O476" s="96"/>
      <c r="P476" s="96"/>
      <c r="Q476" s="97"/>
      <c r="R476" s="97"/>
      <c r="S476" s="89"/>
      <c r="T476" s="89"/>
      <c r="U476" s="89"/>
      <c r="V476" s="89"/>
      <c r="W476" s="89"/>
      <c r="X476" s="89"/>
      <c r="Y476" s="89"/>
      <c r="Z476" s="89"/>
      <c r="AA476" s="90"/>
      <c r="AB476" s="90"/>
      <c r="AC476" s="90"/>
    </row>
    <row r="477" spans="3:29" ht="14.1" customHeight="1">
      <c r="C477" s="91"/>
      <c r="D477" s="92"/>
      <c r="E477" s="228"/>
      <c r="F477" s="93"/>
      <c r="G477" s="93"/>
      <c r="I477" s="94"/>
      <c r="J477" s="95"/>
      <c r="K477" s="96"/>
      <c r="L477" s="96"/>
      <c r="M477" s="96"/>
      <c r="N477" s="96"/>
      <c r="O477" s="96"/>
      <c r="P477" s="96"/>
      <c r="Q477" s="97"/>
      <c r="R477" s="97"/>
      <c r="S477" s="89"/>
      <c r="T477" s="89"/>
      <c r="U477" s="89"/>
      <c r="V477" s="89"/>
      <c r="W477" s="89"/>
      <c r="X477" s="89"/>
      <c r="Y477" s="89"/>
      <c r="Z477" s="89"/>
      <c r="AA477" s="90"/>
      <c r="AB477" s="90"/>
      <c r="AC477" s="90"/>
    </row>
    <row r="478" spans="3:29" ht="14.1" customHeight="1">
      <c r="C478" s="91"/>
      <c r="D478" s="92"/>
      <c r="E478" s="228"/>
      <c r="F478" s="93"/>
      <c r="G478" s="93"/>
      <c r="I478" s="94"/>
      <c r="J478" s="95"/>
      <c r="K478" s="96"/>
      <c r="L478" s="96"/>
      <c r="M478" s="96"/>
      <c r="N478" s="96"/>
      <c r="O478" s="96"/>
      <c r="P478" s="96"/>
      <c r="Q478" s="97"/>
      <c r="R478" s="97"/>
      <c r="S478" s="89"/>
      <c r="T478" s="89"/>
      <c r="U478" s="89"/>
      <c r="V478" s="89"/>
      <c r="W478" s="89"/>
      <c r="X478" s="89"/>
      <c r="Y478" s="89"/>
      <c r="Z478" s="89"/>
      <c r="AA478" s="90"/>
      <c r="AB478" s="90"/>
      <c r="AC478" s="90"/>
    </row>
    <row r="479" spans="3:29" ht="14.1" customHeight="1">
      <c r="C479" s="91"/>
      <c r="D479" s="92"/>
      <c r="E479" s="228"/>
      <c r="F479" s="93"/>
      <c r="G479" s="93"/>
      <c r="I479" s="94"/>
      <c r="J479" s="95"/>
      <c r="K479" s="96"/>
      <c r="L479" s="96"/>
      <c r="M479" s="96"/>
      <c r="N479" s="96"/>
      <c r="O479" s="96"/>
      <c r="P479" s="96"/>
      <c r="Q479" s="97"/>
      <c r="R479" s="97"/>
      <c r="S479" s="89"/>
      <c r="T479" s="89"/>
      <c r="U479" s="89"/>
      <c r="V479" s="89"/>
      <c r="W479" s="89"/>
      <c r="X479" s="89"/>
      <c r="Y479" s="89"/>
      <c r="Z479" s="89"/>
      <c r="AA479" s="90"/>
      <c r="AB479" s="90"/>
      <c r="AC479" s="90"/>
    </row>
    <row r="480" spans="3:29" ht="14.1" customHeight="1">
      <c r="C480" s="91"/>
      <c r="D480" s="92"/>
      <c r="E480" s="228"/>
      <c r="F480" s="93"/>
      <c r="G480" s="93"/>
      <c r="I480" s="94"/>
      <c r="J480" s="95"/>
      <c r="K480" s="96"/>
      <c r="L480" s="96"/>
      <c r="M480" s="96"/>
      <c r="N480" s="96"/>
      <c r="O480" s="96"/>
      <c r="P480" s="96"/>
      <c r="Q480" s="97"/>
      <c r="R480" s="97"/>
      <c r="S480" s="89"/>
      <c r="T480" s="89"/>
      <c r="U480" s="89"/>
      <c r="V480" s="89"/>
      <c r="W480" s="89"/>
      <c r="X480" s="89"/>
      <c r="Y480" s="89"/>
      <c r="Z480" s="89"/>
      <c r="AA480" s="90"/>
      <c r="AB480" s="90"/>
      <c r="AC480" s="90"/>
    </row>
    <row r="481" spans="3:29" ht="14.1" customHeight="1">
      <c r="C481" s="91"/>
      <c r="D481" s="92"/>
      <c r="E481" s="228"/>
      <c r="F481" s="93"/>
      <c r="G481" s="93"/>
      <c r="I481" s="94"/>
      <c r="J481" s="95"/>
      <c r="K481" s="96"/>
      <c r="L481" s="96"/>
      <c r="M481" s="96"/>
      <c r="N481" s="96"/>
      <c r="O481" s="96"/>
      <c r="P481" s="96"/>
      <c r="Q481" s="97"/>
      <c r="R481" s="97"/>
      <c r="S481" s="89"/>
      <c r="T481" s="89"/>
      <c r="U481" s="89"/>
      <c r="V481" s="89"/>
      <c r="W481" s="89"/>
      <c r="X481" s="89"/>
      <c r="Y481" s="89"/>
      <c r="Z481" s="89"/>
      <c r="AA481" s="90"/>
      <c r="AB481" s="90"/>
      <c r="AC481" s="90"/>
    </row>
    <row r="482" spans="3:29" ht="14.1" customHeight="1">
      <c r="C482" s="91"/>
      <c r="D482" s="92"/>
      <c r="E482" s="228"/>
      <c r="F482" s="93"/>
      <c r="G482" s="93"/>
      <c r="I482" s="94"/>
      <c r="J482" s="95"/>
      <c r="K482" s="96"/>
      <c r="L482" s="96"/>
      <c r="M482" s="96"/>
      <c r="N482" s="96"/>
      <c r="O482" s="96"/>
      <c r="P482" s="96"/>
      <c r="Q482" s="97"/>
      <c r="R482" s="97"/>
      <c r="S482" s="89"/>
      <c r="T482" s="89"/>
      <c r="U482" s="89"/>
      <c r="V482" s="89"/>
      <c r="W482" s="89"/>
      <c r="X482" s="89"/>
      <c r="Y482" s="89"/>
      <c r="Z482" s="89"/>
      <c r="AA482" s="90"/>
      <c r="AB482" s="90"/>
      <c r="AC482" s="90"/>
    </row>
    <row r="483" spans="3:29" ht="14.1" customHeight="1">
      <c r="C483" s="91"/>
      <c r="D483" s="92"/>
      <c r="E483" s="228"/>
      <c r="F483" s="93"/>
      <c r="G483" s="93"/>
      <c r="I483" s="94"/>
      <c r="J483" s="95"/>
      <c r="K483" s="96"/>
      <c r="L483" s="96"/>
      <c r="M483" s="96"/>
      <c r="N483" s="96"/>
      <c r="O483" s="96"/>
      <c r="P483" s="96"/>
      <c r="Q483" s="97"/>
      <c r="R483" s="97"/>
      <c r="S483" s="89"/>
      <c r="T483" s="89"/>
      <c r="U483" s="89"/>
      <c r="V483" s="89"/>
      <c r="W483" s="89"/>
      <c r="X483" s="89"/>
      <c r="Y483" s="89"/>
      <c r="Z483" s="89"/>
      <c r="AA483" s="90"/>
      <c r="AB483" s="90"/>
      <c r="AC483" s="90"/>
    </row>
    <row r="484" spans="3:29" ht="14.1" customHeight="1">
      <c r="C484" s="91"/>
      <c r="D484" s="92"/>
      <c r="E484" s="228"/>
      <c r="F484" s="93"/>
      <c r="G484" s="93"/>
      <c r="I484" s="94"/>
      <c r="J484" s="95"/>
      <c r="K484" s="96"/>
      <c r="L484" s="96"/>
      <c r="M484" s="96"/>
      <c r="N484" s="96"/>
      <c r="O484" s="96"/>
      <c r="P484" s="96"/>
      <c r="Q484" s="97"/>
      <c r="R484" s="97"/>
      <c r="S484" s="89"/>
      <c r="T484" s="89"/>
      <c r="U484" s="89"/>
      <c r="V484" s="89"/>
      <c r="W484" s="89"/>
      <c r="X484" s="89"/>
      <c r="Y484" s="89"/>
      <c r="Z484" s="89"/>
      <c r="AA484" s="90"/>
      <c r="AB484" s="90"/>
      <c r="AC484" s="90"/>
    </row>
    <row r="485" spans="3:29" ht="14.1" customHeight="1">
      <c r="C485" s="91"/>
      <c r="D485" s="92"/>
      <c r="E485" s="228"/>
      <c r="F485" s="93"/>
      <c r="G485" s="93"/>
      <c r="I485" s="94"/>
      <c r="J485" s="95"/>
      <c r="K485" s="96"/>
      <c r="L485" s="96"/>
      <c r="M485" s="96"/>
      <c r="N485" s="96"/>
      <c r="O485" s="96"/>
      <c r="P485" s="96"/>
      <c r="Q485" s="97"/>
      <c r="R485" s="97"/>
      <c r="S485" s="89"/>
      <c r="T485" s="89"/>
      <c r="U485" s="89"/>
      <c r="V485" s="89"/>
      <c r="W485" s="89"/>
      <c r="X485" s="89"/>
      <c r="Y485" s="89"/>
      <c r="Z485" s="89"/>
      <c r="AA485" s="90"/>
      <c r="AB485" s="90"/>
      <c r="AC485" s="90"/>
    </row>
    <row r="486" spans="3:29" ht="14.1" customHeight="1">
      <c r="C486" s="91"/>
      <c r="D486" s="92"/>
      <c r="E486" s="228"/>
      <c r="F486" s="93"/>
      <c r="G486" s="93"/>
      <c r="I486" s="94"/>
      <c r="J486" s="95"/>
      <c r="K486" s="96"/>
      <c r="L486" s="96"/>
      <c r="M486" s="96"/>
      <c r="N486" s="96"/>
      <c r="O486" s="96"/>
      <c r="P486" s="96"/>
      <c r="Q486" s="97"/>
      <c r="R486" s="97"/>
      <c r="S486" s="89"/>
      <c r="T486" s="89"/>
      <c r="U486" s="89"/>
      <c r="V486" s="89"/>
      <c r="W486" s="89"/>
      <c r="X486" s="89"/>
      <c r="Y486" s="89"/>
      <c r="Z486" s="89"/>
      <c r="AA486" s="90"/>
      <c r="AB486" s="90"/>
      <c r="AC486" s="90"/>
    </row>
    <row r="487" spans="3:29" ht="14.1" customHeight="1">
      <c r="C487" s="91"/>
      <c r="D487" s="92"/>
      <c r="E487" s="228"/>
      <c r="F487" s="93"/>
      <c r="G487" s="93"/>
      <c r="I487" s="94"/>
      <c r="J487" s="95"/>
      <c r="K487" s="96"/>
      <c r="L487" s="96"/>
      <c r="M487" s="96"/>
      <c r="N487" s="96"/>
      <c r="O487" s="96"/>
      <c r="P487" s="96"/>
      <c r="Q487" s="97"/>
      <c r="R487" s="97"/>
      <c r="S487" s="89"/>
      <c r="T487" s="89"/>
      <c r="U487" s="89"/>
      <c r="V487" s="89"/>
      <c r="W487" s="89"/>
      <c r="X487" s="89"/>
      <c r="Y487" s="89"/>
      <c r="Z487" s="89"/>
      <c r="AA487" s="90"/>
      <c r="AB487" s="90"/>
      <c r="AC487" s="90"/>
    </row>
    <row r="488" spans="3:29" ht="14.1" customHeight="1">
      <c r="C488" s="91"/>
      <c r="D488" s="92"/>
      <c r="E488" s="228"/>
      <c r="F488" s="93"/>
      <c r="G488" s="93"/>
      <c r="I488" s="94"/>
      <c r="J488" s="95"/>
      <c r="K488" s="96"/>
      <c r="L488" s="96"/>
      <c r="M488" s="96"/>
      <c r="N488" s="96"/>
      <c r="O488" s="96"/>
      <c r="P488" s="96"/>
      <c r="Q488" s="97"/>
      <c r="R488" s="97"/>
      <c r="S488" s="89"/>
      <c r="T488" s="89"/>
      <c r="U488" s="89"/>
      <c r="V488" s="89"/>
      <c r="W488" s="89"/>
      <c r="X488" s="89"/>
      <c r="Y488" s="89"/>
      <c r="Z488" s="89"/>
      <c r="AA488" s="90"/>
      <c r="AB488" s="90"/>
      <c r="AC488" s="90"/>
    </row>
    <row r="489" spans="3:29" ht="14.1" customHeight="1">
      <c r="C489" s="91"/>
      <c r="D489" s="92"/>
      <c r="E489" s="228"/>
      <c r="F489" s="93"/>
      <c r="G489" s="93"/>
      <c r="I489" s="94"/>
      <c r="J489" s="95"/>
      <c r="K489" s="96"/>
      <c r="L489" s="96"/>
      <c r="M489" s="96"/>
      <c r="N489" s="96"/>
      <c r="O489" s="96"/>
      <c r="P489" s="96"/>
      <c r="Q489" s="97"/>
      <c r="R489" s="97"/>
      <c r="S489" s="89"/>
      <c r="T489" s="89"/>
      <c r="U489" s="89"/>
      <c r="V489" s="89"/>
      <c r="W489" s="89"/>
      <c r="X489" s="89"/>
      <c r="Y489" s="89"/>
      <c r="Z489" s="89"/>
      <c r="AA489" s="90"/>
      <c r="AB489" s="90"/>
      <c r="AC489" s="90"/>
    </row>
    <row r="490" spans="3:29" ht="14.1" customHeight="1">
      <c r="C490" s="91"/>
      <c r="D490" s="92"/>
      <c r="E490" s="228"/>
      <c r="F490" s="93"/>
      <c r="G490" s="93"/>
      <c r="I490" s="94"/>
      <c r="J490" s="95"/>
      <c r="K490" s="96"/>
      <c r="L490" s="96"/>
      <c r="M490" s="96"/>
      <c r="N490" s="96"/>
      <c r="O490" s="96"/>
      <c r="P490" s="96"/>
      <c r="Q490" s="97"/>
      <c r="R490" s="97"/>
      <c r="S490" s="89"/>
      <c r="T490" s="89"/>
      <c r="U490" s="89"/>
      <c r="V490" s="89"/>
      <c r="W490" s="89"/>
      <c r="X490" s="89"/>
      <c r="Y490" s="89"/>
      <c r="Z490" s="89"/>
      <c r="AA490" s="90"/>
      <c r="AB490" s="90"/>
      <c r="AC490" s="90"/>
    </row>
    <row r="491" spans="3:29" ht="14.1" customHeight="1">
      <c r="C491" s="91"/>
      <c r="D491" s="92"/>
      <c r="E491" s="228"/>
      <c r="F491" s="93"/>
      <c r="G491" s="93"/>
      <c r="I491" s="94"/>
      <c r="J491" s="95"/>
      <c r="K491" s="96"/>
      <c r="L491" s="96"/>
      <c r="M491" s="96"/>
      <c r="N491" s="96"/>
      <c r="O491" s="96"/>
      <c r="P491" s="96"/>
      <c r="Q491" s="97"/>
      <c r="R491" s="97"/>
      <c r="S491" s="89"/>
      <c r="T491" s="89"/>
      <c r="U491" s="89"/>
      <c r="V491" s="89"/>
      <c r="W491" s="89"/>
      <c r="X491" s="89"/>
      <c r="Y491" s="89"/>
      <c r="Z491" s="89"/>
      <c r="AA491" s="90"/>
      <c r="AB491" s="90"/>
      <c r="AC491" s="90"/>
    </row>
    <row r="492" spans="3:29" ht="14.1" customHeight="1">
      <c r="C492" s="91"/>
      <c r="D492" s="92"/>
      <c r="E492" s="228"/>
      <c r="F492" s="93"/>
      <c r="G492" s="93"/>
      <c r="I492" s="94"/>
      <c r="J492" s="95"/>
      <c r="K492" s="96"/>
      <c r="L492" s="96"/>
      <c r="M492" s="96"/>
      <c r="N492" s="96"/>
      <c r="O492" s="96"/>
      <c r="P492" s="96"/>
      <c r="Q492" s="97"/>
      <c r="R492" s="97"/>
      <c r="S492" s="89"/>
      <c r="T492" s="89"/>
      <c r="U492" s="89"/>
      <c r="V492" s="89"/>
      <c r="W492" s="89"/>
      <c r="X492" s="89"/>
      <c r="Y492" s="89"/>
      <c r="Z492" s="89"/>
      <c r="AA492" s="90"/>
      <c r="AB492" s="90"/>
      <c r="AC492" s="90"/>
    </row>
    <row r="493" spans="3:29" ht="14.1" customHeight="1">
      <c r="C493" s="91"/>
      <c r="D493" s="92"/>
      <c r="E493" s="228"/>
      <c r="F493" s="93"/>
      <c r="G493" s="93"/>
      <c r="I493" s="94"/>
      <c r="J493" s="95"/>
      <c r="K493" s="96"/>
      <c r="L493" s="96"/>
      <c r="M493" s="96"/>
      <c r="N493" s="96"/>
      <c r="O493" s="96"/>
      <c r="P493" s="96"/>
      <c r="Q493" s="97"/>
      <c r="R493" s="97"/>
      <c r="S493" s="89"/>
      <c r="T493" s="89"/>
      <c r="U493" s="89"/>
      <c r="V493" s="89"/>
      <c r="W493" s="89"/>
      <c r="X493" s="89"/>
      <c r="Y493" s="89"/>
      <c r="Z493" s="89"/>
      <c r="AA493" s="90"/>
      <c r="AB493" s="90"/>
      <c r="AC493" s="90"/>
    </row>
    <row r="494" spans="3:29" ht="14.1" customHeight="1">
      <c r="C494" s="91"/>
      <c r="D494" s="92"/>
      <c r="E494" s="228"/>
      <c r="F494" s="93"/>
      <c r="G494" s="93"/>
      <c r="I494" s="94"/>
      <c r="J494" s="95"/>
      <c r="K494" s="96"/>
      <c r="L494" s="96"/>
      <c r="M494" s="96"/>
      <c r="N494" s="96"/>
      <c r="O494" s="96"/>
      <c r="P494" s="96"/>
      <c r="Q494" s="97"/>
      <c r="R494" s="97"/>
      <c r="S494" s="89"/>
      <c r="T494" s="89"/>
      <c r="U494" s="89"/>
      <c r="V494" s="89"/>
      <c r="W494" s="89"/>
      <c r="X494" s="89"/>
      <c r="Y494" s="89"/>
      <c r="Z494" s="89"/>
      <c r="AA494" s="90"/>
      <c r="AB494" s="90"/>
      <c r="AC494" s="90"/>
    </row>
    <row r="495" spans="3:29" ht="14.1" customHeight="1">
      <c r="C495" s="91"/>
      <c r="D495" s="92"/>
      <c r="E495" s="228"/>
      <c r="F495" s="93"/>
      <c r="G495" s="93"/>
      <c r="I495" s="94"/>
      <c r="J495" s="95"/>
      <c r="K495" s="96"/>
      <c r="L495" s="96"/>
      <c r="M495" s="96"/>
      <c r="N495" s="96"/>
      <c r="O495" s="96"/>
      <c r="P495" s="96"/>
      <c r="Q495" s="97"/>
      <c r="R495" s="97"/>
      <c r="S495" s="89"/>
      <c r="T495" s="89"/>
      <c r="U495" s="89"/>
      <c r="V495" s="89"/>
      <c r="W495" s="89"/>
      <c r="X495" s="89"/>
      <c r="Y495" s="89"/>
      <c r="Z495" s="89"/>
      <c r="AA495" s="90"/>
      <c r="AB495" s="90"/>
      <c r="AC495" s="90"/>
    </row>
    <row r="496" spans="3:29" ht="14.1" customHeight="1">
      <c r="C496" s="91"/>
      <c r="D496" s="92"/>
      <c r="E496" s="228"/>
      <c r="F496" s="93"/>
      <c r="G496" s="93"/>
      <c r="I496" s="94"/>
      <c r="J496" s="95"/>
      <c r="K496" s="96"/>
      <c r="L496" s="96"/>
      <c r="M496" s="96"/>
      <c r="N496" s="96"/>
      <c r="O496" s="96"/>
      <c r="P496" s="96"/>
      <c r="Q496" s="97"/>
      <c r="R496" s="97"/>
      <c r="S496" s="89"/>
      <c r="T496" s="89"/>
      <c r="U496" s="89"/>
      <c r="V496" s="89"/>
      <c r="W496" s="89"/>
      <c r="X496" s="89"/>
      <c r="Y496" s="89"/>
      <c r="Z496" s="89"/>
      <c r="AA496" s="90"/>
      <c r="AB496" s="90"/>
      <c r="AC496" s="90"/>
    </row>
    <row r="497" spans="3:29" ht="14.1" customHeight="1">
      <c r="C497" s="91"/>
      <c r="D497" s="92"/>
      <c r="E497" s="228"/>
      <c r="F497" s="93"/>
      <c r="G497" s="93"/>
      <c r="I497" s="94"/>
      <c r="J497" s="95"/>
      <c r="K497" s="96"/>
      <c r="L497" s="96"/>
      <c r="M497" s="96"/>
      <c r="N497" s="96"/>
      <c r="O497" s="96"/>
      <c r="P497" s="96"/>
      <c r="Q497" s="97"/>
      <c r="R497" s="97"/>
      <c r="S497" s="89"/>
      <c r="T497" s="89"/>
      <c r="U497" s="89"/>
      <c r="V497" s="89"/>
      <c r="W497" s="89"/>
      <c r="X497" s="89"/>
      <c r="Y497" s="89"/>
      <c r="Z497" s="89"/>
      <c r="AA497" s="90"/>
      <c r="AB497" s="90"/>
      <c r="AC497" s="90"/>
    </row>
    <row r="498" spans="3:29" ht="14.1" customHeight="1">
      <c r="C498" s="91"/>
      <c r="D498" s="92"/>
      <c r="E498" s="228"/>
      <c r="F498" s="93"/>
      <c r="G498" s="93"/>
      <c r="I498" s="94"/>
      <c r="J498" s="95"/>
      <c r="K498" s="96"/>
      <c r="L498" s="96"/>
      <c r="M498" s="96"/>
      <c r="N498" s="96"/>
      <c r="O498" s="96"/>
      <c r="P498" s="96"/>
      <c r="Q498" s="97"/>
      <c r="R498" s="97"/>
      <c r="S498" s="89"/>
      <c r="T498" s="89"/>
      <c r="U498" s="89"/>
      <c r="V498" s="89"/>
      <c r="W498" s="89"/>
      <c r="X498" s="89"/>
      <c r="Y498" s="89"/>
      <c r="Z498" s="89"/>
      <c r="AA498" s="90"/>
      <c r="AB498" s="90"/>
      <c r="AC498" s="90"/>
    </row>
    <row r="499" spans="3:29" ht="14.1" customHeight="1">
      <c r="C499" s="91"/>
      <c r="D499" s="92"/>
      <c r="E499" s="228"/>
      <c r="F499" s="93"/>
      <c r="G499" s="93"/>
      <c r="I499" s="94"/>
      <c r="J499" s="95"/>
      <c r="K499" s="96"/>
      <c r="L499" s="96"/>
      <c r="M499" s="96"/>
      <c r="N499" s="96"/>
      <c r="O499" s="96"/>
      <c r="P499" s="96"/>
      <c r="Q499" s="97"/>
      <c r="R499" s="97"/>
      <c r="S499" s="89"/>
      <c r="T499" s="89"/>
      <c r="U499" s="89"/>
      <c r="V499" s="89"/>
      <c r="W499" s="89"/>
      <c r="X499" s="89"/>
      <c r="Y499" s="89"/>
      <c r="Z499" s="89"/>
      <c r="AA499" s="90"/>
      <c r="AB499" s="90"/>
      <c r="AC499" s="90"/>
    </row>
    <row r="500" spans="3:29" ht="14.1" customHeight="1">
      <c r="C500" s="91"/>
      <c r="D500" s="92"/>
      <c r="E500" s="228"/>
      <c r="F500" s="93"/>
      <c r="G500" s="93"/>
      <c r="I500" s="94"/>
      <c r="J500" s="95"/>
      <c r="K500" s="96"/>
      <c r="L500" s="96"/>
      <c r="M500" s="96"/>
      <c r="N500" s="96"/>
      <c r="O500" s="96"/>
      <c r="P500" s="96"/>
      <c r="Q500" s="97"/>
      <c r="R500" s="97"/>
      <c r="S500" s="89"/>
      <c r="T500" s="89"/>
      <c r="U500" s="89"/>
      <c r="V500" s="89"/>
      <c r="W500" s="89"/>
      <c r="X500" s="89"/>
      <c r="Y500" s="89"/>
      <c r="Z500" s="89"/>
      <c r="AA500" s="90"/>
      <c r="AB500" s="90"/>
      <c r="AC500" s="90"/>
    </row>
    <row r="501" spans="3:29" ht="14.1" customHeight="1">
      <c r="C501" s="91"/>
      <c r="D501" s="92"/>
      <c r="E501" s="228"/>
      <c r="F501" s="93"/>
      <c r="G501" s="93"/>
      <c r="I501" s="94"/>
      <c r="J501" s="95"/>
      <c r="K501" s="96"/>
      <c r="L501" s="96"/>
      <c r="M501" s="96"/>
      <c r="N501" s="96"/>
      <c r="O501" s="96"/>
      <c r="P501" s="96"/>
      <c r="Q501" s="97"/>
      <c r="R501" s="97"/>
      <c r="S501" s="89"/>
      <c r="T501" s="89"/>
      <c r="U501" s="89"/>
      <c r="V501" s="89"/>
      <c r="W501" s="89"/>
      <c r="X501" s="89"/>
      <c r="Y501" s="89"/>
      <c r="Z501" s="89"/>
      <c r="AA501" s="90"/>
      <c r="AB501" s="90"/>
      <c r="AC501" s="90"/>
    </row>
    <row r="502" spans="3:29" ht="14.1" customHeight="1">
      <c r="C502" s="91"/>
      <c r="D502" s="92"/>
      <c r="E502" s="228"/>
      <c r="F502" s="93"/>
      <c r="G502" s="93"/>
      <c r="I502" s="94"/>
      <c r="J502" s="95"/>
      <c r="K502" s="96"/>
      <c r="L502" s="96"/>
      <c r="M502" s="96"/>
      <c r="N502" s="96"/>
      <c r="O502" s="96"/>
      <c r="P502" s="96"/>
      <c r="Q502" s="97"/>
      <c r="R502" s="97"/>
      <c r="S502" s="89"/>
      <c r="T502" s="89"/>
      <c r="U502" s="89"/>
      <c r="V502" s="89"/>
      <c r="W502" s="89"/>
      <c r="X502" s="89"/>
      <c r="Y502" s="89"/>
      <c r="Z502" s="89"/>
      <c r="AA502" s="90"/>
      <c r="AB502" s="90"/>
      <c r="AC502" s="90"/>
    </row>
    <row r="503" spans="3:29" ht="14.1" customHeight="1">
      <c r="C503" s="91"/>
      <c r="D503" s="92"/>
      <c r="E503" s="228"/>
      <c r="F503" s="93"/>
      <c r="G503" s="93"/>
      <c r="I503" s="94"/>
      <c r="J503" s="95"/>
      <c r="K503" s="96"/>
      <c r="L503" s="96"/>
      <c r="M503" s="96"/>
      <c r="N503" s="96"/>
      <c r="O503" s="96"/>
      <c r="P503" s="96"/>
      <c r="Q503" s="97"/>
      <c r="R503" s="97"/>
      <c r="S503" s="89"/>
      <c r="T503" s="89"/>
      <c r="U503" s="89"/>
      <c r="V503" s="89"/>
      <c r="W503" s="89"/>
      <c r="X503" s="89"/>
      <c r="Y503" s="89"/>
      <c r="Z503" s="89"/>
      <c r="AA503" s="90"/>
      <c r="AB503" s="90"/>
      <c r="AC503" s="90"/>
    </row>
    <row r="504" spans="3:29" ht="14.1" customHeight="1">
      <c r="C504" s="91"/>
      <c r="D504" s="92"/>
      <c r="E504" s="228"/>
      <c r="F504" s="93"/>
      <c r="G504" s="93"/>
      <c r="I504" s="94"/>
      <c r="J504" s="95"/>
      <c r="K504" s="96"/>
      <c r="L504" s="96"/>
      <c r="M504" s="96"/>
      <c r="N504" s="96"/>
      <c r="O504" s="96"/>
      <c r="P504" s="96"/>
      <c r="Q504" s="97"/>
      <c r="R504" s="97"/>
      <c r="S504" s="89"/>
      <c r="T504" s="89"/>
      <c r="U504" s="89"/>
      <c r="V504" s="89"/>
      <c r="W504" s="89"/>
      <c r="X504" s="89"/>
      <c r="Y504" s="89"/>
      <c r="Z504" s="89"/>
      <c r="AA504" s="90"/>
      <c r="AB504" s="90"/>
      <c r="AC504" s="90"/>
    </row>
    <row r="505" spans="3:29" ht="14.1" customHeight="1">
      <c r="C505" s="91"/>
      <c r="D505" s="92"/>
      <c r="E505" s="228"/>
      <c r="F505" s="93"/>
      <c r="G505" s="93"/>
      <c r="I505" s="94"/>
      <c r="J505" s="95"/>
      <c r="K505" s="96"/>
      <c r="L505" s="96"/>
      <c r="M505" s="96"/>
      <c r="N505" s="96"/>
      <c r="O505" s="96"/>
      <c r="P505" s="96"/>
      <c r="Q505" s="97"/>
      <c r="R505" s="97"/>
      <c r="S505" s="89"/>
      <c r="T505" s="89"/>
      <c r="U505" s="89"/>
      <c r="V505" s="89"/>
      <c r="W505" s="89"/>
      <c r="X505" s="89"/>
      <c r="Y505" s="89"/>
      <c r="Z505" s="89"/>
      <c r="AA505" s="90"/>
      <c r="AB505" s="90"/>
      <c r="AC505" s="90"/>
    </row>
    <row r="506" spans="3:29" ht="14.1" customHeight="1">
      <c r="C506" s="91"/>
      <c r="D506" s="92"/>
      <c r="E506" s="228"/>
      <c r="F506" s="93"/>
      <c r="G506" s="93"/>
      <c r="I506" s="94"/>
      <c r="J506" s="95"/>
      <c r="K506" s="96"/>
      <c r="L506" s="96"/>
      <c r="M506" s="96"/>
      <c r="N506" s="96"/>
      <c r="O506" s="96"/>
      <c r="P506" s="96"/>
      <c r="Q506" s="97"/>
      <c r="R506" s="97"/>
      <c r="S506" s="89"/>
      <c r="T506" s="89"/>
      <c r="U506" s="89"/>
      <c r="V506" s="89"/>
      <c r="W506" s="89"/>
      <c r="X506" s="89"/>
      <c r="Y506" s="89"/>
      <c r="Z506" s="89"/>
      <c r="AA506" s="90"/>
      <c r="AB506" s="90"/>
      <c r="AC506" s="90"/>
    </row>
    <row r="507" spans="3:29" ht="14.1" customHeight="1">
      <c r="C507" s="91"/>
      <c r="D507" s="92"/>
      <c r="E507" s="228"/>
      <c r="F507" s="93"/>
      <c r="G507" s="93"/>
      <c r="I507" s="94"/>
      <c r="J507" s="95"/>
      <c r="K507" s="96"/>
      <c r="L507" s="96"/>
      <c r="M507" s="96"/>
      <c r="N507" s="96"/>
      <c r="O507" s="96"/>
      <c r="P507" s="96"/>
      <c r="Q507" s="97"/>
      <c r="R507" s="97"/>
      <c r="S507" s="89"/>
      <c r="T507" s="89"/>
      <c r="U507" s="89"/>
      <c r="V507" s="89"/>
      <c r="W507" s="89"/>
      <c r="X507" s="89"/>
      <c r="Y507" s="89"/>
      <c r="Z507" s="89"/>
      <c r="AA507" s="90"/>
      <c r="AB507" s="90"/>
      <c r="AC507" s="90"/>
    </row>
    <row r="508" spans="3:29" ht="14.1" customHeight="1">
      <c r="C508" s="91"/>
      <c r="D508" s="92"/>
      <c r="E508" s="228"/>
      <c r="F508" s="93"/>
      <c r="G508" s="93"/>
      <c r="I508" s="94"/>
      <c r="J508" s="95"/>
      <c r="K508" s="96"/>
      <c r="L508" s="96"/>
      <c r="M508" s="96"/>
      <c r="N508" s="96"/>
      <c r="O508" s="96"/>
      <c r="P508" s="96"/>
      <c r="Q508" s="97"/>
      <c r="R508" s="97"/>
      <c r="S508" s="89"/>
      <c r="T508" s="89"/>
      <c r="U508" s="89"/>
      <c r="V508" s="89"/>
      <c r="W508" s="89"/>
      <c r="X508" s="89"/>
      <c r="Y508" s="89"/>
      <c r="Z508" s="89"/>
      <c r="AA508" s="90"/>
      <c r="AB508" s="90"/>
      <c r="AC508" s="90"/>
    </row>
    <row r="509" spans="3:29" ht="14.1" customHeight="1">
      <c r="C509" s="91"/>
      <c r="D509" s="92"/>
      <c r="E509" s="228"/>
      <c r="F509" s="93"/>
      <c r="G509" s="93"/>
      <c r="I509" s="94"/>
      <c r="J509" s="95"/>
      <c r="K509" s="96"/>
      <c r="L509" s="96"/>
      <c r="M509" s="96"/>
      <c r="N509" s="96"/>
      <c r="O509" s="96"/>
      <c r="P509" s="96"/>
      <c r="Q509" s="97"/>
      <c r="R509" s="97"/>
      <c r="S509" s="89"/>
      <c r="T509" s="89"/>
      <c r="U509" s="89"/>
      <c r="V509" s="89"/>
      <c r="W509" s="89"/>
      <c r="X509" s="89"/>
      <c r="Y509" s="89"/>
      <c r="Z509" s="89"/>
      <c r="AA509" s="90"/>
      <c r="AB509" s="90"/>
      <c r="AC509" s="90"/>
    </row>
    <row r="510" spans="3:29" ht="14.1" customHeight="1">
      <c r="C510" s="91"/>
      <c r="D510" s="92"/>
      <c r="E510" s="228"/>
      <c r="F510" s="93"/>
      <c r="G510" s="93"/>
      <c r="I510" s="94"/>
      <c r="J510" s="95"/>
      <c r="K510" s="96"/>
      <c r="L510" s="96"/>
      <c r="M510" s="96"/>
      <c r="N510" s="96"/>
      <c r="O510" s="96"/>
      <c r="P510" s="96"/>
      <c r="Q510" s="97"/>
      <c r="R510" s="97"/>
      <c r="S510" s="89"/>
      <c r="T510" s="89"/>
      <c r="U510" s="89"/>
      <c r="V510" s="89"/>
      <c r="W510" s="89"/>
      <c r="X510" s="89"/>
      <c r="Y510" s="89"/>
      <c r="Z510" s="89"/>
      <c r="AA510" s="90"/>
      <c r="AB510" s="90"/>
      <c r="AC510" s="90"/>
    </row>
    <row r="511" spans="3:29" ht="14.1" customHeight="1">
      <c r="C511" s="91"/>
      <c r="D511" s="92"/>
      <c r="E511" s="228"/>
      <c r="F511" s="93"/>
      <c r="G511" s="93"/>
      <c r="I511" s="94"/>
      <c r="J511" s="95"/>
      <c r="K511" s="96"/>
      <c r="L511" s="96"/>
      <c r="M511" s="96"/>
      <c r="N511" s="96"/>
      <c r="O511" s="96"/>
      <c r="P511" s="96"/>
      <c r="Q511" s="97"/>
      <c r="R511" s="97"/>
      <c r="S511" s="89"/>
      <c r="T511" s="89"/>
      <c r="U511" s="89"/>
      <c r="V511" s="89"/>
      <c r="W511" s="89"/>
      <c r="X511" s="89"/>
      <c r="Y511" s="89"/>
      <c r="Z511" s="89"/>
      <c r="AA511" s="90"/>
      <c r="AB511" s="90"/>
      <c r="AC511" s="90"/>
    </row>
    <row r="512" spans="3:29" ht="14.1" customHeight="1">
      <c r="C512" s="91"/>
      <c r="D512" s="92"/>
      <c r="E512" s="228"/>
      <c r="F512" s="93"/>
      <c r="G512" s="93"/>
      <c r="I512" s="94"/>
      <c r="J512" s="95"/>
      <c r="K512" s="96"/>
      <c r="L512" s="96"/>
      <c r="M512" s="96"/>
      <c r="N512" s="96"/>
      <c r="O512" s="96"/>
      <c r="P512" s="96"/>
      <c r="Q512" s="97"/>
      <c r="R512" s="97"/>
      <c r="S512" s="89"/>
      <c r="T512" s="89"/>
      <c r="U512" s="89"/>
      <c r="V512" s="89"/>
      <c r="W512" s="89"/>
      <c r="X512" s="89"/>
      <c r="Y512" s="89"/>
      <c r="Z512" s="89"/>
      <c r="AA512" s="90"/>
      <c r="AB512" s="90"/>
      <c r="AC512" s="90"/>
    </row>
    <row r="513" spans="3:29" ht="14.1" customHeight="1">
      <c r="C513" s="91"/>
      <c r="D513" s="92"/>
      <c r="E513" s="228"/>
      <c r="F513" s="93"/>
      <c r="G513" s="93"/>
      <c r="I513" s="94"/>
      <c r="J513" s="95"/>
      <c r="K513" s="96"/>
      <c r="L513" s="96"/>
      <c r="M513" s="96"/>
      <c r="N513" s="96"/>
      <c r="O513" s="96"/>
      <c r="P513" s="96"/>
      <c r="Q513" s="97"/>
      <c r="R513" s="97"/>
      <c r="S513" s="89"/>
      <c r="T513" s="89"/>
      <c r="U513" s="89"/>
      <c r="V513" s="89"/>
      <c r="W513" s="89"/>
      <c r="X513" s="89"/>
      <c r="Y513" s="89"/>
      <c r="Z513" s="89"/>
      <c r="AA513" s="90"/>
      <c r="AB513" s="90"/>
      <c r="AC513" s="90"/>
    </row>
    <row r="514" spans="3:29" ht="14.1" customHeight="1">
      <c r="C514" s="91"/>
      <c r="D514" s="92"/>
      <c r="E514" s="228"/>
      <c r="F514" s="93"/>
      <c r="G514" s="93"/>
      <c r="I514" s="94"/>
      <c r="J514" s="95"/>
      <c r="K514" s="96"/>
      <c r="L514" s="96"/>
      <c r="M514" s="96"/>
      <c r="N514" s="96"/>
      <c r="O514" s="96"/>
      <c r="P514" s="96"/>
      <c r="Q514" s="97"/>
      <c r="R514" s="97"/>
      <c r="S514" s="89"/>
      <c r="T514" s="89"/>
      <c r="U514" s="89"/>
      <c r="V514" s="89"/>
      <c r="W514" s="89"/>
      <c r="X514" s="89"/>
      <c r="Y514" s="89"/>
      <c r="Z514" s="89"/>
      <c r="AA514" s="90"/>
      <c r="AB514" s="90"/>
      <c r="AC514" s="90"/>
    </row>
    <row r="515" spans="3:29" ht="14.1" customHeight="1">
      <c r="C515" s="91"/>
      <c r="D515" s="92"/>
      <c r="E515" s="228"/>
      <c r="F515" s="93"/>
      <c r="G515" s="93"/>
      <c r="I515" s="94"/>
      <c r="J515" s="95"/>
      <c r="K515" s="96"/>
      <c r="L515" s="96"/>
      <c r="M515" s="96"/>
      <c r="N515" s="96"/>
      <c r="O515" s="96"/>
      <c r="P515" s="96"/>
      <c r="Q515" s="97"/>
      <c r="R515" s="97"/>
      <c r="S515" s="89"/>
      <c r="T515" s="89"/>
      <c r="U515" s="89"/>
      <c r="V515" s="89"/>
      <c r="W515" s="89"/>
      <c r="X515" s="89"/>
      <c r="Y515" s="89"/>
      <c r="Z515" s="89"/>
      <c r="AA515" s="90"/>
      <c r="AB515" s="90"/>
      <c r="AC515" s="90"/>
    </row>
    <row r="516" spans="3:29" ht="14.1" customHeight="1">
      <c r="C516" s="91"/>
      <c r="D516" s="92"/>
      <c r="E516" s="228"/>
      <c r="F516" s="93"/>
      <c r="G516" s="93"/>
      <c r="I516" s="94"/>
      <c r="J516" s="95"/>
      <c r="K516" s="96"/>
      <c r="L516" s="96"/>
      <c r="M516" s="96"/>
      <c r="N516" s="96"/>
      <c r="O516" s="96"/>
      <c r="P516" s="96"/>
      <c r="Q516" s="97"/>
      <c r="R516" s="97"/>
      <c r="S516" s="89"/>
      <c r="T516" s="89"/>
      <c r="U516" s="89"/>
      <c r="V516" s="89"/>
      <c r="W516" s="89"/>
      <c r="X516" s="89"/>
      <c r="Y516" s="89"/>
      <c r="Z516" s="89"/>
      <c r="AA516" s="90"/>
      <c r="AB516" s="90"/>
      <c r="AC516" s="90"/>
    </row>
    <row r="517" spans="3:29" ht="14.1" customHeight="1">
      <c r="C517" s="91"/>
      <c r="D517" s="92"/>
      <c r="E517" s="228"/>
      <c r="F517" s="93"/>
      <c r="G517" s="93"/>
      <c r="I517" s="94"/>
      <c r="J517" s="95"/>
      <c r="K517" s="96"/>
      <c r="L517" s="96"/>
      <c r="M517" s="96"/>
      <c r="N517" s="96"/>
      <c r="O517" s="96"/>
      <c r="P517" s="96"/>
      <c r="Q517" s="97"/>
      <c r="R517" s="97"/>
      <c r="S517" s="89"/>
      <c r="T517" s="89"/>
      <c r="U517" s="89"/>
      <c r="V517" s="89"/>
      <c r="W517" s="89"/>
      <c r="X517" s="89"/>
      <c r="Y517" s="89"/>
      <c r="Z517" s="89"/>
      <c r="AA517" s="90"/>
      <c r="AB517" s="90"/>
      <c r="AC517" s="90"/>
    </row>
    <row r="518" spans="3:29" ht="14.1" customHeight="1">
      <c r="C518" s="91"/>
      <c r="D518" s="92"/>
      <c r="E518" s="228"/>
      <c r="F518" s="93"/>
      <c r="G518" s="93"/>
      <c r="I518" s="94"/>
      <c r="J518" s="95"/>
      <c r="K518" s="96"/>
      <c r="L518" s="96"/>
      <c r="M518" s="96"/>
      <c r="N518" s="96"/>
      <c r="O518" s="96"/>
      <c r="P518" s="96"/>
      <c r="Q518" s="97"/>
      <c r="R518" s="97"/>
      <c r="S518" s="89"/>
      <c r="T518" s="89"/>
      <c r="U518" s="89"/>
      <c r="V518" s="89"/>
      <c r="W518" s="89"/>
      <c r="X518" s="89"/>
      <c r="Y518" s="89"/>
      <c r="Z518" s="89"/>
      <c r="AA518" s="90"/>
      <c r="AB518" s="90"/>
      <c r="AC518" s="90"/>
    </row>
    <row r="519" spans="3:29" ht="14.1" customHeight="1">
      <c r="C519" s="91"/>
      <c r="D519" s="92"/>
      <c r="E519" s="228"/>
      <c r="F519" s="93"/>
      <c r="G519" s="93"/>
      <c r="I519" s="94"/>
      <c r="J519" s="95"/>
      <c r="K519" s="96"/>
      <c r="L519" s="96"/>
      <c r="M519" s="96"/>
      <c r="N519" s="96"/>
      <c r="O519" s="96"/>
      <c r="P519" s="96"/>
      <c r="Q519" s="97"/>
      <c r="R519" s="97"/>
      <c r="S519" s="89"/>
      <c r="T519" s="89"/>
      <c r="U519" s="89"/>
      <c r="V519" s="89"/>
      <c r="W519" s="89"/>
      <c r="X519" s="89"/>
      <c r="Y519" s="89"/>
      <c r="Z519" s="89"/>
      <c r="AA519" s="90"/>
      <c r="AB519" s="90"/>
      <c r="AC519" s="90"/>
    </row>
    <row r="520" spans="3:29" ht="14.1" customHeight="1">
      <c r="C520" s="91"/>
      <c r="D520" s="92"/>
      <c r="E520" s="228"/>
      <c r="F520" s="93"/>
      <c r="G520" s="93"/>
      <c r="I520" s="94"/>
      <c r="J520" s="95"/>
      <c r="K520" s="96"/>
      <c r="L520" s="96"/>
      <c r="M520" s="96"/>
      <c r="N520" s="96"/>
      <c r="O520" s="96"/>
      <c r="P520" s="96"/>
      <c r="Q520" s="97"/>
      <c r="R520" s="97"/>
      <c r="S520" s="89"/>
      <c r="T520" s="89"/>
      <c r="U520" s="89"/>
      <c r="V520" s="89"/>
      <c r="W520" s="89"/>
      <c r="X520" s="89"/>
      <c r="Y520" s="89"/>
      <c r="Z520" s="89"/>
      <c r="AA520" s="90"/>
      <c r="AB520" s="90"/>
      <c r="AC520" s="90"/>
    </row>
    <row r="521" spans="3:29" ht="14.1" customHeight="1">
      <c r="C521" s="91"/>
      <c r="D521" s="92"/>
      <c r="E521" s="228"/>
      <c r="F521" s="93"/>
      <c r="G521" s="93"/>
      <c r="I521" s="94"/>
      <c r="J521" s="95"/>
      <c r="K521" s="96"/>
      <c r="L521" s="96"/>
      <c r="M521" s="96"/>
      <c r="N521" s="96"/>
      <c r="O521" s="96"/>
      <c r="P521" s="96"/>
      <c r="Q521" s="97"/>
      <c r="R521" s="97"/>
      <c r="S521" s="89"/>
      <c r="T521" s="89"/>
      <c r="U521" s="89"/>
      <c r="V521" s="89"/>
      <c r="W521" s="89"/>
      <c r="X521" s="89"/>
      <c r="Y521" s="89"/>
      <c r="Z521" s="89"/>
      <c r="AA521" s="90"/>
      <c r="AB521" s="90"/>
      <c r="AC521" s="90"/>
    </row>
    <row r="522" spans="3:29" ht="14.1" customHeight="1">
      <c r="C522" s="91"/>
      <c r="D522" s="92"/>
      <c r="E522" s="228"/>
      <c r="F522" s="93"/>
      <c r="G522" s="93"/>
      <c r="I522" s="94"/>
      <c r="J522" s="95"/>
      <c r="K522" s="96"/>
      <c r="L522" s="96"/>
      <c r="M522" s="96"/>
      <c r="N522" s="96"/>
      <c r="O522" s="96"/>
      <c r="P522" s="96"/>
      <c r="Q522" s="97"/>
      <c r="R522" s="97"/>
      <c r="S522" s="89"/>
      <c r="T522" s="89"/>
      <c r="U522" s="89"/>
      <c r="V522" s="89"/>
      <c r="W522" s="89"/>
      <c r="X522" s="89"/>
      <c r="Y522" s="89"/>
      <c r="Z522" s="89"/>
      <c r="AA522" s="90"/>
      <c r="AB522" s="90"/>
      <c r="AC522" s="90"/>
    </row>
    <row r="523" spans="3:29" ht="14.1" customHeight="1">
      <c r="C523" s="91"/>
      <c r="D523" s="92"/>
      <c r="E523" s="228"/>
      <c r="F523" s="93"/>
      <c r="G523" s="93"/>
      <c r="I523" s="94"/>
      <c r="J523" s="95"/>
      <c r="K523" s="96"/>
      <c r="L523" s="96"/>
      <c r="M523" s="96"/>
      <c r="N523" s="96"/>
      <c r="O523" s="96"/>
      <c r="P523" s="96"/>
      <c r="Q523" s="97"/>
      <c r="R523" s="97"/>
      <c r="S523" s="89"/>
      <c r="T523" s="89"/>
      <c r="U523" s="89"/>
      <c r="V523" s="89"/>
      <c r="W523" s="89"/>
      <c r="X523" s="89"/>
      <c r="Y523" s="89"/>
      <c r="Z523" s="89"/>
      <c r="AA523" s="90"/>
      <c r="AB523" s="90"/>
      <c r="AC523" s="90"/>
    </row>
  </sheetData>
  <autoFilter ref="B9:AE270" xr:uid="{00000000-0009-0000-0000-000004000000}">
    <filterColumn colId="0">
      <filters>
        <filter val="Begraafplaats Emmaplein"/>
      </filters>
    </filterColumn>
  </autoFilter>
  <mergeCells count="1">
    <mergeCell ref="X6:Z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4" manualBreakCount="4">
    <brk id="59" min="1" max="21" man="1"/>
    <brk id="109" min="1" max="21" man="1"/>
    <brk id="170" min="1" max="21" man="1"/>
    <brk id="219"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38" activePane="bottomLeft" state="frozen"/>
      <selection pane="bottomLeft" activeCell="H46" sqref="H46"/>
      <selection activeCell="B1" sqref="B1"/>
    </sheetView>
  </sheetViews>
  <sheetFormatPr defaultColWidth="9.28515625" defaultRowHeight="13.15"/>
  <cols>
    <col min="1" max="1" width="45.5703125" style="57" customWidth="1"/>
    <col min="2" max="2" width="18.28515625" style="57" customWidth="1"/>
    <col min="3" max="3" width="18.42578125" style="57" customWidth="1"/>
    <col min="4" max="4" width="10.7109375" style="2" customWidth="1"/>
    <col min="5" max="5" width="11.140625" style="2" customWidth="1"/>
    <col min="6" max="6" width="2.140625" style="2" customWidth="1"/>
    <col min="7" max="7" width="7.85546875" style="2" customWidth="1"/>
    <col min="8" max="8" width="27" style="2" bestFit="1" customWidth="1"/>
    <col min="9" max="16384" width="9.28515625" style="2"/>
  </cols>
  <sheetData>
    <row r="1" spans="1:8">
      <c r="A1" s="371" t="s">
        <v>4</v>
      </c>
      <c r="B1" s="99"/>
      <c r="C1" s="100"/>
      <c r="D1" s="1"/>
      <c r="E1" s="1"/>
      <c r="F1" s="1"/>
      <c r="G1" s="1"/>
    </row>
    <row r="2" spans="1:8">
      <c r="A2" s="100"/>
      <c r="B2" s="100"/>
      <c r="C2" s="100"/>
      <c r="D2" s="1"/>
      <c r="E2" s="1"/>
      <c r="F2" s="1"/>
      <c r="G2" s="1"/>
    </row>
    <row r="3" spans="1:8" ht="15.6">
      <c r="A3" s="37" t="str">
        <f>'2-Kosten per locatie'!A3</f>
        <v>Naam opdrachtgever</v>
      </c>
      <c r="B3" s="45" t="str">
        <f>'2-Kosten per locatie'!B3</f>
        <v>SED organisatie</v>
      </c>
      <c r="C3" s="100"/>
      <c r="D3" s="1"/>
      <c r="E3" s="30"/>
      <c r="F3" s="1"/>
      <c r="G3" s="1"/>
    </row>
    <row r="4" spans="1:8" ht="15.6">
      <c r="A4" s="37" t="str">
        <f>'2-Kosten per locatie'!A4</f>
        <v>Calculatie onderdeel</v>
      </c>
      <c r="B4" s="45" t="e">
        <f ca="1">MID(CELL("bestandsnaam",$C$9),SEARCH("]",CELL("bestandsnaam",$C$9),1)+1,256)</f>
        <v>#VALUE!</v>
      </c>
      <c r="C4" s="101"/>
      <c r="D4" s="15"/>
      <c r="E4" s="4"/>
      <c r="F4" s="4"/>
      <c r="G4" s="4"/>
    </row>
    <row r="5" spans="1:8" ht="15.6">
      <c r="A5" s="37" t="str">
        <f>'2-Kosten per locatie'!A5</f>
        <v>Gebouw/plaats</v>
      </c>
      <c r="B5" s="45" t="str">
        <f>'2-Kosten per locatie'!B5</f>
        <v>Perceel 1</v>
      </c>
      <c r="C5" s="37"/>
      <c r="D5" s="8"/>
      <c r="E5" s="16"/>
      <c r="F5" s="5"/>
      <c r="G5" s="4"/>
    </row>
    <row r="6" spans="1:8" ht="15.6">
      <c r="A6" s="37" t="str">
        <f>'2-Kosten per locatie'!A6</f>
        <v>Referentie nummer</v>
      </c>
      <c r="B6" s="45">
        <f>'2-Kosten per locatie'!B6</f>
        <v>0</v>
      </c>
      <c r="C6" s="77"/>
      <c r="D6" s="8"/>
      <c r="E6" s="32"/>
      <c r="F6" s="31"/>
      <c r="G6" s="33"/>
      <c r="H6" s="34"/>
    </row>
    <row r="7" spans="1:8" ht="15.6">
      <c r="A7" s="37" t="str">
        <f>'2-Kosten per locatie'!A7</f>
        <v>Naam dienstverlener</v>
      </c>
      <c r="B7" s="45">
        <f>'2-Kosten per locatie'!B7</f>
        <v>0</v>
      </c>
      <c r="C7" s="77"/>
      <c r="D7" s="8"/>
      <c r="E7" s="16"/>
      <c r="F7" s="5"/>
      <c r="G7" s="4"/>
    </row>
    <row r="8" spans="1:8" ht="15.6">
      <c r="A8" s="37" t="str">
        <f>'2-Kosten per locatie'!A8</f>
        <v>Prijspeil</v>
      </c>
      <c r="B8" s="231">
        <f>'2-Kosten per locatie'!B8</f>
        <v>46023</v>
      </c>
      <c r="C8" s="102"/>
      <c r="D8" s="16"/>
      <c r="E8" s="16"/>
      <c r="F8" s="5"/>
      <c r="G8" s="4"/>
    </row>
    <row r="9" spans="1:8" ht="18.600000000000001">
      <c r="A9" s="196"/>
      <c r="B9" s="102"/>
      <c r="C9" s="102"/>
      <c r="D9" s="16"/>
      <c r="E9" s="16"/>
      <c r="F9" s="5"/>
      <c r="G9" s="4"/>
    </row>
    <row r="10" spans="1:8" ht="21">
      <c r="A10" s="449" t="s">
        <v>513</v>
      </c>
      <c r="B10" s="450"/>
      <c r="C10" s="451"/>
      <c r="D10" s="16"/>
      <c r="E10" s="16"/>
      <c r="F10" s="5"/>
      <c r="G10" s="4"/>
    </row>
    <row r="11" spans="1:8">
      <c r="A11" s="103"/>
      <c r="B11" s="104"/>
      <c r="C11" s="104"/>
      <c r="D11" s="16"/>
      <c r="E11" s="16"/>
      <c r="F11" s="4"/>
      <c r="G11" s="4"/>
    </row>
    <row r="12" spans="1:8">
      <c r="A12" s="452"/>
      <c r="B12" s="447"/>
      <c r="C12" s="453" t="s">
        <v>514</v>
      </c>
      <c r="D12" s="16"/>
      <c r="E12" s="16"/>
      <c r="F12" s="5"/>
      <c r="G12" s="4"/>
    </row>
    <row r="13" spans="1:8">
      <c r="A13" s="454" t="s">
        <v>515</v>
      </c>
      <c r="B13" s="447"/>
      <c r="C13" s="232"/>
      <c r="D13" s="16"/>
      <c r="E13" s="16"/>
      <c r="F13" s="17"/>
      <c r="G13" s="4"/>
    </row>
    <row r="14" spans="1:8">
      <c r="A14" s="454" t="s">
        <v>516</v>
      </c>
      <c r="B14" s="447"/>
      <c r="C14" s="232"/>
      <c r="D14" s="16"/>
      <c r="E14" s="16"/>
      <c r="F14" s="17"/>
      <c r="G14" s="4"/>
    </row>
    <row r="15" spans="1:8">
      <c r="A15" s="454" t="s">
        <v>517</v>
      </c>
      <c r="B15" s="447"/>
      <c r="C15" s="232"/>
      <c r="D15" s="16"/>
      <c r="E15" s="16"/>
      <c r="F15" s="17"/>
      <c r="G15" s="4"/>
    </row>
    <row r="16" spans="1:8">
      <c r="A16" s="455" t="s">
        <v>63</v>
      </c>
      <c r="B16" s="456"/>
      <c r="C16" s="312">
        <f>SUM(C13:C15)</f>
        <v>0</v>
      </c>
      <c r="D16" s="16"/>
      <c r="E16" s="16"/>
      <c r="F16" s="4"/>
    </row>
    <row r="17" spans="1:7">
      <c r="A17" s="455"/>
      <c r="B17" s="456"/>
      <c r="C17" s="312"/>
      <c r="D17" s="16"/>
      <c r="E17" s="16"/>
      <c r="F17" s="4"/>
    </row>
    <row r="18" spans="1:7">
      <c r="A18" s="457" t="s">
        <v>518</v>
      </c>
      <c r="B18" s="458"/>
      <c r="C18" s="232"/>
      <c r="D18" s="16"/>
      <c r="E18" s="16"/>
      <c r="F18" s="4"/>
    </row>
    <row r="19" spans="1:7">
      <c r="A19" s="454" t="s">
        <v>519</v>
      </c>
      <c r="B19" s="459"/>
      <c r="C19" s="232"/>
      <c r="D19" s="16"/>
      <c r="E19" s="16"/>
      <c r="F19" s="4"/>
    </row>
    <row r="20" spans="1:7">
      <c r="A20" s="457" t="s">
        <v>520</v>
      </c>
      <c r="B20" s="458"/>
      <c r="C20" s="232"/>
      <c r="D20" s="16"/>
      <c r="E20" s="16"/>
      <c r="F20" s="4"/>
    </row>
    <row r="21" spans="1:7">
      <c r="A21" s="457" t="s">
        <v>521</v>
      </c>
      <c r="B21" s="458"/>
      <c r="C21" s="313" t="e">
        <f>C34</f>
        <v>#DIV/0!</v>
      </c>
      <c r="D21" s="16"/>
      <c r="E21" s="16"/>
      <c r="F21" s="4"/>
    </row>
    <row r="22" spans="1:7">
      <c r="A22" s="457" t="s">
        <v>522</v>
      </c>
      <c r="B22" s="458"/>
      <c r="C22" s="232"/>
      <c r="D22" s="16"/>
      <c r="E22" s="16"/>
      <c r="F22" s="4"/>
    </row>
    <row r="23" spans="1:7">
      <c r="A23" s="457" t="s">
        <v>523</v>
      </c>
      <c r="B23" s="458"/>
      <c r="C23" s="232"/>
      <c r="D23" s="16"/>
      <c r="E23" s="16"/>
      <c r="F23" s="4"/>
    </row>
    <row r="24" spans="1:7">
      <c r="A24" s="460" t="s">
        <v>524</v>
      </c>
      <c r="B24" s="461"/>
      <c r="C24" s="462" t="e">
        <f>SUM(C16:C23)</f>
        <v>#DIV/0!</v>
      </c>
      <c r="D24" s="16"/>
      <c r="E24" s="16"/>
      <c r="F24" s="4"/>
    </row>
    <row r="25" spans="1:7">
      <c r="A25" s="105"/>
      <c r="B25" s="106"/>
      <c r="C25" s="107"/>
      <c r="D25" s="16"/>
      <c r="E25" s="16"/>
      <c r="F25" s="7"/>
      <c r="G25" s="4"/>
    </row>
    <row r="26" spans="1:7" ht="21">
      <c r="A26" s="449" t="s">
        <v>525</v>
      </c>
      <c r="B26" s="450"/>
      <c r="C26" s="451"/>
      <c r="D26" s="16"/>
      <c r="E26" s="16"/>
      <c r="F26" s="5"/>
      <c r="G26" s="4"/>
    </row>
    <row r="27" spans="1:7">
      <c r="A27" s="103"/>
      <c r="B27" s="104"/>
      <c r="C27" s="104"/>
      <c r="D27" s="16"/>
      <c r="E27" s="16"/>
      <c r="F27" s="4"/>
      <c r="G27" s="4"/>
    </row>
    <row r="28" spans="1:7">
      <c r="A28" s="104"/>
      <c r="B28" s="104"/>
      <c r="C28" s="314" t="s">
        <v>526</v>
      </c>
      <c r="D28" s="16"/>
      <c r="E28" s="16"/>
      <c r="F28" s="4"/>
      <c r="G28" s="4"/>
    </row>
    <row r="29" spans="1:7">
      <c r="A29" s="454" t="s">
        <v>527</v>
      </c>
      <c r="B29" s="447"/>
      <c r="C29" s="315">
        <f>'6-Opbouw uurtarief productie'!E20</f>
        <v>0</v>
      </c>
      <c r="D29" s="16"/>
      <c r="E29" s="16"/>
      <c r="G29" s="4"/>
    </row>
    <row r="30" spans="1:7">
      <c r="A30" s="454" t="s">
        <v>528</v>
      </c>
      <c r="B30" s="463" t="s">
        <v>529</v>
      </c>
      <c r="C30" s="316"/>
      <c r="D30" s="16"/>
      <c r="E30" s="16"/>
      <c r="F30" s="5"/>
      <c r="G30" s="4"/>
    </row>
    <row r="31" spans="1:7">
      <c r="A31" s="454" t="s">
        <v>530</v>
      </c>
      <c r="B31" s="447"/>
      <c r="C31" s="233">
        <f>C29+C30</f>
        <v>0</v>
      </c>
      <c r="D31" s="16"/>
      <c r="E31" s="16"/>
      <c r="F31" s="5"/>
      <c r="G31" s="4"/>
    </row>
    <row r="32" spans="1:7">
      <c r="A32" s="464" t="s">
        <v>531</v>
      </c>
      <c r="B32" s="108"/>
      <c r="C32" s="317"/>
      <c r="E32" s="18"/>
      <c r="F32" s="5"/>
      <c r="G32" s="4"/>
    </row>
    <row r="33" spans="1:7">
      <c r="A33" s="103"/>
      <c r="B33" s="465"/>
      <c r="C33" s="234"/>
      <c r="E33" s="3"/>
      <c r="F33" s="4"/>
      <c r="G33" s="4"/>
    </row>
    <row r="34" spans="1:7">
      <c r="A34" s="466" t="s">
        <v>532</v>
      </c>
      <c r="B34" s="467"/>
      <c r="C34" s="318" t="e">
        <f>(C31/C29)*C32</f>
        <v>#DIV/0!</v>
      </c>
      <c r="E34" s="19"/>
      <c r="F34" s="5"/>
      <c r="G34" s="20"/>
    </row>
    <row r="35" spans="1:7">
      <c r="A35" s="103"/>
      <c r="B35" s="104"/>
      <c r="C35" s="104"/>
      <c r="E35" s="19"/>
      <c r="F35" s="5"/>
      <c r="G35" s="4"/>
    </row>
    <row r="36" spans="1:7" ht="21">
      <c r="A36" s="468" t="s">
        <v>533</v>
      </c>
      <c r="B36" s="469"/>
      <c r="C36" s="470"/>
      <c r="E36" s="19"/>
      <c r="F36" s="5"/>
      <c r="G36" s="4"/>
    </row>
    <row r="37" spans="1:7">
      <c r="A37" s="105"/>
      <c r="B37" s="106"/>
      <c r="C37" s="107"/>
      <c r="E37" s="19"/>
      <c r="F37" s="5"/>
      <c r="G37" s="4"/>
    </row>
    <row r="38" spans="1:7" ht="16.149999999999999">
      <c r="A38" s="105"/>
      <c r="B38" s="319" t="s">
        <v>534</v>
      </c>
      <c r="C38" s="107"/>
      <c r="E38" s="19"/>
      <c r="F38" s="5"/>
      <c r="G38" s="4"/>
    </row>
    <row r="39" spans="1:7">
      <c r="A39" s="320" t="s">
        <v>535</v>
      </c>
      <c r="B39" s="321">
        <v>365</v>
      </c>
      <c r="C39" s="107"/>
      <c r="E39" s="19"/>
      <c r="F39" s="5"/>
      <c r="G39" s="9"/>
    </row>
    <row r="40" spans="1:7">
      <c r="A40" s="320" t="s">
        <v>536</v>
      </c>
      <c r="B40" s="321">
        <v>104</v>
      </c>
      <c r="C40" s="107"/>
      <c r="E40" s="19"/>
      <c r="F40" s="5"/>
      <c r="G40" s="9"/>
    </row>
    <row r="41" spans="1:7">
      <c r="A41" s="322" t="s">
        <v>537</v>
      </c>
      <c r="B41" s="323">
        <f>B39-B40</f>
        <v>261</v>
      </c>
      <c r="C41" s="107"/>
      <c r="E41" s="19"/>
      <c r="F41" s="5"/>
      <c r="G41" s="6"/>
    </row>
    <row r="42" spans="1:7">
      <c r="A42" s="324"/>
      <c r="B42" s="325"/>
      <c r="C42" s="107"/>
      <c r="E42" s="19"/>
      <c r="F42" s="5"/>
      <c r="G42" s="6"/>
    </row>
    <row r="43" spans="1:7">
      <c r="A43" s="320" t="s">
        <v>538</v>
      </c>
      <c r="B43" s="326"/>
      <c r="C43" s="107"/>
      <c r="E43" s="19"/>
      <c r="F43" s="5"/>
      <c r="G43" s="6"/>
    </row>
    <row r="44" spans="1:7">
      <c r="A44" s="320" t="s">
        <v>539</v>
      </c>
      <c r="B44" s="326"/>
      <c r="C44" s="107"/>
      <c r="E44" s="19"/>
      <c r="F44" s="5"/>
      <c r="G44" s="6"/>
    </row>
    <row r="45" spans="1:7">
      <c r="A45" s="320" t="s">
        <v>540</v>
      </c>
      <c r="B45" s="326"/>
      <c r="C45" s="107"/>
      <c r="E45" s="19"/>
      <c r="F45" s="5"/>
      <c r="G45" s="6"/>
    </row>
    <row r="46" spans="1:7">
      <c r="A46" s="320" t="s">
        <v>541</v>
      </c>
      <c r="B46" s="326"/>
      <c r="C46" s="107"/>
      <c r="E46" s="19"/>
      <c r="F46" s="5"/>
      <c r="G46" s="6"/>
    </row>
    <row r="47" spans="1:7">
      <c r="A47" s="322" t="s">
        <v>542</v>
      </c>
      <c r="B47" s="323">
        <f>B41-SUM(B43:B46)</f>
        <v>261</v>
      </c>
      <c r="C47" s="107"/>
      <c r="E47" s="19"/>
      <c r="F47" s="5"/>
      <c r="G47" s="6"/>
    </row>
    <row r="48" spans="1:7">
      <c r="A48" s="327"/>
      <c r="B48" s="325"/>
      <c r="C48" s="107"/>
      <c r="E48" s="19"/>
      <c r="F48" s="5"/>
      <c r="G48" s="6"/>
    </row>
    <row r="49" spans="1:7">
      <c r="A49" s="328" t="s">
        <v>543</v>
      </c>
      <c r="B49" s="329">
        <f>IF(B43=0,0,B43/$B$47)</f>
        <v>0</v>
      </c>
      <c r="C49" s="107"/>
      <c r="E49" s="19"/>
      <c r="F49" s="5"/>
      <c r="G49" s="6"/>
    </row>
    <row r="50" spans="1:7">
      <c r="A50" s="328" t="s">
        <v>539</v>
      </c>
      <c r="B50" s="329">
        <f>IF(B44=0,0,B44/$B$47)</f>
        <v>0</v>
      </c>
      <c r="C50" s="107"/>
      <c r="E50" s="19"/>
      <c r="F50" s="5"/>
      <c r="G50" s="6"/>
    </row>
    <row r="51" spans="1:7">
      <c r="A51" s="320" t="s">
        <v>540</v>
      </c>
      <c r="B51" s="329">
        <f>IF(B45=0,0,B45/$B$47)</f>
        <v>0</v>
      </c>
      <c r="C51" s="107"/>
      <c r="E51" s="19"/>
      <c r="F51" s="5"/>
      <c r="G51" s="6"/>
    </row>
    <row r="52" spans="1:7">
      <c r="A52" s="328" t="s">
        <v>541</v>
      </c>
      <c r="B52" s="329">
        <f>IF(B46=0,0,B46/$B$47)</f>
        <v>0</v>
      </c>
      <c r="C52" s="107"/>
      <c r="E52" s="19"/>
      <c r="F52" s="5"/>
      <c r="G52" s="10"/>
    </row>
    <row r="53" spans="1:7">
      <c r="A53" s="322" t="s">
        <v>544</v>
      </c>
      <c r="B53" s="330">
        <f>SUM(B49:B52)</f>
        <v>0</v>
      </c>
      <c r="C53" s="107"/>
      <c r="E53" s="19"/>
      <c r="F53" s="5"/>
      <c r="G53" s="11"/>
    </row>
    <row r="54" spans="1:7">
      <c r="A54" s="109"/>
      <c r="B54" s="109"/>
      <c r="C54" s="109"/>
      <c r="E54" s="19"/>
      <c r="F54" s="5"/>
      <c r="G54" s="1"/>
    </row>
    <row r="55" spans="1:7" ht="31.15" customHeight="1">
      <c r="A55" s="471" t="s">
        <v>545</v>
      </c>
      <c r="B55" s="472"/>
      <c r="C55" s="473"/>
      <c r="E55" s="19"/>
      <c r="F55" s="5"/>
      <c r="G55" s="1"/>
    </row>
    <row r="58" spans="1:7" ht="13.9">
      <c r="A58" s="110"/>
      <c r="B58" s="111"/>
    </row>
    <row r="59" spans="1:7" ht="13.9">
      <c r="A59" s="110"/>
      <c r="B59" s="111"/>
    </row>
    <row r="60" spans="1:7" ht="13.9">
      <c r="A60" s="110"/>
      <c r="B60" s="111"/>
    </row>
    <row r="61" spans="1:7" ht="13.9">
      <c r="A61" s="110"/>
      <c r="B61" s="111"/>
    </row>
    <row r="62" spans="1:7" ht="13.9">
      <c r="A62" s="112"/>
      <c r="B62" s="111"/>
    </row>
    <row r="63" spans="1:7" ht="13.9">
      <c r="A63" s="111"/>
      <c r="B63" s="111"/>
    </row>
    <row r="64" spans="1:7" ht="13.9">
      <c r="A64" s="111"/>
      <c r="B64" s="111"/>
    </row>
    <row r="65" spans="1:3" ht="13.9">
      <c r="A65" s="111"/>
      <c r="B65" s="111"/>
    </row>
    <row r="66" spans="1:3" ht="13.9">
      <c r="A66" s="111"/>
      <c r="B66" s="111"/>
    </row>
    <row r="67" spans="1:3" ht="13.9">
      <c r="A67" s="111"/>
      <c r="B67" s="111"/>
    </row>
    <row r="68" spans="1:3" ht="13.9">
      <c r="A68" s="111"/>
      <c r="B68" s="111"/>
    </row>
    <row r="69" spans="1:3" ht="13.9">
      <c r="A69" s="111"/>
      <c r="B69" s="111"/>
    </row>
    <row r="70" spans="1:3" ht="13.9">
      <c r="A70" s="111"/>
      <c r="B70" s="113"/>
    </row>
    <row r="71" spans="1:3" ht="13.9">
      <c r="A71" s="111"/>
      <c r="B71" s="111"/>
    </row>
    <row r="72" spans="1:3" ht="13.9">
      <c r="B72" s="111"/>
    </row>
    <row r="73" spans="1:3" ht="13.9">
      <c r="A73" s="111"/>
      <c r="B73" s="111"/>
      <c r="C73" s="111"/>
    </row>
    <row r="74" spans="1:3" ht="13.9">
      <c r="A74" s="114"/>
      <c r="B74" s="111"/>
      <c r="C74" s="114"/>
    </row>
    <row r="75" spans="1:3" ht="13.9">
      <c r="A75" s="111"/>
      <c r="B75" s="111"/>
      <c r="C75" s="111"/>
    </row>
    <row r="76" spans="1:3" ht="13.9">
      <c r="A76" s="111"/>
      <c r="B76" s="111"/>
      <c r="C76" s="111"/>
    </row>
    <row r="77" spans="1:3" ht="13.9">
      <c r="A77" s="111"/>
      <c r="B77" s="111"/>
      <c r="C77" s="111"/>
    </row>
    <row r="78" spans="1:3" ht="13.9">
      <c r="A78" s="114"/>
      <c r="B78" s="111"/>
      <c r="C78" s="114"/>
    </row>
    <row r="79" spans="1:3" ht="13.9">
      <c r="A79" s="114"/>
      <c r="B79" s="111"/>
      <c r="C79" s="114"/>
    </row>
    <row r="80" spans="1:3" ht="13.9">
      <c r="A80" s="114"/>
      <c r="B80" s="111"/>
      <c r="C80" s="114"/>
    </row>
    <row r="81" spans="1:2" ht="13.9">
      <c r="A81" s="111"/>
      <c r="B81" s="111"/>
    </row>
    <row r="82" spans="1:2" ht="13.9">
      <c r="A82" s="111"/>
      <c r="B82" s="111"/>
    </row>
    <row r="83" spans="1:2" ht="13.9">
      <c r="A83" s="111"/>
      <c r="B83" s="111"/>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4"/>
  <sheetViews>
    <sheetView showGridLines="0" showZeros="0" showOutlineSymbols="0" zoomScale="93" zoomScaleNormal="90" zoomScalePageLayoutView="50" workbookViewId="0">
      <pane ySplit="10" topLeftCell="A34" activePane="bottomLeft" state="frozen"/>
      <selection pane="bottomLeft" activeCell="N47" sqref="N47"/>
      <selection activeCell="B1" sqref="B1"/>
    </sheetView>
  </sheetViews>
  <sheetFormatPr defaultColWidth="11.42578125" defaultRowHeight="13.15"/>
  <cols>
    <col min="1" max="1" width="35.85546875" style="57" customWidth="1"/>
    <col min="2" max="2" width="21.7109375" style="57" customWidth="1"/>
    <col min="3" max="3" width="19.28515625" style="57" bestFit="1" customWidth="1"/>
    <col min="4" max="4" width="2" style="57" customWidth="1"/>
    <col min="5" max="5" width="14.42578125" style="57" customWidth="1"/>
    <col min="6" max="6" width="12.28515625" style="57" customWidth="1"/>
    <col min="7" max="7" width="9.85546875" style="57" customWidth="1"/>
    <col min="8" max="8" width="27.5703125" style="57" customWidth="1"/>
    <col min="9" max="15" width="11.42578125" style="57"/>
    <col min="16" max="16" width="14" style="57" customWidth="1"/>
    <col min="17" max="17" width="11.42578125" style="57"/>
    <col min="18" max="18" width="13.42578125" style="57" customWidth="1"/>
    <col min="19" max="21" width="11.42578125" style="57"/>
    <col min="22" max="16384" width="11.42578125" style="2"/>
  </cols>
  <sheetData>
    <row r="1" spans="1:30" ht="12.75" customHeight="1">
      <c r="A1" s="371" t="s">
        <v>4</v>
      </c>
      <c r="B1" s="99"/>
      <c r="C1" s="100"/>
      <c r="D1" s="100"/>
      <c r="E1" s="100"/>
      <c r="F1" s="100"/>
      <c r="H1" s="422"/>
      <c r="I1" s="422"/>
      <c r="J1" s="422"/>
      <c r="K1" s="422"/>
      <c r="L1" s="422"/>
      <c r="M1" s="422"/>
      <c r="N1" s="422"/>
      <c r="P1" s="366"/>
    </row>
    <row r="2" spans="1:30">
      <c r="A2" s="100"/>
      <c r="B2" s="115"/>
      <c r="C2" s="116"/>
      <c r="D2" s="115"/>
      <c r="E2" s="117"/>
      <c r="F2" s="118"/>
      <c r="H2" s="422"/>
      <c r="I2" s="422"/>
      <c r="J2" s="422"/>
      <c r="K2" s="422"/>
      <c r="L2" s="422"/>
      <c r="M2" s="422"/>
      <c r="N2" s="422"/>
      <c r="P2" s="366"/>
    </row>
    <row r="3" spans="1:30" ht="14.25" customHeight="1">
      <c r="A3" s="37" t="str">
        <f>'2-Kosten per locatie'!A3</f>
        <v>Naam opdrachtgever</v>
      </c>
      <c r="B3" s="119" t="str">
        <f>'2-Kosten per locatie'!B3</f>
        <v>SED organisatie</v>
      </c>
      <c r="C3" s="120"/>
      <c r="D3" s="115"/>
      <c r="E3" s="121"/>
      <c r="F3" s="122"/>
      <c r="H3" s="422"/>
      <c r="I3" s="422"/>
      <c r="J3" s="422"/>
      <c r="K3" s="422"/>
      <c r="L3" s="422"/>
      <c r="M3" s="422"/>
      <c r="N3" s="422"/>
      <c r="P3" s="366"/>
    </row>
    <row r="4" spans="1:30" ht="15.75" customHeight="1">
      <c r="A4" s="37" t="str">
        <f>'2-Kosten per locatie'!A4</f>
        <v>Calculatie onderdeel</v>
      </c>
      <c r="B4" s="123" t="e">
        <f ca="1">MID(CELL("bestandsnaam",$C$9),SEARCH("]",CELL("bestandsnaam",$C$9),1)+1,256)</f>
        <v>#VALUE!</v>
      </c>
      <c r="C4" s="124"/>
      <c r="D4" s="125"/>
      <c r="H4" s="422"/>
      <c r="I4" s="422"/>
      <c r="J4" s="422"/>
      <c r="K4" s="422"/>
      <c r="L4" s="422"/>
      <c r="M4" s="422"/>
      <c r="N4" s="422"/>
      <c r="P4" s="366"/>
    </row>
    <row r="5" spans="1:30" ht="15.6">
      <c r="A5" s="37" t="str">
        <f>'2-Kosten per locatie'!A5</f>
        <v>Gebouw/plaats</v>
      </c>
      <c r="B5" s="119" t="str">
        <f>'2-Kosten per locatie'!B5</f>
        <v>Perceel 1</v>
      </c>
      <c r="C5" s="124"/>
      <c r="D5" s="125"/>
      <c r="H5" s="422"/>
      <c r="I5" s="422"/>
      <c r="J5" s="422"/>
      <c r="K5" s="422"/>
      <c r="L5" s="422"/>
      <c r="M5" s="422"/>
      <c r="N5" s="422"/>
      <c r="P5" s="366"/>
    </row>
    <row r="6" spans="1:30" ht="15.6">
      <c r="A6" s="37" t="str">
        <f>'2-Kosten per locatie'!A6</f>
        <v>Referentie nummer</v>
      </c>
      <c r="B6" s="119">
        <f>'2-Kosten per locatie'!B6</f>
        <v>0</v>
      </c>
      <c r="C6" s="124"/>
      <c r="D6" s="125"/>
      <c r="H6" s="126"/>
      <c r="I6" s="126"/>
      <c r="J6" s="126"/>
      <c r="K6" s="126"/>
      <c r="L6" s="126"/>
      <c r="M6" s="126"/>
      <c r="N6" s="126"/>
      <c r="P6" s="366"/>
    </row>
    <row r="7" spans="1:30" ht="15.6">
      <c r="A7" s="37" t="str">
        <f>'2-Kosten per locatie'!A7</f>
        <v>Naam dienstverlener</v>
      </c>
      <c r="B7" s="119">
        <f>'2-Kosten per locatie'!B7</f>
        <v>0</v>
      </c>
      <c r="C7" s="124"/>
      <c r="D7" s="125"/>
      <c r="H7" s="126"/>
      <c r="I7" s="126"/>
      <c r="J7" s="126"/>
      <c r="K7" s="126"/>
      <c r="L7" s="126"/>
      <c r="M7" s="126"/>
      <c r="N7" s="126"/>
      <c r="P7" s="366"/>
    </row>
    <row r="8" spans="1:30" ht="15.6">
      <c r="A8" s="37" t="str">
        <f>'2-Kosten per locatie'!A8</f>
        <v>Prijspeil</v>
      </c>
      <c r="B8" s="253">
        <f>'2-Kosten per locatie'!B8</f>
        <v>46023</v>
      </c>
      <c r="C8" s="124"/>
      <c r="D8" s="125"/>
      <c r="J8" s="126"/>
      <c r="K8" s="126"/>
      <c r="L8" s="126"/>
      <c r="M8" s="126"/>
      <c r="N8" s="126"/>
      <c r="O8" s="127"/>
      <c r="P8" s="366"/>
    </row>
    <row r="9" spans="1:30" ht="15.6">
      <c r="A9" s="128"/>
      <c r="B9" s="129"/>
      <c r="C9" s="130"/>
      <c r="D9" s="125"/>
      <c r="E9" s="131"/>
      <c r="F9" s="132"/>
      <c r="P9" s="366"/>
    </row>
    <row r="10" spans="1:30" s="21" customFormat="1" ht="30.75" customHeight="1">
      <c r="A10" s="474" t="s">
        <v>546</v>
      </c>
      <c r="B10" s="475"/>
      <c r="C10" s="476"/>
      <c r="D10" s="197"/>
      <c r="E10" s="477" t="s">
        <v>547</v>
      </c>
      <c r="F10" s="478"/>
      <c r="G10" s="198"/>
      <c r="H10" s="474" t="s">
        <v>548</v>
      </c>
      <c r="I10" s="423" t="s">
        <v>549</v>
      </c>
      <c r="J10" s="424"/>
      <c r="K10" s="424"/>
      <c r="L10" s="424"/>
      <c r="M10" s="424"/>
      <c r="N10" s="424"/>
      <c r="O10" s="127"/>
      <c r="P10" s="366"/>
      <c r="Q10" s="57"/>
      <c r="R10" s="57"/>
      <c r="S10" s="57"/>
      <c r="T10" s="57"/>
      <c r="U10" s="57"/>
      <c r="V10" s="2"/>
    </row>
    <row r="11" spans="1:30" ht="30" customHeight="1">
      <c r="A11" s="479"/>
      <c r="B11" s="480" t="s">
        <v>550</v>
      </c>
      <c r="C11" s="481" t="s">
        <v>550</v>
      </c>
      <c r="D11" s="125"/>
      <c r="E11" s="235"/>
      <c r="F11" s="331"/>
      <c r="H11" s="479"/>
      <c r="I11" s="255">
        <v>1</v>
      </c>
      <c r="J11" s="255">
        <v>2</v>
      </c>
      <c r="K11" s="255">
        <v>3</v>
      </c>
      <c r="L11" s="255">
        <v>4</v>
      </c>
      <c r="M11" s="255">
        <v>5</v>
      </c>
      <c r="N11" s="255">
        <v>6</v>
      </c>
      <c r="P11" s="367"/>
    </row>
    <row r="12" spans="1:30">
      <c r="A12" s="479" t="s">
        <v>551</v>
      </c>
      <c r="B12" s="482" t="s">
        <v>552</v>
      </c>
      <c r="C12" s="483"/>
      <c r="D12" s="125"/>
      <c r="E12" s="414"/>
      <c r="F12" s="237"/>
      <c r="H12" s="479" t="s">
        <v>553</v>
      </c>
      <c r="I12" s="412">
        <v>12</v>
      </c>
      <c r="J12" s="412">
        <v>12.43</v>
      </c>
      <c r="K12" s="412">
        <v>12.91</v>
      </c>
      <c r="L12" s="412">
        <v>13.55</v>
      </c>
      <c r="M12" s="412">
        <v>14.07</v>
      </c>
      <c r="N12" s="412">
        <v>14.78</v>
      </c>
      <c r="P12" s="368"/>
      <c r="W12" s="365"/>
      <c r="X12" s="365"/>
      <c r="Y12" s="365"/>
      <c r="Z12" s="365"/>
      <c r="AA12" s="365"/>
      <c r="AB12" s="365"/>
      <c r="AC12" s="365"/>
      <c r="AD12" s="365"/>
    </row>
    <row r="13" spans="1:30">
      <c r="A13" s="479" t="s">
        <v>554</v>
      </c>
      <c r="B13" s="482" t="s">
        <v>552</v>
      </c>
      <c r="C13" s="484"/>
      <c r="D13" s="125"/>
      <c r="E13" s="238">
        <v>0</v>
      </c>
      <c r="F13" s="237"/>
      <c r="H13" s="479" t="s">
        <v>555</v>
      </c>
      <c r="I13" s="412">
        <v>12.74</v>
      </c>
      <c r="J13" s="412">
        <v>13.2</v>
      </c>
      <c r="K13" s="412">
        <v>13.71</v>
      </c>
      <c r="L13" s="412">
        <v>14.39</v>
      </c>
      <c r="M13" s="412">
        <v>14.94</v>
      </c>
      <c r="N13" s="412">
        <v>15.7</v>
      </c>
      <c r="P13" s="369"/>
      <c r="W13" s="365"/>
      <c r="X13" s="365"/>
      <c r="Y13" s="365"/>
      <c r="Z13" s="365"/>
      <c r="AA13" s="365"/>
      <c r="AB13" s="365"/>
      <c r="AC13" s="365"/>
      <c r="AD13" s="365"/>
    </row>
    <row r="14" spans="1:30">
      <c r="A14" s="485" t="s">
        <v>556</v>
      </c>
      <c r="B14" s="486"/>
      <c r="C14" s="487"/>
      <c r="D14" s="135"/>
      <c r="E14" s="239">
        <f>SUM(E12:E13)</f>
        <v>0</v>
      </c>
      <c r="F14" s="237"/>
      <c r="H14" s="479" t="s">
        <v>557</v>
      </c>
      <c r="I14" s="412">
        <v>13.49</v>
      </c>
      <c r="J14" s="412">
        <v>13.97</v>
      </c>
      <c r="K14" s="412">
        <v>14.51</v>
      </c>
      <c r="L14" s="412">
        <v>15.23</v>
      </c>
      <c r="M14" s="412">
        <v>15.82</v>
      </c>
      <c r="N14" s="412">
        <v>16.62</v>
      </c>
      <c r="W14" s="365"/>
      <c r="X14" s="365"/>
      <c r="Y14" s="365"/>
      <c r="Z14" s="365"/>
      <c r="AA14" s="365"/>
      <c r="AB14" s="365"/>
      <c r="AC14" s="365"/>
      <c r="AD14" s="365"/>
    </row>
    <row r="15" spans="1:30">
      <c r="A15" s="488"/>
      <c r="B15" s="489"/>
      <c r="C15" s="490"/>
      <c r="D15" s="125"/>
      <c r="E15" s="240"/>
      <c r="F15" s="237"/>
      <c r="H15" s="479" t="s">
        <v>558</v>
      </c>
      <c r="I15" s="412">
        <v>15.52</v>
      </c>
      <c r="J15" s="412">
        <v>16.079999999999998</v>
      </c>
      <c r="K15" s="412">
        <v>16.7</v>
      </c>
      <c r="L15" s="412">
        <v>17.53</v>
      </c>
      <c r="M15" s="412">
        <v>18.2</v>
      </c>
      <c r="N15" s="412">
        <v>19.12</v>
      </c>
      <c r="W15" s="365"/>
      <c r="X15" s="365"/>
      <c r="Y15" s="365"/>
      <c r="Z15" s="365"/>
      <c r="AA15" s="365"/>
      <c r="AB15" s="365"/>
      <c r="AC15" s="365"/>
      <c r="AD15" s="365"/>
    </row>
    <row r="16" spans="1:30">
      <c r="A16" s="491" t="s">
        <v>559</v>
      </c>
      <c r="B16" s="482" t="s">
        <v>552</v>
      </c>
      <c r="C16" s="413">
        <v>0.08</v>
      </c>
      <c r="D16" s="125"/>
      <c r="E16" s="241">
        <f>$C16*E14</f>
        <v>0</v>
      </c>
      <c r="F16" s="237"/>
      <c r="H16" s="479" t="s">
        <v>560</v>
      </c>
      <c r="I16" s="412">
        <v>16.079999999999998</v>
      </c>
      <c r="J16" s="412">
        <v>16.63</v>
      </c>
      <c r="K16" s="412">
        <v>17.3</v>
      </c>
      <c r="L16" s="412">
        <v>18.14</v>
      </c>
      <c r="M16" s="412">
        <v>18.82</v>
      </c>
      <c r="N16" s="412">
        <v>19.77</v>
      </c>
      <c r="W16" s="365"/>
      <c r="X16" s="365"/>
      <c r="Y16" s="365"/>
      <c r="Z16" s="365"/>
      <c r="AA16" s="365"/>
      <c r="AB16" s="365"/>
      <c r="AC16" s="365"/>
      <c r="AD16" s="365"/>
    </row>
    <row r="17" spans="1:30">
      <c r="A17" s="491" t="s">
        <v>561</v>
      </c>
      <c r="B17" s="482" t="s">
        <v>552</v>
      </c>
      <c r="C17" s="413">
        <v>0.05</v>
      </c>
      <c r="D17" s="125"/>
      <c r="E17" s="242">
        <f>$C17*E14</f>
        <v>0</v>
      </c>
      <c r="F17" s="237"/>
      <c r="H17" s="479" t="s">
        <v>562</v>
      </c>
      <c r="I17" s="412">
        <v>16.55</v>
      </c>
      <c r="J17" s="412">
        <v>17.07</v>
      </c>
      <c r="K17" s="412">
        <v>17.84</v>
      </c>
      <c r="L17" s="412">
        <v>18.73</v>
      </c>
      <c r="M17" s="412">
        <v>19.45</v>
      </c>
      <c r="N17" s="412">
        <v>20.420000000000002</v>
      </c>
      <c r="W17" s="365"/>
      <c r="X17" s="365"/>
      <c r="Y17" s="365"/>
      <c r="Z17" s="365"/>
      <c r="AA17" s="365"/>
      <c r="AB17" s="365"/>
      <c r="AC17" s="365"/>
      <c r="AD17" s="365"/>
    </row>
    <row r="18" spans="1:30">
      <c r="A18" s="485" t="s">
        <v>563</v>
      </c>
      <c r="B18" s="492"/>
      <c r="C18" s="493"/>
      <c r="D18" s="125"/>
      <c r="E18" s="239">
        <f>SUM(E14:E17)</f>
        <v>0</v>
      </c>
      <c r="F18" s="332">
        <f>IF(E18=0,0,E18/E$47)</f>
        <v>0</v>
      </c>
      <c r="H18" s="479" t="s">
        <v>564</v>
      </c>
      <c r="I18" s="412">
        <v>17.05</v>
      </c>
      <c r="J18" s="412">
        <v>17.7</v>
      </c>
      <c r="K18" s="412">
        <v>18.440000000000001</v>
      </c>
      <c r="L18" s="412">
        <v>19.309999999999999</v>
      </c>
      <c r="M18" s="412">
        <v>20.059999999999999</v>
      </c>
      <c r="N18" s="412">
        <v>21.07</v>
      </c>
      <c r="W18" s="365"/>
      <c r="X18" s="365"/>
      <c r="Y18" s="365"/>
      <c r="Z18" s="365"/>
      <c r="AA18" s="365"/>
      <c r="AB18" s="365"/>
      <c r="AC18" s="365"/>
      <c r="AD18" s="365"/>
    </row>
    <row r="19" spans="1:30">
      <c r="A19" s="488"/>
      <c r="B19" s="489"/>
      <c r="C19" s="490"/>
      <c r="D19" s="125"/>
      <c r="E19" s="240"/>
      <c r="F19" s="237"/>
      <c r="H19" s="2"/>
      <c r="I19" s="2"/>
      <c r="J19" s="2"/>
      <c r="K19" s="2"/>
      <c r="L19" s="2"/>
      <c r="M19" s="2"/>
      <c r="N19" s="2"/>
      <c r="W19" s="365"/>
      <c r="X19" s="365"/>
      <c r="Y19" s="365"/>
      <c r="Z19" s="365"/>
      <c r="AA19" s="365"/>
      <c r="AB19" s="365"/>
      <c r="AC19" s="365"/>
      <c r="AD19" s="365"/>
    </row>
    <row r="20" spans="1:30" ht="15">
      <c r="A20" s="494" t="s">
        <v>565</v>
      </c>
      <c r="B20" s="495"/>
      <c r="C20" s="490"/>
      <c r="D20" s="136"/>
      <c r="E20" s="243">
        <f>E18*0.96</f>
        <v>0</v>
      </c>
      <c r="F20" s="244"/>
      <c r="H20" s="474" t="s">
        <v>548</v>
      </c>
      <c r="I20" s="496" t="s">
        <v>566</v>
      </c>
      <c r="J20" s="497"/>
      <c r="K20" s="497"/>
      <c r="L20" s="497"/>
      <c r="M20" s="497"/>
      <c r="N20" s="498"/>
      <c r="W20" s="365"/>
      <c r="X20" s="365"/>
      <c r="Y20" s="365"/>
      <c r="Z20" s="365"/>
      <c r="AA20" s="365"/>
      <c r="AB20" s="365"/>
      <c r="AC20" s="365"/>
      <c r="AD20" s="365"/>
    </row>
    <row r="21" spans="1:30" ht="15" customHeight="1">
      <c r="A21" s="491" t="s">
        <v>567</v>
      </c>
      <c r="B21" s="495"/>
      <c r="C21" s="499" t="s">
        <v>568</v>
      </c>
      <c r="D21" s="125"/>
      <c r="E21" s="241" t="e">
        <f>E20*'5-Premies en opslagen'!$C24</f>
        <v>#DIV/0!</v>
      </c>
      <c r="F21" s="237"/>
      <c r="H21" s="479"/>
      <c r="I21" s="255">
        <v>1</v>
      </c>
      <c r="J21" s="255">
        <v>2</v>
      </c>
      <c r="K21" s="255">
        <v>3</v>
      </c>
      <c r="L21" s="255">
        <v>4</v>
      </c>
      <c r="M21" s="255">
        <v>5</v>
      </c>
      <c r="N21" s="255">
        <v>6</v>
      </c>
      <c r="O21" s="252"/>
      <c r="W21" s="365"/>
      <c r="X21" s="365"/>
      <c r="Y21" s="365"/>
      <c r="Z21" s="365"/>
      <c r="AA21" s="365"/>
      <c r="AB21" s="365"/>
      <c r="AC21" s="365"/>
      <c r="AD21" s="365"/>
    </row>
    <row r="22" spans="1:30">
      <c r="A22" s="485" t="s">
        <v>569</v>
      </c>
      <c r="B22" s="500"/>
      <c r="C22" s="493"/>
      <c r="D22" s="125"/>
      <c r="E22" s="239" t="e">
        <f>E21+E18</f>
        <v>#DIV/0!</v>
      </c>
      <c r="F22" s="332" t="e">
        <f>IF(E22=0,0,E22/E$47)</f>
        <v>#DIV/0!</v>
      </c>
      <c r="G22" s="137"/>
      <c r="H22" s="479" t="s">
        <v>553</v>
      </c>
      <c r="I22" s="374"/>
      <c r="J22" s="374"/>
      <c r="K22" s="374"/>
      <c r="L22" s="374"/>
      <c r="M22" s="374"/>
      <c r="N22" s="374"/>
      <c r="O22" s="221"/>
      <c r="W22" s="365"/>
      <c r="X22" s="365"/>
      <c r="Y22" s="365"/>
      <c r="Z22" s="365"/>
      <c r="AA22" s="365"/>
      <c r="AB22" s="365"/>
      <c r="AC22" s="365"/>
      <c r="AD22" s="365"/>
    </row>
    <row r="23" spans="1:30" s="13" customFormat="1">
      <c r="A23" s="488"/>
      <c r="B23" s="492"/>
      <c r="C23" s="493"/>
      <c r="D23" s="125"/>
      <c r="E23" s="235"/>
      <c r="F23" s="237"/>
      <c r="G23" s="57"/>
      <c r="H23" s="479" t="s">
        <v>555</v>
      </c>
      <c r="I23" s="375"/>
      <c r="J23" s="375"/>
      <c r="K23" s="375"/>
      <c r="L23" s="374"/>
      <c r="M23" s="374"/>
      <c r="N23" s="374"/>
      <c r="O23" s="221"/>
      <c r="P23" s="57"/>
      <c r="Q23" s="57"/>
      <c r="R23" s="57"/>
      <c r="S23" s="57"/>
      <c r="T23" s="57"/>
      <c r="U23" s="57"/>
      <c r="V23" s="2"/>
      <c r="W23" s="365"/>
      <c r="X23" s="365"/>
      <c r="Y23" s="365"/>
      <c r="Z23" s="365"/>
      <c r="AA23" s="365"/>
      <c r="AB23" s="365"/>
      <c r="AC23" s="365"/>
      <c r="AD23" s="365"/>
    </row>
    <row r="24" spans="1:30" ht="14.25" customHeight="1">
      <c r="A24" s="491" t="s">
        <v>570</v>
      </c>
      <c r="B24" s="495"/>
      <c r="C24" s="499" t="s">
        <v>568</v>
      </c>
      <c r="D24" s="125"/>
      <c r="E24" s="241" t="e">
        <f>E22*'5-Premies en opslagen'!$B53</f>
        <v>#DIV/0!</v>
      </c>
      <c r="F24" s="237"/>
      <c r="H24" s="479" t="s">
        <v>557</v>
      </c>
      <c r="I24" s="379"/>
      <c r="J24" s="375"/>
      <c r="K24" s="375"/>
      <c r="L24" s="374"/>
      <c r="M24" s="374"/>
      <c r="N24" s="374"/>
      <c r="O24" s="221"/>
      <c r="W24" s="365"/>
      <c r="X24" s="365"/>
      <c r="Y24" s="365"/>
      <c r="Z24" s="365"/>
      <c r="AA24" s="365"/>
      <c r="AB24" s="365"/>
      <c r="AC24" s="365"/>
      <c r="AD24" s="365"/>
    </row>
    <row r="25" spans="1:30" ht="12.75" customHeight="1">
      <c r="A25" s="485" t="s">
        <v>571</v>
      </c>
      <c r="B25" s="492"/>
      <c r="C25" s="493"/>
      <c r="D25" s="125"/>
      <c r="E25" s="239" t="e">
        <f>SUM(E22:E24)</f>
        <v>#DIV/0!</v>
      </c>
      <c r="F25" s="332" t="e">
        <f>IF(E25=0,0,E25/E$47)</f>
        <v>#DIV/0!</v>
      </c>
      <c r="H25" s="479" t="s">
        <v>558</v>
      </c>
      <c r="I25" s="379"/>
      <c r="J25" s="375"/>
      <c r="K25" s="375"/>
      <c r="L25" s="374"/>
      <c r="M25" s="374"/>
      <c r="N25" s="374"/>
      <c r="O25" s="221"/>
      <c r="W25" s="365"/>
      <c r="X25" s="365"/>
      <c r="Y25" s="365"/>
      <c r="Z25" s="365"/>
      <c r="AA25" s="365"/>
      <c r="AB25" s="365"/>
      <c r="AC25" s="365"/>
      <c r="AD25" s="365"/>
    </row>
    <row r="26" spans="1:30" ht="12.75" customHeight="1">
      <c r="A26" s="488"/>
      <c r="B26" s="492"/>
      <c r="C26" s="493"/>
      <c r="D26" s="125"/>
      <c r="E26" s="235"/>
      <c r="F26" s="237"/>
      <c r="H26" s="479" t="s">
        <v>560</v>
      </c>
      <c r="I26" s="379"/>
      <c r="J26" s="375"/>
      <c r="K26" s="375"/>
      <c r="L26" s="374"/>
      <c r="M26" s="374"/>
      <c r="N26" s="374"/>
      <c r="O26" s="221"/>
    </row>
    <row r="27" spans="1:30">
      <c r="A27" s="488" t="s">
        <v>572</v>
      </c>
      <c r="B27" s="501"/>
      <c r="C27" s="484" t="s">
        <v>573</v>
      </c>
      <c r="D27" s="125"/>
      <c r="E27" s="238">
        <v>0</v>
      </c>
      <c r="F27" s="237">
        <v>0</v>
      </c>
      <c r="H27" s="479" t="s">
        <v>562</v>
      </c>
      <c r="I27" s="379"/>
      <c r="J27" s="375"/>
      <c r="K27" s="375"/>
      <c r="L27" s="374"/>
      <c r="M27" s="374"/>
      <c r="N27" s="374"/>
      <c r="O27" s="221"/>
    </row>
    <row r="28" spans="1:30">
      <c r="A28" s="488" t="s">
        <v>574</v>
      </c>
      <c r="B28" s="502"/>
      <c r="C28" s="484" t="s">
        <v>573</v>
      </c>
      <c r="D28" s="125"/>
      <c r="E28" s="238">
        <v>0</v>
      </c>
      <c r="F28" s="237">
        <v>0</v>
      </c>
      <c r="H28" s="479" t="s">
        <v>564</v>
      </c>
      <c r="I28" s="379"/>
      <c r="J28" s="375"/>
      <c r="K28" s="375"/>
      <c r="L28" s="374"/>
      <c r="M28" s="374"/>
      <c r="N28" s="374"/>
      <c r="O28" s="221"/>
    </row>
    <row r="29" spans="1:30">
      <c r="A29" s="488" t="s">
        <v>575</v>
      </c>
      <c r="B29" s="492"/>
      <c r="C29" s="493" t="s">
        <v>550</v>
      </c>
      <c r="D29" s="125"/>
      <c r="E29" s="238">
        <v>0</v>
      </c>
      <c r="F29" s="237"/>
      <c r="H29" s="138" t="s">
        <v>576</v>
      </c>
      <c r="I29" s="334">
        <f t="shared" ref="I29:N29" si="0">SUM(I22:I28)</f>
        <v>0</v>
      </c>
      <c r="J29" s="334">
        <f t="shared" si="0"/>
        <v>0</v>
      </c>
      <c r="K29" s="334">
        <f t="shared" si="0"/>
        <v>0</v>
      </c>
      <c r="L29" s="334">
        <f t="shared" si="0"/>
        <v>0</v>
      </c>
      <c r="M29" s="334">
        <f t="shared" si="0"/>
        <v>0</v>
      </c>
      <c r="N29" s="334">
        <f t="shared" si="0"/>
        <v>0</v>
      </c>
      <c r="O29" s="335">
        <f>SUM(I29:N29)</f>
        <v>0</v>
      </c>
    </row>
    <row r="30" spans="1:30">
      <c r="A30" s="491" t="s">
        <v>577</v>
      </c>
      <c r="B30" s="482"/>
      <c r="C30" s="484" t="s">
        <v>573</v>
      </c>
      <c r="D30" s="125"/>
      <c r="E30" s="238">
        <v>0</v>
      </c>
      <c r="F30" s="237"/>
    </row>
    <row r="31" spans="1:30">
      <c r="A31" s="503"/>
      <c r="B31" s="504"/>
      <c r="C31" s="505" t="s">
        <v>550</v>
      </c>
      <c r="D31" s="125"/>
      <c r="E31" s="238"/>
      <c r="F31" s="237"/>
      <c r="H31" s="79"/>
      <c r="I31" s="383"/>
      <c r="J31" s="383"/>
      <c r="K31" s="383"/>
      <c r="L31" s="383"/>
      <c r="M31" s="383"/>
      <c r="N31" s="383"/>
      <c r="O31" s="383"/>
    </row>
    <row r="32" spans="1:30" ht="15">
      <c r="A32" s="485" t="s">
        <v>578</v>
      </c>
      <c r="B32" s="492"/>
      <c r="C32" s="493"/>
      <c r="D32" s="125"/>
      <c r="E32" s="239" t="e">
        <f>SUM(E25:E31)</f>
        <v>#DIV/0!</v>
      </c>
      <c r="F32" s="332" t="e">
        <f>IF(E32=0,0,E32/E$47)</f>
        <v>#DIV/0!</v>
      </c>
      <c r="H32" s="474" t="s">
        <v>548</v>
      </c>
      <c r="I32" s="496" t="s">
        <v>579</v>
      </c>
      <c r="J32" s="497"/>
      <c r="K32" s="497"/>
      <c r="L32" s="497"/>
      <c r="M32" s="497"/>
      <c r="N32" s="498"/>
    </row>
    <row r="33" spans="1:15" ht="12.75" customHeight="1">
      <c r="A33" s="488"/>
      <c r="B33" s="492"/>
      <c r="C33" s="493"/>
      <c r="D33" s="125"/>
      <c r="E33" s="235"/>
      <c r="F33" s="237"/>
      <c r="H33" s="479"/>
      <c r="I33" s="134">
        <v>1</v>
      </c>
      <c r="J33" s="134">
        <v>2</v>
      </c>
      <c r="K33" s="134">
        <v>3</v>
      </c>
      <c r="L33" s="134">
        <v>4</v>
      </c>
      <c r="M33" s="134">
        <v>5</v>
      </c>
      <c r="N33" s="134">
        <v>6</v>
      </c>
    </row>
    <row r="34" spans="1:15" ht="12.75" customHeight="1">
      <c r="A34" s="488" t="s">
        <v>580</v>
      </c>
      <c r="B34" s="492"/>
      <c r="C34" s="506"/>
      <c r="D34" s="125"/>
      <c r="E34" s="238">
        <v>0</v>
      </c>
      <c r="F34" s="245" t="e">
        <f t="shared" ref="F34:F41" si="1">E34/$E$47</f>
        <v>#DIV/0!</v>
      </c>
      <c r="H34" s="479" t="s">
        <v>553</v>
      </c>
      <c r="I34" s="507">
        <f t="shared" ref="I34:N40" si="2">I22*I12</f>
        <v>0</v>
      </c>
      <c r="J34" s="507">
        <f t="shared" si="2"/>
        <v>0</v>
      </c>
      <c r="K34" s="507">
        <f t="shared" si="2"/>
        <v>0</v>
      </c>
      <c r="L34" s="507">
        <f t="shared" si="2"/>
        <v>0</v>
      </c>
      <c r="M34" s="507">
        <f t="shared" si="2"/>
        <v>0</v>
      </c>
      <c r="N34" s="372">
        <f t="shared" si="2"/>
        <v>0</v>
      </c>
    </row>
    <row r="35" spans="1:15" ht="12.75" customHeight="1">
      <c r="A35" s="488" t="s">
        <v>581</v>
      </c>
      <c r="B35" s="492"/>
      <c r="C35" s="506"/>
      <c r="D35" s="125"/>
      <c r="E35" s="238">
        <v>0</v>
      </c>
      <c r="F35" s="245" t="e">
        <f t="shared" si="1"/>
        <v>#DIV/0!</v>
      </c>
      <c r="H35" s="479" t="s">
        <v>555</v>
      </c>
      <c r="I35" s="507">
        <f t="shared" si="2"/>
        <v>0</v>
      </c>
      <c r="J35" s="507">
        <f t="shared" si="2"/>
        <v>0</v>
      </c>
      <c r="K35" s="507">
        <f t="shared" si="2"/>
        <v>0</v>
      </c>
      <c r="L35" s="507">
        <f t="shared" si="2"/>
        <v>0</v>
      </c>
      <c r="M35" s="507">
        <f t="shared" si="2"/>
        <v>0</v>
      </c>
      <c r="N35" s="372">
        <f t="shared" si="2"/>
        <v>0</v>
      </c>
    </row>
    <row r="36" spans="1:15" ht="12.75" customHeight="1">
      <c r="A36" s="488" t="s">
        <v>582</v>
      </c>
      <c r="B36" s="492"/>
      <c r="C36" s="506"/>
      <c r="D36" s="125"/>
      <c r="E36" s="238">
        <v>0</v>
      </c>
      <c r="F36" s="245" t="e">
        <f t="shared" si="1"/>
        <v>#DIV/0!</v>
      </c>
      <c r="H36" s="479" t="s">
        <v>557</v>
      </c>
      <c r="I36" s="507">
        <f t="shared" si="2"/>
        <v>0</v>
      </c>
      <c r="J36" s="507">
        <f t="shared" si="2"/>
        <v>0</v>
      </c>
      <c r="K36" s="507">
        <f t="shared" si="2"/>
        <v>0</v>
      </c>
      <c r="L36" s="507">
        <f t="shared" si="2"/>
        <v>0</v>
      </c>
      <c r="M36" s="507">
        <f t="shared" si="2"/>
        <v>0</v>
      </c>
      <c r="N36" s="372">
        <f t="shared" si="2"/>
        <v>0</v>
      </c>
    </row>
    <row r="37" spans="1:15" ht="12.75" customHeight="1">
      <c r="A37" s="488" t="s">
        <v>583</v>
      </c>
      <c r="B37" s="492"/>
      <c r="C37" s="508"/>
      <c r="D37" s="125"/>
      <c r="E37" s="238">
        <v>0</v>
      </c>
      <c r="F37" s="245" t="e">
        <f t="shared" si="1"/>
        <v>#DIV/0!</v>
      </c>
      <c r="H37" s="479" t="s">
        <v>558</v>
      </c>
      <c r="I37" s="507">
        <f t="shared" si="2"/>
        <v>0</v>
      </c>
      <c r="J37" s="507">
        <f t="shared" si="2"/>
        <v>0</v>
      </c>
      <c r="K37" s="507">
        <f t="shared" si="2"/>
        <v>0</v>
      </c>
      <c r="L37" s="507">
        <f t="shared" si="2"/>
        <v>0</v>
      </c>
      <c r="M37" s="507">
        <f t="shared" si="2"/>
        <v>0</v>
      </c>
      <c r="N37" s="372">
        <f t="shared" si="2"/>
        <v>0</v>
      </c>
      <c r="O37" s="137"/>
    </row>
    <row r="38" spans="1:15" ht="14.25" customHeight="1">
      <c r="A38" s="488" t="s">
        <v>584</v>
      </c>
      <c r="B38" s="492"/>
      <c r="C38" s="506"/>
      <c r="D38" s="125"/>
      <c r="E38" s="238">
        <v>0</v>
      </c>
      <c r="F38" s="245" t="e">
        <f t="shared" si="1"/>
        <v>#DIV/0!</v>
      </c>
      <c r="H38" s="479" t="s">
        <v>560</v>
      </c>
      <c r="I38" s="507">
        <f t="shared" si="2"/>
        <v>0</v>
      </c>
      <c r="J38" s="507">
        <f t="shared" si="2"/>
        <v>0</v>
      </c>
      <c r="K38" s="507">
        <f t="shared" si="2"/>
        <v>0</v>
      </c>
      <c r="L38" s="507">
        <f t="shared" si="2"/>
        <v>0</v>
      </c>
      <c r="M38" s="507">
        <f t="shared" si="2"/>
        <v>0</v>
      </c>
      <c r="N38" s="372">
        <f t="shared" si="2"/>
        <v>0</v>
      </c>
      <c r="O38" s="137"/>
    </row>
    <row r="39" spans="1:15">
      <c r="A39" s="488" t="s">
        <v>585</v>
      </c>
      <c r="B39" s="492"/>
      <c r="C39" s="508"/>
      <c r="D39" s="125"/>
      <c r="E39" s="238">
        <v>0</v>
      </c>
      <c r="F39" s="245" t="e">
        <f t="shared" si="1"/>
        <v>#DIV/0!</v>
      </c>
      <c r="H39" s="479" t="s">
        <v>562</v>
      </c>
      <c r="I39" s="507">
        <f t="shared" si="2"/>
        <v>0</v>
      </c>
      <c r="J39" s="507">
        <f t="shared" si="2"/>
        <v>0</v>
      </c>
      <c r="K39" s="507">
        <f t="shared" si="2"/>
        <v>0</v>
      </c>
      <c r="L39" s="507">
        <f t="shared" si="2"/>
        <v>0</v>
      </c>
      <c r="M39" s="507">
        <f t="shared" si="2"/>
        <v>0</v>
      </c>
      <c r="N39" s="372">
        <f t="shared" si="2"/>
        <v>0</v>
      </c>
      <c r="O39" s="137"/>
    </row>
    <row r="40" spans="1:15">
      <c r="A40" s="488" t="s">
        <v>586</v>
      </c>
      <c r="B40" s="492"/>
      <c r="C40" s="484" t="s">
        <v>573</v>
      </c>
      <c r="D40" s="125"/>
      <c r="E40" s="238">
        <v>0</v>
      </c>
      <c r="F40" s="245" t="e">
        <f t="shared" si="1"/>
        <v>#DIV/0!</v>
      </c>
      <c r="H40" s="479" t="s">
        <v>564</v>
      </c>
      <c r="I40" s="507">
        <f t="shared" si="2"/>
        <v>0</v>
      </c>
      <c r="J40" s="507">
        <f t="shared" si="2"/>
        <v>0</v>
      </c>
      <c r="K40" s="507">
        <f t="shared" si="2"/>
        <v>0</v>
      </c>
      <c r="L40" s="507">
        <f t="shared" si="2"/>
        <v>0</v>
      </c>
      <c r="M40" s="507">
        <f t="shared" si="2"/>
        <v>0</v>
      </c>
      <c r="N40" s="372">
        <f t="shared" si="2"/>
        <v>0</v>
      </c>
      <c r="O40" s="137"/>
    </row>
    <row r="41" spans="1:15">
      <c r="A41" s="488" t="s">
        <v>587</v>
      </c>
      <c r="B41" s="492"/>
      <c r="C41" s="484"/>
      <c r="D41" s="125"/>
      <c r="E41" s="238">
        <v>0</v>
      </c>
      <c r="F41" s="245" t="e">
        <f t="shared" si="1"/>
        <v>#DIV/0!</v>
      </c>
      <c r="H41" s="138" t="s">
        <v>576</v>
      </c>
      <c r="I41" s="254">
        <f t="shared" ref="I41:N41" si="3">SUM(I34:I40)</f>
        <v>0</v>
      </c>
      <c r="J41" s="254">
        <f t="shared" si="3"/>
        <v>0</v>
      </c>
      <c r="K41" s="254">
        <f t="shared" si="3"/>
        <v>0</v>
      </c>
      <c r="L41" s="254">
        <f t="shared" si="3"/>
        <v>0</v>
      </c>
      <c r="M41" s="254">
        <f t="shared" si="3"/>
        <v>0</v>
      </c>
      <c r="N41" s="254">
        <f t="shared" si="3"/>
        <v>0</v>
      </c>
      <c r="O41" s="137"/>
    </row>
    <row r="42" spans="1:15">
      <c r="A42" s="503"/>
      <c r="B42" s="504"/>
      <c r="C42" s="509"/>
      <c r="D42" s="125"/>
      <c r="E42" s="238">
        <v>0</v>
      </c>
      <c r="F42" s="237"/>
      <c r="H42" s="137"/>
      <c r="I42" s="137"/>
      <c r="J42" s="137"/>
      <c r="K42" s="137"/>
      <c r="L42" s="137"/>
      <c r="M42" s="137"/>
      <c r="N42" s="137"/>
      <c r="O42" s="137"/>
    </row>
    <row r="43" spans="1:15">
      <c r="A43" s="485" t="s">
        <v>588</v>
      </c>
      <c r="B43" s="492"/>
      <c r="C43" s="493"/>
      <c r="D43" s="125"/>
      <c r="E43" s="239" t="e">
        <f>SUM(E32:E42)</f>
        <v>#DIV/0!</v>
      </c>
      <c r="F43" s="332" t="e">
        <f>IF(E43=0,0,E43/E$47)</f>
        <v>#DIV/0!</v>
      </c>
      <c r="H43" s="137"/>
      <c r="I43" s="137"/>
      <c r="J43" s="137"/>
      <c r="K43" s="137"/>
      <c r="L43" s="137"/>
      <c r="M43" s="137"/>
      <c r="N43" s="137"/>
      <c r="O43" s="137"/>
    </row>
    <row r="44" spans="1:15" ht="45">
      <c r="A44" s="488"/>
      <c r="B44" s="492"/>
      <c r="C44" s="493"/>
      <c r="D44" s="125"/>
      <c r="E44" s="235"/>
      <c r="F44" s="246"/>
      <c r="G44" s="382"/>
      <c r="H44" s="510" t="s">
        <v>589</v>
      </c>
      <c r="I44" s="511"/>
      <c r="J44" s="512"/>
      <c r="K44" s="199" t="s">
        <v>547</v>
      </c>
      <c r="L44" s="137"/>
      <c r="M44" s="137"/>
      <c r="N44" s="137"/>
      <c r="O44" s="137"/>
    </row>
    <row r="45" spans="1:15">
      <c r="A45" s="488" t="s">
        <v>590</v>
      </c>
      <c r="B45" s="492"/>
      <c r="C45" s="508"/>
      <c r="D45" s="125"/>
      <c r="E45" s="238">
        <v>0</v>
      </c>
      <c r="F45" s="332">
        <f>(IF(E45=0,0,E45/E$47))</f>
        <v>0</v>
      </c>
      <c r="H45" s="479"/>
      <c r="I45" s="480" t="s">
        <v>550</v>
      </c>
      <c r="J45" s="481" t="s">
        <v>550</v>
      </c>
      <c r="K45" s="235"/>
      <c r="L45" s="137"/>
      <c r="M45" s="137"/>
      <c r="N45" s="137"/>
    </row>
    <row r="46" spans="1:15">
      <c r="A46" s="488"/>
      <c r="B46" s="513"/>
      <c r="C46" s="493"/>
      <c r="D46" s="125"/>
      <c r="E46" s="235"/>
      <c r="F46" s="237"/>
      <c r="H46" s="514" t="s">
        <v>556</v>
      </c>
      <c r="I46" s="515"/>
      <c r="J46" s="516"/>
      <c r="K46" s="239">
        <f>E14</f>
        <v>0</v>
      </c>
      <c r="L46" s="137"/>
      <c r="M46" s="137"/>
      <c r="N46" s="137"/>
    </row>
    <row r="47" spans="1:15">
      <c r="A47" s="485" t="s">
        <v>591</v>
      </c>
      <c r="B47" s="517"/>
      <c r="C47" s="518"/>
      <c r="D47" s="125"/>
      <c r="E47" s="247" t="e">
        <f>SUM(E43:E46)</f>
        <v>#DIV/0!</v>
      </c>
      <c r="F47" s="248" t="e">
        <f>SUM(F43:F46)</f>
        <v>#DIV/0!</v>
      </c>
      <c r="H47" s="140" t="s">
        <v>559</v>
      </c>
      <c r="I47" s="141"/>
      <c r="J47" s="142"/>
      <c r="K47" s="241">
        <f>E16</f>
        <v>0</v>
      </c>
      <c r="L47" s="137"/>
      <c r="M47" s="137"/>
      <c r="N47" s="137"/>
    </row>
    <row r="48" spans="1:15">
      <c r="B48" s="139"/>
      <c r="C48" s="336"/>
      <c r="D48" s="125"/>
      <c r="E48" s="221"/>
      <c r="F48" s="249"/>
      <c r="H48" s="491" t="s">
        <v>561</v>
      </c>
      <c r="I48" s="141"/>
      <c r="J48" s="142"/>
      <c r="K48" s="242">
        <f>E17</f>
        <v>0</v>
      </c>
      <c r="L48" s="137"/>
      <c r="M48" s="137"/>
      <c r="N48" s="137"/>
    </row>
    <row r="49" spans="1:26">
      <c r="A49" s="519" t="s">
        <v>592</v>
      </c>
      <c r="B49" s="520"/>
      <c r="C49" s="521"/>
      <c r="D49" s="137"/>
      <c r="E49" s="250" t="e">
        <f>(E$25*1.3)+($E$47-$E$25)</f>
        <v>#DIV/0!</v>
      </c>
      <c r="F49" s="251"/>
      <c r="H49" s="491" t="s">
        <v>567</v>
      </c>
      <c r="I49" s="141"/>
      <c r="J49" s="142"/>
      <c r="K49" s="241" t="e">
        <f>E21</f>
        <v>#DIV/0!</v>
      </c>
      <c r="L49" s="137"/>
      <c r="M49" s="137"/>
      <c r="N49" s="137"/>
      <c r="O49" s="137"/>
    </row>
    <row r="50" spans="1:26">
      <c r="A50" s="137"/>
      <c r="B50" s="143"/>
      <c r="C50" s="144"/>
      <c r="D50" s="137"/>
      <c r="E50" s="252"/>
      <c r="F50" s="252"/>
      <c r="H50" s="491" t="s">
        <v>570</v>
      </c>
      <c r="I50" s="495"/>
      <c r="J50" s="499"/>
      <c r="K50" s="241" t="e">
        <f>E24</f>
        <v>#DIV/0!</v>
      </c>
      <c r="L50" s="137"/>
      <c r="M50" s="137"/>
      <c r="N50" s="137"/>
      <c r="O50" s="137"/>
    </row>
    <row r="51" spans="1:26">
      <c r="A51" s="519" t="s">
        <v>593</v>
      </c>
      <c r="B51" s="520"/>
      <c r="C51" s="521"/>
      <c r="D51" s="137"/>
      <c r="E51" s="250" t="e">
        <f>(E$25*1.5)+($E$47-$E$25)</f>
        <v>#DIV/0!</v>
      </c>
      <c r="F51" s="251"/>
      <c r="G51" s="137"/>
      <c r="H51" s="488" t="s">
        <v>572</v>
      </c>
      <c r="I51" s="501"/>
      <c r="J51" s="484"/>
      <c r="K51" s="236">
        <f>E27</f>
        <v>0</v>
      </c>
      <c r="L51" s="137"/>
      <c r="M51" s="137"/>
      <c r="N51" s="137"/>
      <c r="O51" s="137"/>
    </row>
    <row r="52" spans="1:26" s="13" customFormat="1">
      <c r="A52" s="137"/>
      <c r="B52" s="143"/>
      <c r="C52" s="144"/>
      <c r="D52" s="137"/>
      <c r="E52" s="252"/>
      <c r="F52" s="252"/>
      <c r="G52" s="137"/>
      <c r="H52" s="488" t="s">
        <v>574</v>
      </c>
      <c r="I52" s="502"/>
      <c r="J52" s="484"/>
      <c r="K52" s="236">
        <f>E28</f>
        <v>0</v>
      </c>
      <c r="L52" s="137"/>
      <c r="M52" s="57"/>
      <c r="N52" s="137"/>
      <c r="O52" s="137"/>
      <c r="P52" s="57"/>
      <c r="Q52" s="57"/>
      <c r="R52" s="57"/>
      <c r="S52" s="57"/>
      <c r="T52" s="57"/>
      <c r="U52" s="57"/>
      <c r="V52" s="2"/>
      <c r="W52" s="2"/>
      <c r="X52" s="2"/>
      <c r="Y52" s="2"/>
      <c r="Z52" s="2"/>
    </row>
    <row r="53" spans="1:26" s="13" customFormat="1">
      <c r="A53" s="519" t="s">
        <v>594</v>
      </c>
      <c r="B53" s="520"/>
      <c r="C53" s="521"/>
      <c r="D53" s="137"/>
      <c r="E53" s="250" t="e">
        <f>(E$25*2.5)+($E$47-$E$25)</f>
        <v>#DIV/0!</v>
      </c>
      <c r="F53" s="252"/>
      <c r="G53" s="137"/>
      <c r="H53" s="488" t="s">
        <v>575</v>
      </c>
      <c r="I53" s="492"/>
      <c r="J53" s="493" t="s">
        <v>550</v>
      </c>
      <c r="K53" s="236">
        <f>E29</f>
        <v>0</v>
      </c>
      <c r="L53" s="137"/>
      <c r="M53" s="57"/>
      <c r="N53" s="137"/>
      <c r="O53" s="137"/>
      <c r="P53" s="137"/>
      <c r="Q53" s="137"/>
      <c r="R53" s="137"/>
      <c r="S53" s="137"/>
      <c r="T53" s="137"/>
      <c r="U53" s="137"/>
    </row>
    <row r="54" spans="1:26" s="13" customFormat="1">
      <c r="A54" s="137"/>
      <c r="B54" s="143"/>
      <c r="C54" s="145"/>
      <c r="D54" s="137"/>
      <c r="E54" s="137"/>
      <c r="F54" s="146"/>
      <c r="G54" s="137"/>
      <c r="H54" s="488" t="s">
        <v>580</v>
      </c>
      <c r="I54" s="492"/>
      <c r="J54" s="506"/>
      <c r="K54" s="236">
        <f t="shared" ref="K54:K61" si="4">E34</f>
        <v>0</v>
      </c>
      <c r="L54" s="137"/>
      <c r="M54" s="57"/>
      <c r="N54" s="137"/>
      <c r="O54" s="137"/>
      <c r="P54" s="137"/>
      <c r="Q54" s="137"/>
      <c r="R54" s="137"/>
      <c r="S54" s="137"/>
      <c r="T54" s="137"/>
      <c r="U54" s="137"/>
    </row>
    <row r="55" spans="1:26" s="13" customFormat="1">
      <c r="A55" s="137"/>
      <c r="B55" s="143"/>
      <c r="C55" s="145"/>
      <c r="D55" s="137"/>
      <c r="E55" s="137"/>
      <c r="F55" s="146"/>
      <c r="G55" s="137"/>
      <c r="H55" s="488" t="s">
        <v>581</v>
      </c>
      <c r="I55" s="492"/>
      <c r="J55" s="506"/>
      <c r="K55" s="236">
        <f t="shared" si="4"/>
        <v>0</v>
      </c>
      <c r="L55" s="137"/>
      <c r="M55" s="57"/>
      <c r="N55" s="137"/>
      <c r="O55" s="137"/>
      <c r="P55" s="137"/>
      <c r="Q55" s="137"/>
      <c r="R55" s="137"/>
      <c r="S55" s="137"/>
      <c r="T55" s="137"/>
      <c r="U55" s="137"/>
    </row>
    <row r="56" spans="1:26" s="13" customFormat="1">
      <c r="A56" s="137"/>
      <c r="B56" s="137"/>
      <c r="C56" s="147"/>
      <c r="D56" s="137"/>
      <c r="E56" s="137"/>
      <c r="F56" s="146"/>
      <c r="G56" s="137"/>
      <c r="H56" s="488" t="s">
        <v>582</v>
      </c>
      <c r="I56" s="492"/>
      <c r="J56" s="506"/>
      <c r="K56" s="236">
        <f t="shared" si="4"/>
        <v>0</v>
      </c>
      <c r="L56" s="137"/>
      <c r="M56" s="57"/>
      <c r="N56" s="137"/>
      <c r="O56" s="137"/>
      <c r="P56" s="137"/>
      <c r="Q56" s="137"/>
      <c r="R56" s="137"/>
      <c r="S56" s="137"/>
      <c r="T56" s="137"/>
      <c r="U56" s="137"/>
    </row>
    <row r="57" spans="1:26" s="13" customFormat="1">
      <c r="A57" s="137"/>
      <c r="B57" s="137"/>
      <c r="C57" s="147"/>
      <c r="D57" s="137"/>
      <c r="E57" s="137"/>
      <c r="F57" s="146"/>
      <c r="G57" s="137"/>
      <c r="H57" s="488" t="s">
        <v>583</v>
      </c>
      <c r="I57" s="492"/>
      <c r="J57" s="508"/>
      <c r="K57" s="236">
        <f t="shared" si="4"/>
        <v>0</v>
      </c>
      <c r="L57" s="137"/>
      <c r="M57" s="57"/>
      <c r="N57" s="137"/>
      <c r="O57" s="137"/>
      <c r="P57" s="137"/>
      <c r="Q57" s="137"/>
      <c r="R57" s="137"/>
      <c r="S57" s="137"/>
      <c r="T57" s="137"/>
      <c r="U57" s="137"/>
    </row>
    <row r="58" spans="1:26" s="13" customFormat="1">
      <c r="A58" s="57"/>
      <c r="B58" s="137"/>
      <c r="C58" s="147"/>
      <c r="D58" s="137"/>
      <c r="E58" s="137"/>
      <c r="F58" s="146"/>
      <c r="G58" s="137"/>
      <c r="H58" s="488" t="s">
        <v>584</v>
      </c>
      <c r="I58" s="492"/>
      <c r="J58" s="506"/>
      <c r="K58" s="236">
        <f t="shared" si="4"/>
        <v>0</v>
      </c>
      <c r="L58" s="137"/>
      <c r="M58" s="57"/>
      <c r="N58" s="137"/>
      <c r="O58" s="137"/>
      <c r="P58" s="137"/>
      <c r="Q58" s="137"/>
      <c r="R58" s="137"/>
      <c r="S58" s="137"/>
      <c r="T58" s="137"/>
      <c r="U58" s="137"/>
    </row>
    <row r="59" spans="1:26" s="13" customFormat="1">
      <c r="A59" s="137"/>
      <c r="B59" s="137"/>
      <c r="C59" s="147"/>
      <c r="D59" s="147"/>
      <c r="E59" s="147"/>
      <c r="F59" s="147"/>
      <c r="G59" s="137"/>
      <c r="H59" s="488" t="s">
        <v>585</v>
      </c>
      <c r="I59" s="492"/>
      <c r="J59" s="508"/>
      <c r="K59" s="236">
        <f t="shared" si="4"/>
        <v>0</v>
      </c>
      <c r="L59" s="137"/>
      <c r="M59" s="57"/>
      <c r="N59" s="57"/>
      <c r="O59" s="137"/>
      <c r="P59" s="137"/>
      <c r="Q59" s="137"/>
      <c r="R59" s="137"/>
      <c r="S59" s="137"/>
      <c r="T59" s="137"/>
      <c r="U59" s="137"/>
    </row>
    <row r="60" spans="1:26" s="13" customFormat="1">
      <c r="A60" s="137"/>
      <c r="B60" s="137"/>
      <c r="C60" s="147"/>
      <c r="D60" s="137"/>
      <c r="E60" s="137"/>
      <c r="F60" s="146"/>
      <c r="G60" s="137"/>
      <c r="H60" s="488" t="s">
        <v>586</v>
      </c>
      <c r="I60" s="492"/>
      <c r="J60" s="484"/>
      <c r="K60" s="236">
        <f t="shared" si="4"/>
        <v>0</v>
      </c>
      <c r="L60" s="137"/>
      <c r="M60" s="57"/>
      <c r="N60" s="57"/>
      <c r="O60" s="137"/>
      <c r="P60" s="137"/>
      <c r="Q60" s="137"/>
      <c r="R60" s="137"/>
      <c r="S60" s="137"/>
      <c r="T60" s="137"/>
      <c r="U60" s="137"/>
    </row>
    <row r="61" spans="1:26" s="13" customFormat="1">
      <c r="A61" s="137"/>
      <c r="B61" s="137"/>
      <c r="C61" s="147"/>
      <c r="D61" s="137"/>
      <c r="E61" s="137"/>
      <c r="F61" s="146"/>
      <c r="G61" s="137"/>
      <c r="H61" s="488" t="s">
        <v>595</v>
      </c>
      <c r="I61" s="492"/>
      <c r="J61" s="484"/>
      <c r="K61" s="236">
        <f t="shared" si="4"/>
        <v>0</v>
      </c>
      <c r="L61" s="137"/>
      <c r="M61" s="57"/>
      <c r="N61" s="57"/>
      <c r="O61" s="137"/>
      <c r="P61" s="137"/>
      <c r="Q61" s="137"/>
      <c r="R61" s="137"/>
      <c r="S61" s="137"/>
      <c r="T61" s="137"/>
      <c r="U61" s="137"/>
    </row>
    <row r="62" spans="1:26" s="13" customFormat="1">
      <c r="A62" s="137"/>
      <c r="B62" s="137"/>
      <c r="C62" s="147"/>
      <c r="D62" s="137"/>
      <c r="E62" s="137"/>
      <c r="F62" s="146"/>
      <c r="G62" s="137"/>
      <c r="H62" s="488" t="s">
        <v>590</v>
      </c>
      <c r="I62" s="492"/>
      <c r="J62" s="508"/>
      <c r="K62" s="236">
        <f>E45</f>
        <v>0</v>
      </c>
      <c r="L62" s="137"/>
      <c r="M62" s="57"/>
      <c r="N62" s="57"/>
      <c r="O62" s="137"/>
      <c r="P62" s="137"/>
      <c r="Q62" s="137"/>
      <c r="R62" s="137"/>
      <c r="S62" s="137"/>
      <c r="T62" s="137"/>
      <c r="U62" s="137"/>
    </row>
    <row r="63" spans="1:26" s="13" customFormat="1">
      <c r="A63" s="137"/>
      <c r="B63" s="137"/>
      <c r="C63" s="147"/>
      <c r="D63" s="137"/>
      <c r="E63" s="137"/>
      <c r="F63" s="146"/>
      <c r="G63" s="137"/>
      <c r="H63" s="488"/>
      <c r="I63" s="513"/>
      <c r="J63" s="493"/>
      <c r="K63" s="235"/>
      <c r="L63" s="137"/>
      <c r="M63" s="57"/>
      <c r="N63" s="57"/>
      <c r="O63" s="137"/>
      <c r="P63" s="137"/>
      <c r="Q63" s="137"/>
      <c r="R63" s="137"/>
      <c r="S63" s="137"/>
      <c r="T63" s="137"/>
      <c r="U63" s="137"/>
    </row>
    <row r="64" spans="1:26" s="13" customFormat="1">
      <c r="A64" s="137"/>
      <c r="B64" s="137"/>
      <c r="C64" s="147"/>
      <c r="D64" s="137"/>
      <c r="E64" s="137"/>
      <c r="F64" s="146"/>
      <c r="G64" s="137"/>
      <c r="H64" s="485" t="s">
        <v>591</v>
      </c>
      <c r="I64" s="517"/>
      <c r="J64" s="518"/>
      <c r="K64" s="247" t="e">
        <f>SUM(K46:K63)</f>
        <v>#DIV/0!</v>
      </c>
      <c r="L64" s="137"/>
      <c r="M64" s="57"/>
      <c r="N64" s="57"/>
      <c r="O64" s="137"/>
      <c r="P64" s="137"/>
      <c r="Q64" s="137"/>
      <c r="R64" s="137"/>
      <c r="S64" s="137"/>
      <c r="T64" s="137"/>
      <c r="U64" s="137"/>
    </row>
    <row r="65" spans="1:22" s="13" customFormat="1">
      <c r="A65" s="137"/>
      <c r="B65" s="137"/>
      <c r="C65" s="147"/>
      <c r="D65" s="137"/>
      <c r="E65" s="57"/>
      <c r="F65" s="146"/>
      <c r="G65" s="137"/>
      <c r="H65" s="57"/>
      <c r="I65" s="139"/>
      <c r="J65" s="336"/>
      <c r="K65" s="221"/>
      <c r="L65" s="137"/>
      <c r="M65" s="57"/>
      <c r="N65" s="57"/>
      <c r="O65" s="137"/>
      <c r="P65" s="137"/>
      <c r="Q65" s="137"/>
      <c r="R65" s="137"/>
      <c r="S65" s="137"/>
      <c r="T65" s="137"/>
      <c r="U65" s="137"/>
    </row>
    <row r="66" spans="1:22" s="13" customFormat="1">
      <c r="A66" s="57"/>
      <c r="B66" s="57"/>
      <c r="C66" s="57"/>
      <c r="D66" s="57"/>
      <c r="E66" s="57"/>
      <c r="F66" s="57"/>
      <c r="G66" s="137"/>
      <c r="H66" s="519" t="s">
        <v>592</v>
      </c>
      <c r="I66" s="520"/>
      <c r="J66" s="521"/>
      <c r="K66" s="250" t="e">
        <f>E49</f>
        <v>#DIV/0!</v>
      </c>
      <c r="L66" s="137"/>
      <c r="M66" s="57"/>
      <c r="N66" s="57"/>
      <c r="O66" s="57"/>
      <c r="P66" s="137"/>
      <c r="Q66" s="137"/>
      <c r="R66" s="137"/>
      <c r="S66" s="137"/>
      <c r="T66" s="137"/>
      <c r="U66" s="137"/>
    </row>
    <row r="67" spans="1:22" s="13" customFormat="1">
      <c r="A67" s="57"/>
      <c r="B67" s="57"/>
      <c r="C67" s="57"/>
      <c r="D67" s="57"/>
      <c r="E67" s="57"/>
      <c r="F67" s="57"/>
      <c r="G67" s="137"/>
      <c r="H67" s="137"/>
      <c r="I67" s="143"/>
      <c r="J67" s="144"/>
      <c r="K67" s="252"/>
      <c r="L67" s="137"/>
      <c r="M67" s="57"/>
      <c r="N67" s="57"/>
      <c r="O67" s="57"/>
      <c r="P67" s="57"/>
      <c r="Q67" s="137"/>
      <c r="R67" s="137"/>
      <c r="S67" s="137"/>
      <c r="T67" s="137"/>
      <c r="U67" s="137"/>
    </row>
    <row r="68" spans="1:22" s="13" customFormat="1">
      <c r="A68" s="57"/>
      <c r="B68" s="57"/>
      <c r="C68" s="57"/>
      <c r="D68" s="57"/>
      <c r="E68" s="57"/>
      <c r="F68" s="57"/>
      <c r="G68" s="57"/>
      <c r="H68" s="519" t="s">
        <v>593</v>
      </c>
      <c r="I68" s="520"/>
      <c r="J68" s="521"/>
      <c r="K68" s="250" t="e">
        <f>E51</f>
        <v>#DIV/0!</v>
      </c>
      <c r="L68" s="137"/>
      <c r="M68" s="57"/>
      <c r="N68" s="57"/>
      <c r="O68" s="57"/>
      <c r="P68" s="57"/>
      <c r="Q68" s="57"/>
      <c r="R68" s="57"/>
      <c r="S68" s="57"/>
      <c r="T68" s="57"/>
      <c r="U68" s="57"/>
      <c r="V68" s="2"/>
    </row>
    <row r="69" spans="1:22">
      <c r="H69" s="137"/>
      <c r="I69" s="143"/>
      <c r="J69" s="144"/>
      <c r="K69" s="252"/>
      <c r="L69" s="137"/>
    </row>
    <row r="70" spans="1:22">
      <c r="H70" s="519" t="s">
        <v>594</v>
      </c>
      <c r="I70" s="520"/>
      <c r="J70" s="521"/>
      <c r="K70" s="250" t="e">
        <f>E53</f>
        <v>#DIV/0!</v>
      </c>
      <c r="L70" s="137"/>
    </row>
    <row r="72" spans="1:22">
      <c r="L72" s="137"/>
    </row>
    <row r="73" spans="1:22">
      <c r="L73" s="137"/>
    </row>
    <row r="74" spans="1:22">
      <c r="L74" s="137"/>
    </row>
  </sheetData>
  <dataConsolidate/>
  <mergeCells count="8">
    <mergeCell ref="I32:N32"/>
    <mergeCell ref="H44:J44"/>
    <mergeCell ref="E10:F10"/>
    <mergeCell ref="H1:N2"/>
    <mergeCell ref="H3:N3"/>
    <mergeCell ref="H4:N5"/>
    <mergeCell ref="I10:N10"/>
    <mergeCell ref="I20:N20"/>
  </mergeCells>
  <phoneticPr fontId="9"/>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36" activePane="bottomLeft" state="frozen"/>
      <selection pane="bottomLeft" activeCell="K48" sqref="K48"/>
      <selection activeCell="B1" sqref="B1"/>
    </sheetView>
  </sheetViews>
  <sheetFormatPr defaultColWidth="11.42578125" defaultRowHeight="13.15"/>
  <cols>
    <col min="1" max="1" width="35.85546875" style="57" customWidth="1"/>
    <col min="2" max="2" width="21.28515625" style="57" customWidth="1"/>
    <col min="3" max="3" width="19.28515625" style="57" bestFit="1" customWidth="1"/>
    <col min="4" max="4" width="2" style="57" customWidth="1"/>
    <col min="5" max="5" width="14.42578125" style="57" customWidth="1"/>
    <col min="6" max="6" width="11.7109375" style="57" customWidth="1"/>
    <col min="7" max="7" width="6" style="57" customWidth="1"/>
    <col min="8" max="8" width="27.85546875" style="57" customWidth="1"/>
    <col min="9" max="15" width="11.42578125" style="57"/>
    <col min="16" max="16384" width="11.42578125" style="2"/>
  </cols>
  <sheetData>
    <row r="1" spans="1:15" ht="12.75" customHeight="1">
      <c r="A1" s="371" t="s">
        <v>4</v>
      </c>
      <c r="B1" s="99"/>
      <c r="C1" s="100"/>
      <c r="D1" s="100"/>
      <c r="E1" s="100"/>
      <c r="F1" s="100"/>
      <c r="H1" s="422"/>
      <c r="I1" s="422"/>
      <c r="J1" s="422"/>
      <c r="K1" s="422"/>
      <c r="L1" s="422"/>
      <c r="M1" s="422"/>
      <c r="N1" s="422"/>
    </row>
    <row r="2" spans="1:15">
      <c r="A2" s="100"/>
      <c r="B2" s="115"/>
      <c r="C2" s="116"/>
      <c r="D2" s="115"/>
      <c r="E2" s="117"/>
      <c r="F2" s="118"/>
      <c r="H2" s="422"/>
      <c r="I2" s="422"/>
      <c r="J2" s="422"/>
      <c r="K2" s="422"/>
      <c r="L2" s="422"/>
      <c r="M2" s="422"/>
      <c r="N2" s="422"/>
    </row>
    <row r="3" spans="1:15" ht="14.25" customHeight="1">
      <c r="A3" s="37" t="str">
        <f>'2-Kosten per locatie'!A3</f>
        <v>Naam opdrachtgever</v>
      </c>
      <c r="B3" s="119" t="str">
        <f>'2-Kosten per locatie'!B3</f>
        <v>SED organisatie</v>
      </c>
      <c r="C3" s="120"/>
      <c r="D3" s="115"/>
      <c r="E3" s="121"/>
      <c r="F3" s="122"/>
      <c r="H3" s="422"/>
      <c r="I3" s="422"/>
      <c r="J3" s="422"/>
      <c r="K3" s="422"/>
      <c r="L3" s="422"/>
      <c r="M3" s="422"/>
      <c r="N3" s="422"/>
    </row>
    <row r="4" spans="1:15" ht="15.75" customHeight="1">
      <c r="A4" s="37" t="str">
        <f>'2-Kosten per locatie'!A4</f>
        <v>Calculatie onderdeel</v>
      </c>
      <c r="B4" s="123" t="e">
        <f ca="1">MID(CELL("bestandsnaam",$C$9),SEARCH("]",CELL("bestandsnaam",$C$9),1)+1,256)</f>
        <v>#VALUE!</v>
      </c>
      <c r="C4" s="124"/>
      <c r="D4" s="125"/>
      <c r="H4" s="422"/>
      <c r="I4" s="422"/>
      <c r="J4" s="422"/>
      <c r="K4" s="422"/>
      <c r="L4" s="422"/>
      <c r="M4" s="422"/>
      <c r="N4" s="422"/>
    </row>
    <row r="5" spans="1:15" ht="15.6">
      <c r="A5" s="37" t="str">
        <f>'2-Kosten per locatie'!A5</f>
        <v>Gebouw/plaats</v>
      </c>
      <c r="B5" s="119" t="str">
        <f>'2-Kosten per locatie'!B5</f>
        <v>Perceel 1</v>
      </c>
      <c r="C5" s="124"/>
      <c r="D5" s="125"/>
      <c r="H5" s="422"/>
      <c r="I5" s="422"/>
      <c r="J5" s="422"/>
      <c r="K5" s="422"/>
      <c r="L5" s="422"/>
      <c r="M5" s="422"/>
      <c r="N5" s="422"/>
    </row>
    <row r="6" spans="1:15" ht="15.6">
      <c r="A6" s="37" t="str">
        <f>'2-Kosten per locatie'!A6</f>
        <v>Referentie nummer</v>
      </c>
      <c r="B6" s="119">
        <f>'2-Kosten per locatie'!B6</f>
        <v>0</v>
      </c>
      <c r="C6" s="124"/>
      <c r="D6" s="125"/>
      <c r="H6" s="126"/>
      <c r="I6" s="126"/>
      <c r="J6" s="126"/>
      <c r="K6" s="126"/>
      <c r="L6" s="126"/>
      <c r="M6" s="126"/>
      <c r="N6" s="126"/>
    </row>
    <row r="7" spans="1:15" ht="15.6">
      <c r="A7" s="37" t="str">
        <f>'2-Kosten per locatie'!A7</f>
        <v>Naam dienstverlener</v>
      </c>
      <c r="B7" s="119">
        <f>'2-Kosten per locatie'!B7</f>
        <v>0</v>
      </c>
      <c r="C7" s="124"/>
      <c r="D7" s="125"/>
      <c r="H7" s="126"/>
      <c r="I7" s="126"/>
      <c r="J7" s="126"/>
      <c r="K7" s="126"/>
      <c r="L7" s="126"/>
      <c r="M7" s="126"/>
      <c r="N7" s="126"/>
    </row>
    <row r="8" spans="1:15" ht="15.6">
      <c r="A8" s="37" t="str">
        <f>'2-Kosten per locatie'!A8</f>
        <v>Prijspeil</v>
      </c>
      <c r="B8" s="253">
        <f>'2-Kosten per locatie'!B8</f>
        <v>46023</v>
      </c>
      <c r="C8" s="124"/>
      <c r="D8" s="125"/>
      <c r="J8" s="126"/>
      <c r="K8" s="126"/>
      <c r="L8" s="126"/>
      <c r="M8" s="126"/>
      <c r="N8" s="126"/>
      <c r="O8" s="127"/>
    </row>
    <row r="9" spans="1:15" ht="15.6">
      <c r="A9" s="128"/>
      <c r="B9" s="129"/>
      <c r="C9" s="130"/>
      <c r="D9" s="125"/>
      <c r="E9" s="131"/>
      <c r="F9" s="132"/>
    </row>
    <row r="10" spans="1:15" s="21" customFormat="1" ht="30.75" customHeight="1">
      <c r="A10" s="522" t="s">
        <v>596</v>
      </c>
      <c r="B10" s="475"/>
      <c r="C10" s="476"/>
      <c r="D10" s="197"/>
      <c r="E10" s="477" t="s">
        <v>597</v>
      </c>
      <c r="F10" s="478"/>
      <c r="G10" s="127"/>
      <c r="H10" s="474" t="s">
        <v>548</v>
      </c>
      <c r="I10" s="423" t="s">
        <v>549</v>
      </c>
      <c r="J10" s="424"/>
      <c r="K10" s="424"/>
      <c r="L10" s="424"/>
      <c r="M10" s="424"/>
      <c r="N10" s="424"/>
      <c r="O10" s="127"/>
    </row>
    <row r="11" spans="1:15" ht="14.45" customHeight="1">
      <c r="A11" s="479"/>
      <c r="B11" s="480" t="s">
        <v>550</v>
      </c>
      <c r="C11" s="481" t="s">
        <v>550</v>
      </c>
      <c r="D11" s="125"/>
      <c r="E11" s="133"/>
      <c r="F11" s="337"/>
      <c r="H11" s="479"/>
      <c r="I11" s="255">
        <v>1</v>
      </c>
      <c r="J11" s="255">
        <v>2</v>
      </c>
      <c r="K11" s="255">
        <v>3</v>
      </c>
      <c r="L11" s="255">
        <v>4</v>
      </c>
      <c r="M11" s="255">
        <v>5</v>
      </c>
      <c r="N11" s="255">
        <v>6</v>
      </c>
    </row>
    <row r="12" spans="1:15" ht="12.75" customHeight="1">
      <c r="A12" s="479" t="s">
        <v>551</v>
      </c>
      <c r="B12" s="482" t="s">
        <v>552</v>
      </c>
      <c r="C12" s="483"/>
      <c r="D12" s="125"/>
      <c r="E12" s="236">
        <f>SUM(I31:N31)</f>
        <v>0</v>
      </c>
      <c r="F12" s="237"/>
      <c r="H12" s="479" t="s">
        <v>558</v>
      </c>
      <c r="I12" s="412">
        <v>15.52</v>
      </c>
      <c r="J12" s="412">
        <v>16.079999999999998</v>
      </c>
      <c r="K12" s="412">
        <v>16.7</v>
      </c>
      <c r="L12" s="412">
        <v>17.53</v>
      </c>
      <c r="M12" s="412">
        <v>18.2</v>
      </c>
      <c r="N12" s="412">
        <v>19.12</v>
      </c>
    </row>
    <row r="13" spans="1:15">
      <c r="A13" s="479" t="s">
        <v>554</v>
      </c>
      <c r="B13" s="482" t="s">
        <v>552</v>
      </c>
      <c r="C13" s="484"/>
      <c r="D13" s="125"/>
      <c r="E13" s="238">
        <v>0</v>
      </c>
      <c r="F13" s="237"/>
      <c r="H13" s="479" t="s">
        <v>560</v>
      </c>
      <c r="I13" s="412">
        <v>16.079999999999998</v>
      </c>
      <c r="J13" s="412">
        <v>16.63</v>
      </c>
      <c r="K13" s="412">
        <v>17.3</v>
      </c>
      <c r="L13" s="412">
        <v>18.14</v>
      </c>
      <c r="M13" s="412">
        <v>18.82</v>
      </c>
      <c r="N13" s="412">
        <v>19.77</v>
      </c>
    </row>
    <row r="14" spans="1:15">
      <c r="A14" s="485" t="s">
        <v>556</v>
      </c>
      <c r="B14" s="486"/>
      <c r="C14" s="487"/>
      <c r="D14" s="135"/>
      <c r="E14" s="239">
        <f>SUM(E12:E13)</f>
        <v>0</v>
      </c>
      <c r="F14" s="237"/>
      <c r="H14" s="479" t="s">
        <v>562</v>
      </c>
      <c r="I14" s="412">
        <v>16.55</v>
      </c>
      <c r="J14" s="412">
        <v>17.07</v>
      </c>
      <c r="K14" s="412">
        <v>17.84</v>
      </c>
      <c r="L14" s="412">
        <v>18.73</v>
      </c>
      <c r="M14" s="412">
        <v>19.45</v>
      </c>
      <c r="N14" s="412">
        <v>20.420000000000002</v>
      </c>
    </row>
    <row r="15" spans="1:15">
      <c r="A15" s="488"/>
      <c r="B15" s="489"/>
      <c r="C15" s="490"/>
      <c r="D15" s="125"/>
      <c r="E15" s="240"/>
      <c r="F15" s="237"/>
      <c r="H15" s="479" t="s">
        <v>564</v>
      </c>
      <c r="I15" s="412">
        <v>17.05</v>
      </c>
      <c r="J15" s="412">
        <v>17.7</v>
      </c>
      <c r="K15" s="412">
        <v>18.440000000000001</v>
      </c>
      <c r="L15" s="412">
        <v>19.309999999999999</v>
      </c>
      <c r="M15" s="412">
        <v>20.059999999999999</v>
      </c>
      <c r="N15" s="412">
        <v>21.07</v>
      </c>
    </row>
    <row r="16" spans="1:15">
      <c r="A16" s="491" t="s">
        <v>559</v>
      </c>
      <c r="B16" s="482" t="s">
        <v>552</v>
      </c>
      <c r="C16" s="413">
        <v>0.08</v>
      </c>
      <c r="D16" s="125"/>
      <c r="E16" s="241">
        <f>$C16*E14</f>
        <v>0</v>
      </c>
      <c r="F16" s="237"/>
    </row>
    <row r="17" spans="1:15" ht="14.45" customHeight="1">
      <c r="A17" s="491" t="s">
        <v>561</v>
      </c>
      <c r="B17" s="482" t="s">
        <v>552</v>
      </c>
      <c r="C17" s="413">
        <v>0.05</v>
      </c>
      <c r="D17" s="125"/>
      <c r="E17" s="242">
        <f>$C17*E14</f>
        <v>0</v>
      </c>
      <c r="F17" s="237"/>
      <c r="H17" s="474" t="s">
        <v>548</v>
      </c>
      <c r="I17" s="496" t="s">
        <v>566</v>
      </c>
      <c r="J17" s="497"/>
      <c r="K17" s="497"/>
      <c r="L17" s="497"/>
      <c r="M17" s="497"/>
      <c r="N17" s="498"/>
    </row>
    <row r="18" spans="1:15" ht="13.15" customHeight="1">
      <c r="A18" s="485" t="s">
        <v>563</v>
      </c>
      <c r="B18" s="492"/>
      <c r="C18" s="493"/>
      <c r="D18" s="125"/>
      <c r="E18" s="239">
        <f>SUM(E14:E17)</f>
        <v>0</v>
      </c>
      <c r="F18" s="332">
        <f>IF(E18=0,0,E18/E$46)</f>
        <v>0</v>
      </c>
      <c r="H18" s="479"/>
      <c r="I18" s="255">
        <v>1</v>
      </c>
      <c r="J18" s="255">
        <v>2</v>
      </c>
      <c r="K18" s="255">
        <v>3</v>
      </c>
      <c r="L18" s="255">
        <v>4</v>
      </c>
      <c r="M18" s="255">
        <v>5</v>
      </c>
      <c r="N18" s="255">
        <v>6</v>
      </c>
      <c r="O18" s="221"/>
    </row>
    <row r="19" spans="1:15">
      <c r="A19" s="488"/>
      <c r="B19" s="489"/>
      <c r="C19" s="490"/>
      <c r="D19" s="125"/>
      <c r="E19" s="240"/>
      <c r="F19" s="237"/>
      <c r="H19" s="479" t="s">
        <v>558</v>
      </c>
      <c r="I19" s="333"/>
      <c r="J19" s="333"/>
      <c r="K19" s="333"/>
      <c r="L19" s="333"/>
      <c r="M19" s="333"/>
      <c r="N19" s="333"/>
      <c r="O19" s="221"/>
    </row>
    <row r="20" spans="1:15">
      <c r="A20" s="494" t="s">
        <v>565</v>
      </c>
      <c r="B20" s="495"/>
      <c r="C20" s="490"/>
      <c r="D20" s="136"/>
      <c r="E20" s="243">
        <f>E18*0.96</f>
        <v>0</v>
      </c>
      <c r="F20" s="244"/>
      <c r="H20" s="479" t="s">
        <v>560</v>
      </c>
      <c r="I20" s="333"/>
      <c r="J20" s="333"/>
      <c r="K20" s="333"/>
      <c r="L20" s="333"/>
      <c r="M20" s="333"/>
      <c r="N20" s="333"/>
      <c r="O20" s="252"/>
    </row>
    <row r="21" spans="1:15">
      <c r="A21" s="491" t="s">
        <v>567</v>
      </c>
      <c r="B21" s="495"/>
      <c r="C21" s="499" t="s">
        <v>568</v>
      </c>
      <c r="D21" s="125"/>
      <c r="E21" s="241" t="e">
        <f>E20*'5-Premies en opslagen'!$C24</f>
        <v>#DIV/0!</v>
      </c>
      <c r="F21" s="237"/>
      <c r="G21" s="137"/>
      <c r="H21" s="479" t="s">
        <v>562</v>
      </c>
      <c r="I21" s="333"/>
      <c r="J21" s="333"/>
      <c r="K21" s="333"/>
      <c r="L21" s="333"/>
      <c r="M21" s="333"/>
      <c r="N21" s="333"/>
      <c r="O21" s="221"/>
    </row>
    <row r="22" spans="1:15" s="13" customFormat="1">
      <c r="A22" s="485" t="s">
        <v>569</v>
      </c>
      <c r="B22" s="500"/>
      <c r="C22" s="493"/>
      <c r="D22" s="125"/>
      <c r="E22" s="239" t="e">
        <f>E21+E18</f>
        <v>#DIV/0!</v>
      </c>
      <c r="F22" s="332" t="e">
        <f>IF(E22=0,0,E22/E$46)</f>
        <v>#DIV/0!</v>
      </c>
      <c r="G22" s="57"/>
      <c r="H22" s="479" t="s">
        <v>564</v>
      </c>
      <c r="I22" s="333"/>
      <c r="J22" s="333"/>
      <c r="K22" s="333"/>
      <c r="L22" s="333"/>
      <c r="M22" s="333"/>
      <c r="N22" s="333"/>
      <c r="O22" s="221"/>
    </row>
    <row r="23" spans="1:15" ht="14.25" customHeight="1">
      <c r="A23" s="488"/>
      <c r="B23" s="492"/>
      <c r="C23" s="493"/>
      <c r="D23" s="125"/>
      <c r="E23" s="235"/>
      <c r="F23" s="237"/>
      <c r="H23" s="138" t="s">
        <v>576</v>
      </c>
      <c r="I23" s="334">
        <f t="shared" ref="I23:N23" si="0">SUM(I19:I22)</f>
        <v>0</v>
      </c>
      <c r="J23" s="334">
        <f t="shared" si="0"/>
        <v>0</v>
      </c>
      <c r="K23" s="334">
        <f t="shared" si="0"/>
        <v>0</v>
      </c>
      <c r="L23" s="334">
        <f t="shared" si="0"/>
        <v>0</v>
      </c>
      <c r="M23" s="334">
        <f t="shared" si="0"/>
        <v>0</v>
      </c>
      <c r="N23" s="334">
        <f t="shared" si="0"/>
        <v>0</v>
      </c>
      <c r="O23" s="335">
        <f>SUM(I23:N23)</f>
        <v>0</v>
      </c>
    </row>
    <row r="24" spans="1:15" ht="12.75" customHeight="1">
      <c r="A24" s="491" t="s">
        <v>570</v>
      </c>
      <c r="B24" s="495"/>
      <c r="C24" s="499" t="s">
        <v>568</v>
      </c>
      <c r="D24" s="125"/>
      <c r="E24" s="241" t="e">
        <f>E22*'5-Premies en opslagen'!$B53</f>
        <v>#DIV/0!</v>
      </c>
      <c r="F24" s="237"/>
    </row>
    <row r="25" spans="1:15" ht="12.75" customHeight="1">
      <c r="A25" s="485" t="s">
        <v>571</v>
      </c>
      <c r="B25" s="492"/>
      <c r="C25" s="493"/>
      <c r="D25" s="125"/>
      <c r="E25" s="239" t="e">
        <f>SUM(E22:E24)</f>
        <v>#DIV/0!</v>
      </c>
      <c r="F25" s="332" t="e">
        <f>IF(E25=0,0,E25/E$46)</f>
        <v>#DIV/0!</v>
      </c>
      <c r="H25" s="474" t="s">
        <v>548</v>
      </c>
      <c r="I25" s="423" t="s">
        <v>579</v>
      </c>
      <c r="J25" s="424"/>
      <c r="K25" s="424"/>
      <c r="L25" s="424"/>
      <c r="M25" s="424"/>
      <c r="N25" s="424"/>
    </row>
    <row r="26" spans="1:15">
      <c r="A26" s="488"/>
      <c r="B26" s="492"/>
      <c r="C26" s="493"/>
      <c r="D26" s="125"/>
      <c r="E26" s="235"/>
      <c r="F26" s="237"/>
      <c r="H26" s="523"/>
      <c r="I26" s="255">
        <v>1</v>
      </c>
      <c r="J26" s="255">
        <v>2</v>
      </c>
      <c r="K26" s="255">
        <v>3</v>
      </c>
      <c r="L26" s="255">
        <v>4</v>
      </c>
      <c r="M26" s="255">
        <v>5</v>
      </c>
      <c r="N26" s="255">
        <v>6</v>
      </c>
    </row>
    <row r="27" spans="1:15" ht="13.15" customHeight="1">
      <c r="A27" s="488" t="s">
        <v>572</v>
      </c>
      <c r="B27" s="501"/>
      <c r="C27" s="484" t="s">
        <v>573</v>
      </c>
      <c r="D27" s="125"/>
      <c r="E27" s="238">
        <v>0</v>
      </c>
      <c r="F27" s="237">
        <v>0</v>
      </c>
      <c r="H27" s="479" t="s">
        <v>558</v>
      </c>
      <c r="I27" s="373">
        <f t="shared" ref="I27:N30" si="1">I19*I12</f>
        <v>0</v>
      </c>
      <c r="J27" s="373">
        <f t="shared" si="1"/>
        <v>0</v>
      </c>
      <c r="K27" s="373">
        <f t="shared" si="1"/>
        <v>0</v>
      </c>
      <c r="L27" s="373">
        <f t="shared" si="1"/>
        <v>0</v>
      </c>
      <c r="M27" s="373">
        <f t="shared" si="1"/>
        <v>0</v>
      </c>
      <c r="N27" s="373">
        <f t="shared" si="1"/>
        <v>0</v>
      </c>
    </row>
    <row r="28" spans="1:15">
      <c r="A28" s="488" t="s">
        <v>574</v>
      </c>
      <c r="B28" s="502"/>
      <c r="C28" s="484" t="s">
        <v>573</v>
      </c>
      <c r="D28" s="125"/>
      <c r="E28" s="238">
        <v>0</v>
      </c>
      <c r="F28" s="237">
        <v>0</v>
      </c>
      <c r="H28" s="479" t="s">
        <v>560</v>
      </c>
      <c r="I28" s="373">
        <f t="shared" si="1"/>
        <v>0</v>
      </c>
      <c r="J28" s="373">
        <f t="shared" si="1"/>
        <v>0</v>
      </c>
      <c r="K28" s="373">
        <f t="shared" si="1"/>
        <v>0</v>
      </c>
      <c r="L28" s="373">
        <f t="shared" si="1"/>
        <v>0</v>
      </c>
      <c r="M28" s="373">
        <f t="shared" si="1"/>
        <v>0</v>
      </c>
      <c r="N28" s="373">
        <f t="shared" si="1"/>
        <v>0</v>
      </c>
    </row>
    <row r="29" spans="1:15">
      <c r="A29" s="488" t="s">
        <v>598</v>
      </c>
      <c r="B29" s="492"/>
      <c r="C29" s="493"/>
      <c r="D29" s="125"/>
      <c r="E29" s="238">
        <v>0</v>
      </c>
      <c r="F29" s="237"/>
      <c r="H29" s="479" t="s">
        <v>562</v>
      </c>
      <c r="I29" s="373">
        <f t="shared" si="1"/>
        <v>0</v>
      </c>
      <c r="J29" s="373">
        <f t="shared" si="1"/>
        <v>0</v>
      </c>
      <c r="K29" s="373">
        <f t="shared" si="1"/>
        <v>0</v>
      </c>
      <c r="L29" s="373">
        <f t="shared" si="1"/>
        <v>0</v>
      </c>
      <c r="M29" s="373">
        <f t="shared" si="1"/>
        <v>0</v>
      </c>
      <c r="N29" s="373">
        <f t="shared" si="1"/>
        <v>0</v>
      </c>
    </row>
    <row r="30" spans="1:15">
      <c r="A30" s="503"/>
      <c r="B30" s="504"/>
      <c r="C30" s="505" t="s">
        <v>550</v>
      </c>
      <c r="D30" s="125"/>
      <c r="E30" s="238"/>
      <c r="F30" s="237"/>
      <c r="H30" s="479" t="s">
        <v>564</v>
      </c>
      <c r="I30" s="373">
        <f t="shared" si="1"/>
        <v>0</v>
      </c>
      <c r="J30" s="373">
        <f t="shared" si="1"/>
        <v>0</v>
      </c>
      <c r="K30" s="373">
        <f t="shared" si="1"/>
        <v>0</v>
      </c>
      <c r="L30" s="373">
        <f t="shared" si="1"/>
        <v>0</v>
      </c>
      <c r="M30" s="373">
        <f t="shared" si="1"/>
        <v>0</v>
      </c>
      <c r="N30" s="373">
        <f t="shared" si="1"/>
        <v>0</v>
      </c>
    </row>
    <row r="31" spans="1:15" ht="12.75" customHeight="1">
      <c r="A31" s="485" t="s">
        <v>578</v>
      </c>
      <c r="B31" s="492"/>
      <c r="C31" s="493"/>
      <c r="D31" s="125"/>
      <c r="E31" s="239" t="e">
        <f>SUM(E25:E30)</f>
        <v>#DIV/0!</v>
      </c>
      <c r="F31" s="332" t="e">
        <f>IF(E31=0,0,E31/E$46)</f>
        <v>#DIV/0!</v>
      </c>
      <c r="H31" s="138" t="s">
        <v>576</v>
      </c>
      <c r="I31" s="338">
        <f t="shared" ref="I31:N31" si="2">SUM(I27:I30)</f>
        <v>0</v>
      </c>
      <c r="J31" s="338">
        <f t="shared" si="2"/>
        <v>0</v>
      </c>
      <c r="K31" s="338">
        <f t="shared" si="2"/>
        <v>0</v>
      </c>
      <c r="L31" s="338">
        <f t="shared" si="2"/>
        <v>0</v>
      </c>
      <c r="M31" s="338">
        <f t="shared" si="2"/>
        <v>0</v>
      </c>
      <c r="N31" s="338">
        <f t="shared" si="2"/>
        <v>0</v>
      </c>
    </row>
    <row r="32" spans="1:15" ht="12.75" customHeight="1">
      <c r="A32" s="488"/>
      <c r="B32" s="492"/>
      <c r="C32" s="493"/>
      <c r="D32" s="125"/>
      <c r="E32" s="235"/>
      <c r="F32" s="237"/>
    </row>
    <row r="33" spans="1:15" ht="12.75" customHeight="1">
      <c r="A33" s="488" t="s">
        <v>580</v>
      </c>
      <c r="B33" s="492"/>
      <c r="C33" s="506"/>
      <c r="D33" s="125"/>
      <c r="E33" s="238">
        <v>0</v>
      </c>
      <c r="F33" s="245" t="e">
        <f>E33/$E$46</f>
        <v>#DIV/0!</v>
      </c>
    </row>
    <row r="34" spans="1:15" ht="12.75" customHeight="1">
      <c r="A34" s="488" t="s">
        <v>581</v>
      </c>
      <c r="B34" s="492"/>
      <c r="C34" s="506"/>
      <c r="D34" s="125"/>
      <c r="E34" s="238">
        <v>0</v>
      </c>
      <c r="F34" s="245" t="e">
        <f t="shared" ref="F34:F40" si="3">E34/$E$46</f>
        <v>#DIV/0!</v>
      </c>
    </row>
    <row r="35" spans="1:15" ht="12.75" customHeight="1">
      <c r="A35" s="488" t="s">
        <v>582</v>
      </c>
      <c r="B35" s="492"/>
      <c r="C35" s="506"/>
      <c r="D35" s="125"/>
      <c r="E35" s="238">
        <v>0</v>
      </c>
      <c r="F35" s="245" t="e">
        <f t="shared" si="3"/>
        <v>#DIV/0!</v>
      </c>
    </row>
    <row r="36" spans="1:15" ht="14.25" customHeight="1">
      <c r="A36" s="488" t="s">
        <v>583</v>
      </c>
      <c r="B36" s="492"/>
      <c r="C36" s="508"/>
      <c r="D36" s="125"/>
      <c r="E36" s="238">
        <v>0</v>
      </c>
      <c r="F36" s="245" t="e">
        <f t="shared" si="3"/>
        <v>#DIV/0!</v>
      </c>
    </row>
    <row r="37" spans="1:15">
      <c r="A37" s="488" t="s">
        <v>584</v>
      </c>
      <c r="B37" s="492"/>
      <c r="C37" s="506"/>
      <c r="D37" s="125"/>
      <c r="E37" s="238">
        <v>0</v>
      </c>
      <c r="F37" s="245" t="e">
        <f t="shared" si="3"/>
        <v>#DIV/0!</v>
      </c>
    </row>
    <row r="38" spans="1:15">
      <c r="A38" s="488" t="s">
        <v>585</v>
      </c>
      <c r="B38" s="492"/>
      <c r="C38" s="508"/>
      <c r="D38" s="125"/>
      <c r="E38" s="238">
        <v>0</v>
      </c>
      <c r="F38" s="245" t="e">
        <f t="shared" si="3"/>
        <v>#DIV/0!</v>
      </c>
    </row>
    <row r="39" spans="1:15">
      <c r="A39" s="488" t="s">
        <v>586</v>
      </c>
      <c r="B39" s="492"/>
      <c r="C39" s="484" t="s">
        <v>573</v>
      </c>
      <c r="D39" s="125"/>
      <c r="E39" s="238">
        <v>0</v>
      </c>
      <c r="F39" s="245" t="e">
        <f t="shared" si="3"/>
        <v>#DIV/0!</v>
      </c>
    </row>
    <row r="40" spans="1:15">
      <c r="A40" s="488" t="s">
        <v>595</v>
      </c>
      <c r="B40" s="492"/>
      <c r="C40" s="484"/>
      <c r="D40" s="125"/>
      <c r="E40" s="238">
        <v>0</v>
      </c>
      <c r="F40" s="245" t="e">
        <f t="shared" si="3"/>
        <v>#DIV/0!</v>
      </c>
    </row>
    <row r="41" spans="1:15">
      <c r="A41" s="503"/>
      <c r="B41" s="504"/>
      <c r="C41" s="509"/>
      <c r="D41" s="125"/>
      <c r="E41" s="238">
        <v>0</v>
      </c>
      <c r="F41" s="237"/>
      <c r="H41" s="137"/>
      <c r="I41" s="137"/>
      <c r="J41" s="137"/>
      <c r="K41" s="137"/>
      <c r="L41" s="137"/>
      <c r="M41" s="137"/>
      <c r="N41" s="137"/>
      <c r="O41" s="137"/>
    </row>
    <row r="42" spans="1:15">
      <c r="A42" s="485" t="s">
        <v>588</v>
      </c>
      <c r="B42" s="492"/>
      <c r="C42" s="493"/>
      <c r="D42" s="125"/>
      <c r="E42" s="239" t="e">
        <f>SUM(E31:E41)</f>
        <v>#DIV/0!</v>
      </c>
      <c r="F42" s="332" t="e">
        <f>IF(E42=0,0,E42/E$46)</f>
        <v>#DIV/0!</v>
      </c>
      <c r="H42" s="137"/>
      <c r="I42" s="137"/>
      <c r="J42" s="137"/>
      <c r="K42" s="137"/>
      <c r="L42" s="137"/>
      <c r="M42" s="137"/>
      <c r="N42" s="137"/>
      <c r="O42" s="137"/>
    </row>
    <row r="43" spans="1:15" ht="45">
      <c r="A43" s="488"/>
      <c r="B43" s="492"/>
      <c r="C43" s="493"/>
      <c r="D43" s="125"/>
      <c r="E43" s="235"/>
      <c r="F43" s="246"/>
      <c r="H43" s="522" t="s">
        <v>589</v>
      </c>
      <c r="I43" s="475"/>
      <c r="J43" s="476"/>
      <c r="K43" s="199" t="s">
        <v>547</v>
      </c>
      <c r="L43" s="137"/>
      <c r="M43" s="137"/>
      <c r="N43" s="137"/>
    </row>
    <row r="44" spans="1:15">
      <c r="A44" s="488" t="s">
        <v>590</v>
      </c>
      <c r="B44" s="492"/>
      <c r="C44" s="508"/>
      <c r="D44" s="125"/>
      <c r="E44" s="238">
        <v>0</v>
      </c>
      <c r="F44" s="332">
        <f>(IF(E44=0,0,E44/E$46))</f>
        <v>0</v>
      </c>
      <c r="H44" s="479"/>
      <c r="I44" s="480" t="s">
        <v>550</v>
      </c>
      <c r="J44" s="481" t="s">
        <v>550</v>
      </c>
      <c r="K44" s="235"/>
      <c r="L44" s="137"/>
      <c r="M44" s="137"/>
      <c r="N44" s="137"/>
    </row>
    <row r="45" spans="1:15">
      <c r="A45" s="488"/>
      <c r="B45" s="513"/>
      <c r="C45" s="493"/>
      <c r="D45" s="125"/>
      <c r="E45" s="235"/>
      <c r="F45" s="237"/>
      <c r="H45" s="514" t="s">
        <v>556</v>
      </c>
      <c r="I45" s="515"/>
      <c r="J45" s="516"/>
      <c r="K45" s="239">
        <f>E14</f>
        <v>0</v>
      </c>
      <c r="L45" s="137"/>
      <c r="M45" s="137"/>
      <c r="N45" s="137"/>
    </row>
    <row r="46" spans="1:15">
      <c r="A46" s="485" t="s">
        <v>591</v>
      </c>
      <c r="B46" s="517"/>
      <c r="C46" s="518"/>
      <c r="D46" s="125"/>
      <c r="E46" s="247" t="e">
        <f>SUM(E42:E45)</f>
        <v>#DIV/0!</v>
      </c>
      <c r="F46" s="248" t="e">
        <f>SUM(F42:F45)</f>
        <v>#DIV/0!</v>
      </c>
      <c r="H46" s="140" t="s">
        <v>559</v>
      </c>
      <c r="I46" s="141"/>
      <c r="J46" s="142"/>
      <c r="K46" s="241">
        <f>E16</f>
        <v>0</v>
      </c>
      <c r="L46" s="137"/>
      <c r="M46" s="137"/>
      <c r="N46" s="137"/>
    </row>
    <row r="47" spans="1:15">
      <c r="B47" s="139"/>
      <c r="C47" s="336"/>
      <c r="D47" s="125"/>
      <c r="E47" s="221"/>
      <c r="F47" s="249"/>
      <c r="H47" s="491" t="s">
        <v>561</v>
      </c>
      <c r="I47" s="141"/>
      <c r="J47" s="142"/>
      <c r="K47" s="242">
        <f>E17</f>
        <v>0</v>
      </c>
      <c r="L47" s="137"/>
      <c r="M47" s="137"/>
      <c r="N47" s="137"/>
      <c r="O47" s="137"/>
    </row>
    <row r="48" spans="1:15">
      <c r="A48" s="519" t="s">
        <v>592</v>
      </c>
      <c r="B48" s="520"/>
      <c r="C48" s="521"/>
      <c r="D48" s="137"/>
      <c r="E48" s="250" t="e">
        <f>(E$25*1.3)+($E$46-$E$25)</f>
        <v>#DIV/0!</v>
      </c>
      <c r="F48" s="251"/>
      <c r="H48" s="491" t="s">
        <v>567</v>
      </c>
      <c r="I48" s="141"/>
      <c r="J48" s="142"/>
      <c r="K48" s="241" t="e">
        <f>E21</f>
        <v>#DIV/0!</v>
      </c>
      <c r="L48" s="137"/>
      <c r="M48" s="137"/>
      <c r="N48" s="137"/>
      <c r="O48" s="137"/>
    </row>
    <row r="49" spans="1:15">
      <c r="A49" s="137"/>
      <c r="B49" s="143"/>
      <c r="C49" s="144"/>
      <c r="D49" s="137"/>
      <c r="E49" s="252"/>
      <c r="F49" s="252"/>
      <c r="G49" s="137"/>
      <c r="H49" s="491" t="s">
        <v>570</v>
      </c>
      <c r="I49" s="495"/>
      <c r="J49" s="499"/>
      <c r="K49" s="241" t="e">
        <f>E24</f>
        <v>#DIV/0!</v>
      </c>
      <c r="L49" s="137"/>
      <c r="M49" s="137"/>
      <c r="N49" s="137"/>
      <c r="O49" s="137"/>
    </row>
    <row r="50" spans="1:15" s="13" customFormat="1">
      <c r="A50" s="519" t="s">
        <v>593</v>
      </c>
      <c r="B50" s="520"/>
      <c r="C50" s="521"/>
      <c r="D50" s="137"/>
      <c r="E50" s="250" t="e">
        <f>(E$25*1.5)+($E$46-$E$25)</f>
        <v>#DIV/0!</v>
      </c>
      <c r="F50" s="251"/>
      <c r="G50" s="137"/>
      <c r="H50" s="488" t="s">
        <v>572</v>
      </c>
      <c r="I50" s="501"/>
      <c r="J50" s="484"/>
      <c r="K50" s="236">
        <f>E27</f>
        <v>0</v>
      </c>
      <c r="L50" s="137"/>
      <c r="M50" s="137"/>
      <c r="N50" s="137"/>
      <c r="O50" s="137"/>
    </row>
    <row r="51" spans="1:15" s="13" customFormat="1">
      <c r="A51" s="137"/>
      <c r="B51" s="143"/>
      <c r="C51" s="144"/>
      <c r="D51" s="137"/>
      <c r="E51" s="252"/>
      <c r="F51" s="252"/>
      <c r="G51" s="137"/>
      <c r="H51" s="488" t="s">
        <v>574</v>
      </c>
      <c r="I51" s="502"/>
      <c r="J51" s="484"/>
      <c r="K51" s="236">
        <f t="shared" ref="K51:K52" si="4">E28</f>
        <v>0</v>
      </c>
      <c r="L51" s="137"/>
      <c r="M51" s="57"/>
      <c r="N51" s="137"/>
      <c r="O51" s="137"/>
    </row>
    <row r="52" spans="1:15" s="13" customFormat="1">
      <c r="A52" s="519" t="s">
        <v>594</v>
      </c>
      <c r="B52" s="520"/>
      <c r="C52" s="521"/>
      <c r="D52" s="137"/>
      <c r="E52" s="250" t="e">
        <f>(E$25*2.5)+($E$46-$E$25)</f>
        <v>#DIV/0!</v>
      </c>
      <c r="F52" s="252"/>
      <c r="G52" s="137"/>
      <c r="H52" s="488" t="s">
        <v>575</v>
      </c>
      <c r="I52" s="492"/>
      <c r="J52" s="493" t="s">
        <v>550</v>
      </c>
      <c r="K52" s="236">
        <f t="shared" si="4"/>
        <v>0</v>
      </c>
      <c r="L52" s="137"/>
      <c r="M52" s="57"/>
      <c r="N52" s="137"/>
      <c r="O52" s="137"/>
    </row>
    <row r="53" spans="1:15" s="13" customFormat="1">
      <c r="A53" s="137"/>
      <c r="B53" s="143"/>
      <c r="C53" s="145"/>
      <c r="D53" s="137"/>
      <c r="E53" s="137"/>
      <c r="F53" s="146"/>
      <c r="G53" s="137"/>
      <c r="H53" s="488" t="s">
        <v>580</v>
      </c>
      <c r="I53" s="492"/>
      <c r="J53" s="506"/>
      <c r="K53" s="236">
        <f>E33</f>
        <v>0</v>
      </c>
      <c r="L53" s="137"/>
      <c r="M53" s="57"/>
      <c r="N53" s="137"/>
      <c r="O53" s="137"/>
    </row>
    <row r="54" spans="1:15" s="13" customFormat="1">
      <c r="A54" s="137"/>
      <c r="B54" s="143"/>
      <c r="C54" s="145"/>
      <c r="D54" s="137"/>
      <c r="E54" s="137"/>
      <c r="F54" s="146"/>
      <c r="G54" s="137"/>
      <c r="H54" s="488" t="s">
        <v>581</v>
      </c>
      <c r="I54" s="492"/>
      <c r="J54" s="506"/>
      <c r="K54" s="236">
        <f t="shared" ref="K54:K60" si="5">E34</f>
        <v>0</v>
      </c>
      <c r="L54" s="137"/>
      <c r="M54" s="57"/>
      <c r="N54" s="137"/>
      <c r="O54" s="137"/>
    </row>
    <row r="55" spans="1:15" s="13" customFormat="1">
      <c r="A55" s="137"/>
      <c r="B55" s="137"/>
      <c r="C55" s="147"/>
      <c r="D55" s="137"/>
      <c r="E55" s="137"/>
      <c r="F55" s="146"/>
      <c r="G55" s="137"/>
      <c r="H55" s="488" t="s">
        <v>582</v>
      </c>
      <c r="I55" s="492"/>
      <c r="J55" s="506"/>
      <c r="K55" s="236">
        <f t="shared" si="5"/>
        <v>0</v>
      </c>
      <c r="L55" s="137"/>
      <c r="M55" s="57"/>
      <c r="N55" s="137"/>
      <c r="O55" s="137"/>
    </row>
    <row r="56" spans="1:15" s="13" customFormat="1">
      <c r="A56" s="137"/>
      <c r="B56" s="137"/>
      <c r="C56" s="147"/>
      <c r="D56" s="137"/>
      <c r="E56" s="137"/>
      <c r="F56" s="146"/>
      <c r="G56" s="137"/>
      <c r="H56" s="488" t="s">
        <v>583</v>
      </c>
      <c r="I56" s="492"/>
      <c r="J56" s="508"/>
      <c r="K56" s="236">
        <f t="shared" si="5"/>
        <v>0</v>
      </c>
      <c r="L56" s="137"/>
      <c r="M56" s="57"/>
      <c r="N56" s="137"/>
      <c r="O56" s="137"/>
    </row>
    <row r="57" spans="1:15" s="13" customFormat="1">
      <c r="A57" s="57"/>
      <c r="B57" s="137"/>
      <c r="C57" s="147"/>
      <c r="D57" s="137"/>
      <c r="E57" s="137"/>
      <c r="F57" s="146"/>
      <c r="G57" s="137"/>
      <c r="H57" s="488" t="s">
        <v>584</v>
      </c>
      <c r="I57" s="492"/>
      <c r="J57" s="506"/>
      <c r="K57" s="236">
        <f t="shared" si="5"/>
        <v>0</v>
      </c>
      <c r="L57" s="137"/>
      <c r="M57" s="57"/>
      <c r="N57" s="137"/>
      <c r="O57" s="137"/>
    </row>
    <row r="58" spans="1:15" s="13" customFormat="1">
      <c r="A58" s="137"/>
      <c r="B58" s="137"/>
      <c r="C58" s="147"/>
      <c r="D58" s="137"/>
      <c r="E58" s="137"/>
      <c r="F58" s="146"/>
      <c r="G58" s="137"/>
      <c r="H58" s="488" t="s">
        <v>585</v>
      </c>
      <c r="I58" s="492"/>
      <c r="J58" s="508"/>
      <c r="K58" s="236">
        <f t="shared" si="5"/>
        <v>0</v>
      </c>
      <c r="L58" s="137"/>
      <c r="M58" s="57"/>
      <c r="N58" s="57"/>
      <c r="O58" s="137"/>
    </row>
    <row r="59" spans="1:15" s="13" customFormat="1">
      <c r="A59" s="137"/>
      <c r="B59" s="137"/>
      <c r="C59" s="147"/>
      <c r="D59" s="137"/>
      <c r="E59" s="137"/>
      <c r="F59" s="146"/>
      <c r="G59" s="137"/>
      <c r="H59" s="488" t="s">
        <v>586</v>
      </c>
      <c r="I59" s="492"/>
      <c r="J59" s="484"/>
      <c r="K59" s="236">
        <f t="shared" si="5"/>
        <v>0</v>
      </c>
      <c r="L59" s="137"/>
      <c r="M59" s="57"/>
      <c r="N59" s="57"/>
      <c r="O59" s="137"/>
    </row>
    <row r="60" spans="1:15" s="13" customFormat="1">
      <c r="A60" s="137"/>
      <c r="B60" s="137"/>
      <c r="C60" s="147"/>
      <c r="D60" s="137"/>
      <c r="E60" s="137"/>
      <c r="F60" s="146"/>
      <c r="G60" s="137"/>
      <c r="H60" s="488" t="s">
        <v>595</v>
      </c>
      <c r="I60" s="492"/>
      <c r="J60" s="484"/>
      <c r="K60" s="236">
        <f t="shared" si="5"/>
        <v>0</v>
      </c>
      <c r="L60" s="137"/>
      <c r="M60" s="57"/>
      <c r="N60" s="57"/>
      <c r="O60" s="137"/>
    </row>
    <row r="61" spans="1:15" s="13" customFormat="1">
      <c r="A61" s="137"/>
      <c r="B61" s="137"/>
      <c r="C61" s="147"/>
      <c r="D61" s="137"/>
      <c r="E61" s="137"/>
      <c r="F61" s="146"/>
      <c r="G61" s="137"/>
      <c r="H61" s="488" t="s">
        <v>590</v>
      </c>
      <c r="I61" s="492"/>
      <c r="J61" s="508"/>
      <c r="K61" s="236">
        <f>E44</f>
        <v>0</v>
      </c>
      <c r="L61" s="137"/>
      <c r="M61" s="57"/>
      <c r="N61" s="57"/>
      <c r="O61" s="137"/>
    </row>
    <row r="62" spans="1:15" s="13" customFormat="1">
      <c r="A62" s="137"/>
      <c r="B62" s="137"/>
      <c r="C62" s="147"/>
      <c r="D62" s="137"/>
      <c r="E62" s="137"/>
      <c r="F62" s="146"/>
      <c r="G62" s="137"/>
      <c r="H62" s="488"/>
      <c r="I62" s="513"/>
      <c r="J62" s="493"/>
      <c r="K62" s="235"/>
      <c r="L62" s="137"/>
      <c r="M62" s="57"/>
      <c r="N62" s="57"/>
      <c r="O62" s="137"/>
    </row>
    <row r="63" spans="1:15" s="13" customFormat="1">
      <c r="A63" s="137"/>
      <c r="B63" s="137"/>
      <c r="C63" s="147"/>
      <c r="D63" s="137"/>
      <c r="E63" s="137"/>
      <c r="F63" s="146"/>
      <c r="G63" s="137"/>
      <c r="H63" s="485" t="s">
        <v>591</v>
      </c>
      <c r="I63" s="517"/>
      <c r="J63" s="518"/>
      <c r="K63" s="247" t="e">
        <f>SUM(K45:K62)</f>
        <v>#DIV/0!</v>
      </c>
      <c r="L63" s="137"/>
      <c r="M63" s="57"/>
      <c r="N63" s="57"/>
      <c r="O63" s="137"/>
    </row>
    <row r="64" spans="1:15" s="13" customFormat="1">
      <c r="A64" s="137"/>
      <c r="B64" s="137"/>
      <c r="C64" s="147"/>
      <c r="D64" s="137"/>
      <c r="E64" s="57"/>
      <c r="F64" s="146"/>
      <c r="G64" s="137"/>
      <c r="H64" s="57"/>
      <c r="I64" s="139"/>
      <c r="J64" s="336"/>
      <c r="K64" s="221"/>
      <c r="L64" s="137"/>
      <c r="M64" s="57"/>
      <c r="N64" s="57"/>
      <c r="O64" s="57"/>
    </row>
    <row r="65" spans="1:15" s="13" customFormat="1">
      <c r="A65" s="57"/>
      <c r="B65" s="57"/>
      <c r="C65" s="57"/>
      <c r="D65" s="57"/>
      <c r="E65" s="57"/>
      <c r="F65" s="57"/>
      <c r="G65" s="137"/>
      <c r="H65" s="519" t="s">
        <v>592</v>
      </c>
      <c r="I65" s="520"/>
      <c r="J65" s="521"/>
      <c r="K65" s="250" t="e">
        <f>E48</f>
        <v>#DIV/0!</v>
      </c>
      <c r="L65" s="137"/>
      <c r="M65" s="57"/>
      <c r="N65" s="57"/>
      <c r="O65" s="57"/>
    </row>
    <row r="66" spans="1:15">
      <c r="H66" s="137"/>
      <c r="I66" s="143"/>
      <c r="J66" s="144"/>
      <c r="K66" s="252"/>
      <c r="L66" s="137"/>
    </row>
    <row r="67" spans="1:15">
      <c r="H67" s="519" t="s">
        <v>593</v>
      </c>
      <c r="I67" s="520"/>
      <c r="J67" s="521"/>
      <c r="K67" s="250" t="e">
        <f>E50</f>
        <v>#DIV/0!</v>
      </c>
      <c r="L67" s="137"/>
    </row>
    <row r="68" spans="1:15">
      <c r="H68" s="137"/>
      <c r="I68" s="143"/>
      <c r="J68" s="144"/>
      <c r="K68" s="252"/>
      <c r="L68" s="137"/>
    </row>
    <row r="69" spans="1:15">
      <c r="H69" s="519" t="s">
        <v>594</v>
      </c>
      <c r="I69" s="520"/>
      <c r="J69" s="521"/>
      <c r="K69" s="250" t="e">
        <f>E52</f>
        <v>#DIV/0!</v>
      </c>
      <c r="L69" s="137"/>
    </row>
    <row r="70" spans="1:15">
      <c r="L70" s="137"/>
      <c r="O70" s="137"/>
    </row>
    <row r="71" spans="1:15">
      <c r="O71" s="137"/>
    </row>
    <row r="72" spans="1:15">
      <c r="O72" s="137"/>
    </row>
    <row r="73" spans="1:15">
      <c r="O73" s="137"/>
    </row>
    <row r="74" spans="1:15">
      <c r="O74" s="137"/>
    </row>
    <row r="75" spans="1:15">
      <c r="O75" s="137"/>
    </row>
    <row r="76" spans="1:15">
      <c r="O76" s="137"/>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1"/>
  <sheetViews>
    <sheetView showGridLines="0" topLeftCell="B1" zoomScaleNormal="100" workbookViewId="0">
      <pane ySplit="10" topLeftCell="A11" activePane="bottomLeft" state="frozen"/>
      <selection pane="bottomLeft" activeCell="H21" sqref="H21"/>
      <selection activeCell="B1" sqref="B1"/>
    </sheetView>
  </sheetViews>
  <sheetFormatPr defaultColWidth="9.140625" defaultRowHeight="13.15"/>
  <cols>
    <col min="1" max="1" width="37.7109375" style="57" customWidth="1"/>
    <col min="2" max="2" width="65.140625" style="57" customWidth="1"/>
    <col min="3" max="3" width="12.85546875" style="57" customWidth="1"/>
    <col min="4" max="4" width="43.85546875" style="57" bestFit="1" customWidth="1"/>
    <col min="5" max="5" width="15.28515625" style="57" customWidth="1"/>
    <col min="6" max="6" width="12.85546875" style="57" customWidth="1"/>
    <col min="7" max="7" width="12.28515625" style="57" bestFit="1" customWidth="1"/>
    <col min="8" max="8" width="13.7109375" style="57" bestFit="1" customWidth="1"/>
    <col min="9" max="9" width="19.85546875" style="2" customWidth="1"/>
    <col min="10" max="16384" width="9.140625" style="2"/>
  </cols>
  <sheetData>
    <row r="1" spans="1:9">
      <c r="A1" s="371" t="s">
        <v>4</v>
      </c>
      <c r="I1" s="57"/>
    </row>
    <row r="2" spans="1:9">
      <c r="A2" s="100"/>
      <c r="I2" s="57"/>
    </row>
    <row r="3" spans="1:9" ht="15.6">
      <c r="A3" s="37" t="str">
        <f>'2-Kosten per locatie'!A3</f>
        <v>Naam opdrachtgever</v>
      </c>
      <c r="B3" s="149" t="str">
        <f>'2-Kosten per locatie'!B3</f>
        <v>SED organisatie</v>
      </c>
      <c r="I3" s="57"/>
    </row>
    <row r="4" spans="1:9" ht="15.6">
      <c r="A4" s="37" t="str">
        <f>'2-Kosten per locatie'!A4</f>
        <v>Calculatie onderdeel</v>
      </c>
      <c r="B4" s="45" t="e">
        <f ca="1">MID(CELL("bestandsnaam",$C$9),SEARCH("]",CELL("bestandsnaam",$C$9),1)+1,256)</f>
        <v>#VALUE!</v>
      </c>
      <c r="D4" s="396"/>
      <c r="E4" s="397"/>
      <c r="I4" s="57"/>
    </row>
    <row r="5" spans="1:9" ht="15.6">
      <c r="A5" s="37" t="str">
        <f>'2-Kosten per locatie'!A5</f>
        <v>Gebouw/plaats</v>
      </c>
      <c r="B5" s="149" t="str">
        <f>'2-Kosten per locatie'!B5</f>
        <v>Perceel 1</v>
      </c>
      <c r="I5" s="57"/>
    </row>
    <row r="6" spans="1:9" ht="15.6">
      <c r="A6" s="37" t="str">
        <f>'2-Kosten per locatie'!A6</f>
        <v>Referentie nummer</v>
      </c>
      <c r="B6" s="149">
        <f>'2-Kosten per locatie'!B6</f>
        <v>0</v>
      </c>
      <c r="I6" s="57"/>
    </row>
    <row r="7" spans="1:9" ht="15" customHeight="1">
      <c r="A7" s="37" t="str">
        <f>'2-Kosten per locatie'!A7</f>
        <v>Naam dienstverlener</v>
      </c>
      <c r="B7" s="149">
        <f>'2-Kosten per locatie'!B7</f>
        <v>0</v>
      </c>
      <c r="I7" s="57"/>
    </row>
    <row r="8" spans="1:9" ht="15.6">
      <c r="A8" s="37" t="str">
        <f>'2-Kosten per locatie'!A8</f>
        <v>Prijspeil</v>
      </c>
      <c r="B8" s="256">
        <f>'2-Kosten per locatie'!B8</f>
        <v>46023</v>
      </c>
      <c r="I8" s="57"/>
    </row>
    <row r="10" spans="1:9" ht="48.6">
      <c r="A10" s="339" t="s">
        <v>25</v>
      </c>
      <c r="B10" s="339" t="s">
        <v>599</v>
      </c>
      <c r="C10" s="339" t="s">
        <v>600</v>
      </c>
      <c r="D10" s="339" t="s">
        <v>601</v>
      </c>
      <c r="E10" s="339" t="s">
        <v>602</v>
      </c>
      <c r="F10" s="339" t="s">
        <v>603</v>
      </c>
      <c r="G10" s="339" t="s">
        <v>604</v>
      </c>
      <c r="H10" s="339" t="s">
        <v>605</v>
      </c>
    </row>
    <row r="11" spans="1:9">
      <c r="A11" s="278" t="s">
        <v>57</v>
      </c>
      <c r="B11" s="71" t="s">
        <v>606</v>
      </c>
      <c r="C11" s="340"/>
      <c r="D11" s="340">
        <v>1</v>
      </c>
      <c r="E11" s="267"/>
      <c r="F11" s="341">
        <f t="shared" ref="F11:F16" si="0">E11*D11</f>
        <v>0</v>
      </c>
      <c r="G11" s="395">
        <v>0</v>
      </c>
      <c r="H11" s="212">
        <f t="shared" ref="H11:H16" si="1">G11*F11</f>
        <v>0</v>
      </c>
    </row>
    <row r="12" spans="1:9">
      <c r="A12" s="278" t="s">
        <v>57</v>
      </c>
      <c r="B12" s="71" t="s">
        <v>607</v>
      </c>
      <c r="C12" s="340"/>
      <c r="D12" s="340">
        <v>1</v>
      </c>
      <c r="E12" s="267"/>
      <c r="F12" s="341">
        <f t="shared" si="0"/>
        <v>0</v>
      </c>
      <c r="G12" s="395">
        <v>0</v>
      </c>
      <c r="H12" s="212">
        <f>G12*F12</f>
        <v>0</v>
      </c>
    </row>
    <row r="13" spans="1:9">
      <c r="A13" s="278" t="s">
        <v>57</v>
      </c>
      <c r="B13" s="71" t="s">
        <v>608</v>
      </c>
      <c r="C13" s="340"/>
      <c r="D13" s="340">
        <v>1</v>
      </c>
      <c r="E13" s="267"/>
      <c r="F13" s="341">
        <f t="shared" si="0"/>
        <v>0</v>
      </c>
      <c r="G13" s="395">
        <v>0</v>
      </c>
      <c r="H13" s="212">
        <f>G13*F13</f>
        <v>0</v>
      </c>
    </row>
    <row r="14" spans="1:9">
      <c r="A14" s="278" t="s">
        <v>61</v>
      </c>
      <c r="B14" s="71" t="s">
        <v>606</v>
      </c>
      <c r="C14" s="340"/>
      <c r="D14" s="340">
        <v>1</v>
      </c>
      <c r="E14" s="267"/>
      <c r="F14" s="341">
        <f t="shared" si="0"/>
        <v>0</v>
      </c>
      <c r="G14" s="395">
        <v>0</v>
      </c>
      <c r="H14" s="212">
        <f>G14*F14</f>
        <v>0</v>
      </c>
    </row>
    <row r="15" spans="1:9">
      <c r="A15" s="278" t="s">
        <v>61</v>
      </c>
      <c r="B15" s="71" t="s">
        <v>609</v>
      </c>
      <c r="C15" s="340"/>
      <c r="D15" s="340">
        <v>1</v>
      </c>
      <c r="E15" s="267"/>
      <c r="F15" s="341">
        <f t="shared" si="0"/>
        <v>0</v>
      </c>
      <c r="G15" s="395">
        <v>0</v>
      </c>
      <c r="H15" s="212">
        <f t="shared" si="1"/>
        <v>0</v>
      </c>
    </row>
    <row r="16" spans="1:9">
      <c r="A16" s="278" t="s">
        <v>61</v>
      </c>
      <c r="B16" s="71" t="s">
        <v>610</v>
      </c>
      <c r="C16" s="340"/>
      <c r="D16" s="340">
        <v>1</v>
      </c>
      <c r="E16" s="267"/>
      <c r="F16" s="341">
        <f t="shared" si="0"/>
        <v>0</v>
      </c>
      <c r="G16" s="395">
        <v>0</v>
      </c>
      <c r="H16" s="212">
        <f t="shared" si="1"/>
        <v>0</v>
      </c>
    </row>
    <row r="17" spans="1:8">
      <c r="A17" s="98"/>
      <c r="C17" s="84"/>
      <c r="D17" s="84"/>
      <c r="E17" s="84"/>
      <c r="F17" s="84"/>
      <c r="G17" s="84"/>
      <c r="H17" s="84"/>
    </row>
    <row r="18" spans="1:8" ht="32.450000000000003">
      <c r="A18" s="339" t="s">
        <v>25</v>
      </c>
      <c r="B18" s="524" t="s">
        <v>611</v>
      </c>
      <c r="C18" s="524"/>
      <c r="D18" s="525"/>
      <c r="E18" s="525"/>
      <c r="F18" s="525"/>
      <c r="G18" s="526"/>
      <c r="H18" s="526" t="s">
        <v>612</v>
      </c>
    </row>
    <row r="19" spans="1:8">
      <c r="A19" s="278" t="s">
        <v>62</v>
      </c>
      <c r="B19" s="71" t="s">
        <v>575</v>
      </c>
      <c r="C19" s="150"/>
      <c r="D19" s="151"/>
      <c r="E19" s="151"/>
      <c r="F19" s="151"/>
      <c r="G19" s="152"/>
      <c r="H19" s="342">
        <f>'11-Machinekosten'!Q30</f>
        <v>0</v>
      </c>
    </row>
    <row r="20" spans="1:8">
      <c r="H20" s="221"/>
    </row>
    <row r="21" spans="1:8" s="12" customFormat="1">
      <c r="A21" s="455" t="s">
        <v>63</v>
      </c>
      <c r="B21" s="467"/>
      <c r="C21" s="467"/>
      <c r="D21" s="467"/>
      <c r="E21" s="467"/>
      <c r="F21" s="343">
        <f>SUM(F11:F16)</f>
        <v>0</v>
      </c>
      <c r="G21" s="467"/>
      <c r="H21" s="254">
        <f>SUM(H11:H19)</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47"/>
  <sheetViews>
    <sheetView showGridLines="0" showZeros="0" zoomScaleNormal="100" zoomScaleSheetLayoutView="75" zoomScalePageLayoutView="50" workbookViewId="0">
      <pane ySplit="10" topLeftCell="A28" activePane="bottomLeft" state="frozen"/>
      <selection pane="bottomLeft" activeCell="H23" sqref="H23"/>
      <selection activeCell="B1" sqref="B1"/>
    </sheetView>
  </sheetViews>
  <sheetFormatPr defaultColWidth="11.42578125" defaultRowHeight="13.15"/>
  <cols>
    <col min="1" max="1" width="39" style="57" customWidth="1"/>
    <col min="2" max="2" width="20.28515625" style="57" customWidth="1"/>
    <col min="3" max="4" width="17.5703125" style="57" customWidth="1"/>
    <col min="5" max="5" width="22.28515625" style="57" customWidth="1"/>
    <col min="6" max="6" width="17.5703125" style="57" customWidth="1"/>
    <col min="7" max="16384" width="11.42578125" style="2"/>
  </cols>
  <sheetData>
    <row r="1" spans="1:6">
      <c r="A1" s="371" t="s">
        <v>4</v>
      </c>
      <c r="B1" s="153"/>
      <c r="C1" s="153"/>
      <c r="D1" s="154"/>
    </row>
    <row r="2" spans="1:6">
      <c r="A2" s="100"/>
    </row>
    <row r="3" spans="1:6" ht="15.6">
      <c r="A3" s="37" t="str">
        <f>'2-Kosten per locatie'!A3</f>
        <v>Naam opdrachtgever</v>
      </c>
      <c r="B3" s="45" t="str">
        <f>'2-Kosten per locatie'!B3</f>
        <v>SED organisatie</v>
      </c>
      <c r="C3" s="155"/>
      <c r="D3" s="155"/>
    </row>
    <row r="4" spans="1:6" ht="15.6">
      <c r="A4" s="37" t="str">
        <f>'2-Kosten per locatie'!A4</f>
        <v>Calculatie onderdeel</v>
      </c>
      <c r="B4" s="45" t="e">
        <f ca="1">MID(CELL("bestandsnaam",$C$9),SEARCH("]",CELL("bestandsnaam",$C$9),1)+1,256)</f>
        <v>#VALUE!</v>
      </c>
      <c r="C4" s="156"/>
      <c r="D4" s="157"/>
    </row>
    <row r="5" spans="1:6" ht="15.6">
      <c r="A5" s="37" t="str">
        <f>'2-Kosten per locatie'!A5</f>
        <v>Gebouw/plaats</v>
      </c>
      <c r="B5" s="45" t="str">
        <f>'2-Kosten per locatie'!B5</f>
        <v>Perceel 1</v>
      </c>
      <c r="C5" s="156"/>
      <c r="D5" s="157"/>
    </row>
    <row r="6" spans="1:6" ht="15.6">
      <c r="A6" s="37" t="str">
        <f>'2-Kosten per locatie'!A6</f>
        <v>Referentie nummer</v>
      </c>
      <c r="B6" s="45">
        <f>'2-Kosten per locatie'!B6</f>
        <v>0</v>
      </c>
      <c r="C6" s="156"/>
      <c r="D6" s="157"/>
    </row>
    <row r="7" spans="1:6" ht="15.6">
      <c r="A7" s="37" t="str">
        <f>'2-Kosten per locatie'!A7</f>
        <v>Naam dienstverlener</v>
      </c>
      <c r="B7" s="45">
        <f>'2-Kosten per locatie'!B7</f>
        <v>0</v>
      </c>
      <c r="C7" s="156"/>
      <c r="D7" s="157"/>
    </row>
    <row r="8" spans="1:6" ht="15.6">
      <c r="A8" s="37" t="str">
        <f>'2-Kosten per locatie'!A8</f>
        <v>Prijspeil</v>
      </c>
      <c r="B8" s="231">
        <f>'2-Kosten per locatie'!B8</f>
        <v>46023</v>
      </c>
      <c r="C8" s="156"/>
      <c r="D8" s="157"/>
    </row>
    <row r="9" spans="1:6" ht="15.6">
      <c r="A9" s="158"/>
      <c r="B9" s="159"/>
      <c r="C9" s="156"/>
      <c r="D9" s="157"/>
    </row>
    <row r="10" spans="1:6">
      <c r="A10" s="160"/>
      <c r="B10" s="161"/>
      <c r="C10" s="161"/>
      <c r="D10" s="161"/>
    </row>
    <row r="11" spans="1:6" ht="18.600000000000001">
      <c r="A11" s="527" t="s">
        <v>613</v>
      </c>
      <c r="B11" s="528"/>
      <c r="C11" s="528"/>
      <c r="D11" s="529"/>
      <c r="E11" s="529"/>
      <c r="F11" s="530"/>
    </row>
    <row r="13" spans="1:6">
      <c r="A13" s="531"/>
      <c r="B13" s="532"/>
      <c r="C13" s="533" t="s">
        <v>614</v>
      </c>
      <c r="D13" s="534"/>
      <c r="E13" s="534"/>
      <c r="F13" s="535"/>
    </row>
    <row r="14" spans="1:6">
      <c r="A14" s="344" t="s">
        <v>615</v>
      </c>
      <c r="B14" s="344" t="s">
        <v>616</v>
      </c>
      <c r="C14" s="345" t="s">
        <v>617</v>
      </c>
      <c r="D14" s="340" t="s">
        <v>618</v>
      </c>
      <c r="E14" s="340" t="s">
        <v>619</v>
      </c>
      <c r="F14" s="340" t="s">
        <v>620</v>
      </c>
    </row>
    <row r="15" spans="1:6">
      <c r="A15" s="346" t="s">
        <v>621</v>
      </c>
      <c r="B15" s="346" t="s">
        <v>622</v>
      </c>
      <c r="C15" s="347">
        <v>0</v>
      </c>
      <c r="D15" s="347">
        <v>0</v>
      </c>
      <c r="E15" s="347">
        <v>0</v>
      </c>
      <c r="F15" s="347">
        <v>0</v>
      </c>
    </row>
    <row r="16" spans="1:6">
      <c r="A16" s="346" t="s">
        <v>623</v>
      </c>
      <c r="B16" s="346" t="s">
        <v>622</v>
      </c>
      <c r="C16" s="347">
        <v>0</v>
      </c>
      <c r="D16" s="347">
        <v>0</v>
      </c>
      <c r="E16" s="347">
        <v>0</v>
      </c>
      <c r="F16" s="347">
        <v>0</v>
      </c>
    </row>
    <row r="17" spans="1:6">
      <c r="A17" s="346" t="s">
        <v>624</v>
      </c>
      <c r="B17" s="346" t="s">
        <v>625</v>
      </c>
      <c r="C17" s="347">
        <v>0</v>
      </c>
      <c r="D17" s="347">
        <v>0</v>
      </c>
      <c r="E17" s="347">
        <v>0</v>
      </c>
      <c r="F17" s="347">
        <v>0</v>
      </c>
    </row>
    <row r="18" spans="1:6">
      <c r="A18" s="344" t="s">
        <v>626</v>
      </c>
      <c r="B18" s="348"/>
      <c r="C18" s="347">
        <v>0</v>
      </c>
      <c r="D18" s="347">
        <v>0</v>
      </c>
      <c r="E18" s="347">
        <v>0</v>
      </c>
      <c r="F18" s="347">
        <v>0</v>
      </c>
    </row>
    <row r="19" spans="1:6">
      <c r="A19" s="344" t="s">
        <v>627</v>
      </c>
      <c r="B19" s="348"/>
      <c r="C19" s="347">
        <v>0</v>
      </c>
      <c r="D19" s="347">
        <v>0</v>
      </c>
      <c r="E19" s="347">
        <v>0</v>
      </c>
      <c r="F19" s="347">
        <v>0</v>
      </c>
    </row>
    <row r="20" spans="1:6">
      <c r="A20" s="162"/>
      <c r="B20" s="162"/>
      <c r="C20" s="162"/>
      <c r="D20" s="153"/>
    </row>
    <row r="21" spans="1:6">
      <c r="A21" s="164"/>
      <c r="B21" s="165"/>
      <c r="C21" s="165"/>
      <c r="D21" s="164"/>
    </row>
    <row r="22" spans="1:6" ht="18.600000000000001">
      <c r="A22" s="527" t="s">
        <v>628</v>
      </c>
      <c r="B22" s="536"/>
      <c r="C22" s="536"/>
      <c r="D22" s="536"/>
      <c r="E22" s="536"/>
      <c r="F22" s="537"/>
    </row>
    <row r="23" spans="1:6">
      <c r="A23" s="538"/>
      <c r="B23" s="538"/>
      <c r="C23" s="538"/>
      <c r="D23" s="538"/>
    </row>
    <row r="24" spans="1:6" ht="26.45">
      <c r="A24" s="349" t="s">
        <v>25</v>
      </c>
      <c r="B24" s="539" t="s">
        <v>616</v>
      </c>
      <c r="C24" s="540"/>
      <c r="D24" s="390"/>
      <c r="E24" s="391"/>
      <c r="F24" s="391" t="s">
        <v>629</v>
      </c>
    </row>
    <row r="25" spans="1:6">
      <c r="A25" s="346" t="s">
        <v>630</v>
      </c>
      <c r="B25" s="407" t="s">
        <v>631</v>
      </c>
      <c r="C25" s="408"/>
      <c r="D25" s="408"/>
      <c r="E25" s="409"/>
      <c r="F25" s="347">
        <v>0</v>
      </c>
    </row>
    <row r="26" spans="1:6">
      <c r="A26" s="346" t="s">
        <v>632</v>
      </c>
      <c r="B26" s="407" t="s">
        <v>631</v>
      </c>
      <c r="C26" s="408"/>
      <c r="D26" s="408"/>
      <c r="E26" s="409"/>
      <c r="F26" s="347">
        <v>0</v>
      </c>
    </row>
    <row r="27" spans="1:6">
      <c r="A27" s="346" t="s">
        <v>633</v>
      </c>
      <c r="B27" s="407" t="s">
        <v>631</v>
      </c>
      <c r="C27" s="410"/>
      <c r="D27" s="410"/>
      <c r="E27" s="409"/>
      <c r="F27" s="347">
        <v>0</v>
      </c>
    </row>
    <row r="29" spans="1:6" ht="18.600000000000001">
      <c r="A29" s="527" t="s">
        <v>634</v>
      </c>
      <c r="B29" s="536"/>
      <c r="C29" s="536"/>
      <c r="D29" s="536"/>
      <c r="E29" s="536"/>
      <c r="F29" s="537"/>
    </row>
    <row r="30" spans="1:6">
      <c r="A30" s="163"/>
      <c r="B30" s="162"/>
      <c r="C30" s="162"/>
      <c r="D30" s="153"/>
    </row>
    <row r="31" spans="1:6">
      <c r="A31" s="344" t="s">
        <v>615</v>
      </c>
      <c r="B31" s="531" t="s">
        <v>616</v>
      </c>
      <c r="C31" s="538"/>
      <c r="D31" s="538"/>
      <c r="E31" s="538"/>
      <c r="F31" s="350" t="s">
        <v>635</v>
      </c>
    </row>
    <row r="32" spans="1:6">
      <c r="A32" s="346" t="s">
        <v>636</v>
      </c>
      <c r="B32" s="166" t="s">
        <v>637</v>
      </c>
      <c r="C32" s="166"/>
      <c r="D32" s="166"/>
      <c r="E32" s="166"/>
      <c r="F32" s="347">
        <v>0</v>
      </c>
    </row>
    <row r="33" spans="1:6">
      <c r="A33" s="346" t="s">
        <v>636</v>
      </c>
      <c r="B33" s="166" t="s">
        <v>638</v>
      </c>
      <c r="C33" s="166"/>
      <c r="D33" s="166"/>
      <c r="E33" s="166"/>
      <c r="F33" s="347">
        <v>0</v>
      </c>
    </row>
    <row r="34" spans="1:6">
      <c r="A34" s="346" t="s">
        <v>636</v>
      </c>
      <c r="B34" s="166" t="s">
        <v>639</v>
      </c>
      <c r="C34" s="166"/>
      <c r="D34" s="166"/>
      <c r="E34" s="166"/>
      <c r="F34" s="347">
        <v>0</v>
      </c>
    </row>
    <row r="35" spans="1:6">
      <c r="A35" s="346" t="s">
        <v>640</v>
      </c>
      <c r="B35" s="166" t="s">
        <v>637</v>
      </c>
      <c r="C35" s="166"/>
      <c r="D35" s="166"/>
      <c r="E35" s="166"/>
      <c r="F35" s="347">
        <v>0</v>
      </c>
    </row>
    <row r="36" spans="1:6">
      <c r="A36" s="162"/>
      <c r="B36" s="153"/>
      <c r="C36" s="153"/>
      <c r="D36" s="162"/>
    </row>
    <row r="37" spans="1:6" ht="15.6">
      <c r="A37" s="200" t="s">
        <v>641</v>
      </c>
      <c r="B37" s="153"/>
      <c r="C37" s="153"/>
      <c r="D37" s="162"/>
    </row>
    <row r="38" spans="1:6">
      <c r="A38" s="162" t="s">
        <v>642</v>
      </c>
    </row>
    <row r="39" spans="1:6">
      <c r="A39" s="162" t="s">
        <v>643</v>
      </c>
      <c r="B39" s="153"/>
      <c r="C39" s="153"/>
      <c r="D39" s="162"/>
    </row>
    <row r="40" spans="1:6" ht="12.75" customHeight="1">
      <c r="A40" s="162"/>
      <c r="B40" s="153"/>
      <c r="C40" s="153"/>
      <c r="D40" s="162"/>
    </row>
    <row r="41" spans="1:6">
      <c r="A41" s="162"/>
      <c r="B41" s="153"/>
      <c r="C41" s="153"/>
      <c r="D41" s="162"/>
    </row>
    <row r="42" spans="1:6">
      <c r="A42" s="162"/>
      <c r="B42" s="153"/>
      <c r="C42" s="153"/>
      <c r="D42" s="162"/>
    </row>
    <row r="44" spans="1:6">
      <c r="A44" s="167"/>
      <c r="B44" s="153"/>
      <c r="C44" s="153"/>
      <c r="D44" s="153"/>
    </row>
    <row r="45" spans="1:6">
      <c r="A45" s="167"/>
    </row>
    <row r="46" spans="1:6">
      <c r="A46" s="167"/>
    </row>
    <row r="47" spans="1:6">
      <c r="A47" s="167"/>
    </row>
  </sheetData>
  <mergeCells count="1">
    <mergeCell ref="C13:F13"/>
  </mergeCells>
  <phoneticPr fontId="11"/>
  <conditionalFormatting sqref="E21:F27">
    <cfRule type="cellIs" dxfId="1" priority="1" stopIfTrue="1" operator="equal">
      <formula>"nvt"</formula>
    </cfRule>
  </conditionalFormatting>
  <conditionalFormatting sqref="F32:F3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FDEF1D0409D448BDBD15FF82375E2C" ma:contentTypeVersion="4" ma:contentTypeDescription="Een nieuw document maken." ma:contentTypeScope="" ma:versionID="5b9beb1e28d17613e58c7cfc9420e945">
  <xsd:schema xmlns:xsd="http://www.w3.org/2001/XMLSchema" xmlns:xs="http://www.w3.org/2001/XMLSchema" xmlns:p="http://schemas.microsoft.com/office/2006/metadata/properties" xmlns:ns2="02faeef2-fb2a-49e0-b2aa-885ab8044f57" targetNamespace="http://schemas.microsoft.com/office/2006/metadata/properties" ma:root="true" ma:fieldsID="40c4ae3bb78716ee6c728d50da93baaa" ns2:_="">
    <xsd:import namespace="02faeef2-fb2a-49e0-b2aa-885ab8044f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faeef2-fb2a-49e0-b2aa-885ab8044f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B9357A0-74EE-4EF5-91F0-DC5FEC2CAEE1}"/>
</file>

<file path=customXml/itemProps2.xml><?xml version="1.0" encoding="utf-8"?>
<ds:datastoreItem xmlns:ds="http://schemas.openxmlformats.org/officeDocument/2006/customXml" ds:itemID="{C5565585-3912-4078-9297-C29FDFE66610}"/>
</file>

<file path=customXml/itemProps3.xml><?xml version="1.0" encoding="utf-8"?>
<ds:datastoreItem xmlns:ds="http://schemas.openxmlformats.org/officeDocument/2006/customXml" ds:itemID="{AC3E4837-CE50-4A32-A54A-9639DA900BA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Kelly Hageman</cp:lastModifiedBy>
  <cp:revision/>
  <dcterms:created xsi:type="dcterms:W3CDTF">1999-10-05T12:28:40Z</dcterms:created>
  <dcterms:modified xsi:type="dcterms:W3CDTF">2026-03-31T12:10:00Z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0x01010093FDEF1D0409D448BDBD15FF82375E2C</vt:lpwstr>
  </property>
  <property fmtid="{D5CDD505-2E9C-101B-9397-08002B2CF9AE}" pid="3" name="MediaServiceImageTags">
    <vt:lpwstr/>
  </property>
</Properties>
</file>